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Workbook______________" defaultThemeVersion="166925"/>
  <mc:AlternateContent xmlns:mc="http://schemas.openxmlformats.org/markup-compatibility/2006">
    <mc:Choice Requires="x15">
      <x15ac:absPath xmlns:x15ac="http://schemas.microsoft.com/office/spreadsheetml/2010/11/ac" url="C:\Users\liran\Documents\Day Trading Project\Live day trading 2\"/>
    </mc:Choice>
  </mc:AlternateContent>
  <xr:revisionPtr revIDLastSave="0" documentId="13_ncr:1_{6C83BF7A-B51B-460C-ACAE-AE84D0CE488C}" xr6:coauthVersionLast="45" xr6:coauthVersionMax="45" xr10:uidLastSave="{00000000-0000-0000-0000-000000000000}"/>
  <bookViews>
    <workbookView xWindow="-120" yWindow="-120" windowWidth="29040" windowHeight="15840" tabRatio="598" activeTab="1" xr2:uid="{8BEF30E9-C34B-4533-9FA8-36C545EB6E37}"/>
  </bookViews>
  <sheets>
    <sheet name="Overview" sheetId="3" r:id="rId1"/>
    <sheet name="TABLE1" sheetId="1" r:id="rId2"/>
    <sheet name="table2" sheetId="6" r:id="rId3"/>
    <sheet name="Pivot Table" sheetId="4" r:id="rId4"/>
    <sheet name="גיליון1" sheetId="7" r:id="rId5"/>
    <sheet name="Notes" sheetId="2" r:id="rId6"/>
    <sheet name="lvl 2 Notes" sheetId="5" state="hidden" r:id="rId7"/>
  </sheets>
  <definedNames>
    <definedName name="TABLE">TABLE1[#All]</definedName>
  </definedNames>
  <calcPr calcId="191029"/>
  <pivotCaches>
    <pivotCache cacheId="14"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W3" i="1" l="1"/>
  <c r="BW4" i="1"/>
  <c r="BW5" i="1"/>
  <c r="BW6" i="1"/>
  <c r="BZ6" i="1" s="1"/>
  <c r="BW7" i="1"/>
  <c r="BW8" i="1"/>
  <c r="BW9" i="1"/>
  <c r="BW10" i="1"/>
  <c r="BW11" i="1"/>
  <c r="BW12" i="1"/>
  <c r="BW13" i="1"/>
  <c r="BW14" i="1"/>
  <c r="BW15" i="1"/>
  <c r="BW16" i="1"/>
  <c r="BW17" i="1"/>
  <c r="BW18" i="1"/>
  <c r="BW19" i="1"/>
  <c r="BW20" i="1"/>
  <c r="BW21" i="1"/>
  <c r="BW22" i="1"/>
  <c r="BZ22" i="1" s="1"/>
  <c r="BW23" i="1"/>
  <c r="BW24" i="1"/>
  <c r="BW25" i="1"/>
  <c r="BW26" i="1"/>
  <c r="BZ26" i="1" s="1"/>
  <c r="BW27" i="1"/>
  <c r="BW28" i="1"/>
  <c r="BW29" i="1"/>
  <c r="BW30" i="1"/>
  <c r="BW31" i="1"/>
  <c r="BW32" i="1"/>
  <c r="BW33" i="1"/>
  <c r="BW34" i="1"/>
  <c r="BZ34" i="1" s="1"/>
  <c r="BW35" i="1"/>
  <c r="BW36" i="1"/>
  <c r="BW37" i="1"/>
  <c r="BW38" i="1"/>
  <c r="BW39" i="1"/>
  <c r="BW40" i="1"/>
  <c r="BW41" i="1"/>
  <c r="BW42" i="1"/>
  <c r="BZ42" i="1" s="1"/>
  <c r="BW43" i="1"/>
  <c r="BW44" i="1"/>
  <c r="BW45" i="1"/>
  <c r="BW46" i="1"/>
  <c r="BZ46" i="1" s="1"/>
  <c r="BW47" i="1"/>
  <c r="BW48" i="1"/>
  <c r="BW49" i="1"/>
  <c r="BW50" i="1"/>
  <c r="BW51" i="1"/>
  <c r="BW52" i="1"/>
  <c r="BW53" i="1"/>
  <c r="BW54" i="1"/>
  <c r="BZ54" i="1" s="1"/>
  <c r="BW55" i="1"/>
  <c r="BW56" i="1"/>
  <c r="BW57" i="1"/>
  <c r="BW58" i="1"/>
  <c r="BZ58" i="1" s="1"/>
  <c r="BW59" i="1"/>
  <c r="BW60" i="1"/>
  <c r="BW61" i="1"/>
  <c r="BW62" i="1"/>
  <c r="BZ62" i="1" s="1"/>
  <c r="BW63" i="1"/>
  <c r="BW64" i="1"/>
  <c r="BW65" i="1"/>
  <c r="BW66" i="1"/>
  <c r="BZ66" i="1" s="1"/>
  <c r="BW67" i="1"/>
  <c r="BW68" i="1"/>
  <c r="BW69" i="1"/>
  <c r="BW70" i="1"/>
  <c r="BW71" i="1"/>
  <c r="BW72" i="1"/>
  <c r="BW73" i="1"/>
  <c r="BW74" i="1"/>
  <c r="BW75" i="1"/>
  <c r="BW76" i="1"/>
  <c r="BW77" i="1"/>
  <c r="BW78" i="1"/>
  <c r="BW79" i="1"/>
  <c r="BW80" i="1"/>
  <c r="BW81" i="1"/>
  <c r="BW82" i="1"/>
  <c r="BZ82" i="1" s="1"/>
  <c r="BW83" i="1"/>
  <c r="BW84" i="1"/>
  <c r="BW85" i="1"/>
  <c r="BW86" i="1"/>
  <c r="BW87" i="1"/>
  <c r="BW88" i="1"/>
  <c r="BW89" i="1"/>
  <c r="BW90" i="1"/>
  <c r="BZ90" i="1" s="1"/>
  <c r="BW91" i="1"/>
  <c r="BW92" i="1"/>
  <c r="BW93" i="1"/>
  <c r="BW94" i="1"/>
  <c r="BZ94" i="1" s="1"/>
  <c r="BW95" i="1"/>
  <c r="BW96" i="1"/>
  <c r="BW97" i="1"/>
  <c r="BW2" i="1"/>
  <c r="BZ2" i="1" s="1"/>
  <c r="BZ3" i="1"/>
  <c r="BZ4" i="1"/>
  <c r="BZ5" i="1"/>
  <c r="BZ7" i="1"/>
  <c r="BZ8" i="1"/>
  <c r="BZ9" i="1"/>
  <c r="BZ10" i="1"/>
  <c r="BZ11" i="1"/>
  <c r="BZ12" i="1"/>
  <c r="BZ13" i="1"/>
  <c r="BZ14" i="1"/>
  <c r="BZ15" i="1"/>
  <c r="BZ16" i="1"/>
  <c r="BZ17" i="1"/>
  <c r="BZ18" i="1"/>
  <c r="BZ19" i="1"/>
  <c r="BZ20" i="1"/>
  <c r="BZ21" i="1"/>
  <c r="BZ23" i="1"/>
  <c r="BZ24" i="1"/>
  <c r="BZ25" i="1"/>
  <c r="BZ27" i="1"/>
  <c r="BZ28" i="1"/>
  <c r="BZ29" i="1"/>
  <c r="BZ30" i="1"/>
  <c r="BZ31" i="1"/>
  <c r="BZ32" i="1"/>
  <c r="BZ33" i="1"/>
  <c r="BZ35" i="1"/>
  <c r="BZ36" i="1"/>
  <c r="BZ37" i="1"/>
  <c r="BZ38" i="1"/>
  <c r="BZ39" i="1"/>
  <c r="BZ40" i="1"/>
  <c r="BZ41" i="1"/>
  <c r="BZ43" i="1"/>
  <c r="BZ44" i="1"/>
  <c r="BZ45" i="1"/>
  <c r="BZ47" i="1"/>
  <c r="BZ48" i="1"/>
  <c r="BZ49" i="1"/>
  <c r="BZ50" i="1"/>
  <c r="BZ51" i="1"/>
  <c r="BZ52" i="1"/>
  <c r="BZ53" i="1"/>
  <c r="BZ55" i="1"/>
  <c r="BZ56" i="1"/>
  <c r="BZ57" i="1"/>
  <c r="BZ59" i="1"/>
  <c r="BZ60" i="1"/>
  <c r="BZ61" i="1"/>
  <c r="BZ63" i="1"/>
  <c r="BZ64" i="1"/>
  <c r="BZ65" i="1"/>
  <c r="BZ67" i="1"/>
  <c r="BZ68" i="1"/>
  <c r="BZ69" i="1"/>
  <c r="BZ70" i="1"/>
  <c r="BZ71" i="1"/>
  <c r="BZ72" i="1"/>
  <c r="BZ73" i="1"/>
  <c r="BZ74" i="1"/>
  <c r="BZ75" i="1"/>
  <c r="BZ76" i="1"/>
  <c r="BZ77" i="1"/>
  <c r="BZ78" i="1"/>
  <c r="BZ79" i="1"/>
  <c r="BZ80" i="1"/>
  <c r="BZ81" i="1"/>
  <c r="BZ83" i="1"/>
  <c r="BZ84" i="1"/>
  <c r="BZ85" i="1"/>
  <c r="BZ86" i="1"/>
  <c r="BZ87" i="1"/>
  <c r="BZ88" i="1"/>
  <c r="BZ89" i="1"/>
  <c r="BZ91" i="1"/>
  <c r="BZ92" i="1"/>
  <c r="BZ93" i="1"/>
  <c r="BZ95" i="1"/>
  <c r="BZ96" i="1"/>
  <c r="BZ97" i="1"/>
  <c r="CA3" i="1"/>
  <c r="CA5" i="1"/>
  <c r="CA6" i="1"/>
  <c r="CA7" i="1"/>
  <c r="CA8" i="1"/>
  <c r="CA9" i="1"/>
  <c r="CA10" i="1"/>
  <c r="CA11" i="1"/>
  <c r="CA12" i="1"/>
  <c r="CA13" i="1"/>
  <c r="CA14" i="1"/>
  <c r="CA15" i="1"/>
  <c r="CA17" i="1"/>
  <c r="CA18" i="1"/>
  <c r="CA19" i="1"/>
  <c r="CA21" i="1"/>
  <c r="CA22" i="1"/>
  <c r="CA23" i="1"/>
  <c r="CA24" i="1"/>
  <c r="CA25" i="1"/>
  <c r="CA26" i="1"/>
  <c r="CA28" i="1"/>
  <c r="CA29" i="1"/>
  <c r="CA30" i="1"/>
  <c r="CA31" i="1"/>
  <c r="CA32" i="1"/>
  <c r="CA33" i="1"/>
  <c r="CA34" i="1"/>
  <c r="CA35" i="1"/>
  <c r="CA36" i="1"/>
  <c r="CA37" i="1"/>
  <c r="CA38" i="1"/>
  <c r="CA39" i="1"/>
  <c r="CA40" i="1"/>
  <c r="CA41" i="1"/>
  <c r="CA42" i="1"/>
  <c r="CA44" i="1"/>
  <c r="CA45" i="1"/>
  <c r="CA46" i="1"/>
  <c r="CA47" i="1"/>
  <c r="CA48" i="1"/>
  <c r="CA49" i="1"/>
  <c r="CA50" i="1"/>
  <c r="CA51" i="1"/>
  <c r="CA52" i="1"/>
  <c r="CA53" i="1"/>
  <c r="CA54" i="1"/>
  <c r="CA55" i="1"/>
  <c r="CA56" i="1"/>
  <c r="CA57" i="1"/>
  <c r="CA58" i="1"/>
  <c r="CA59" i="1"/>
  <c r="CA60" i="1"/>
  <c r="CA61" i="1"/>
  <c r="CA62" i="1"/>
  <c r="CA63" i="1"/>
  <c r="CA64" i="1"/>
  <c r="CA65" i="1"/>
  <c r="CA66" i="1"/>
  <c r="CA67" i="1"/>
  <c r="CA68" i="1"/>
  <c r="CA69" i="1"/>
  <c r="CA70" i="1"/>
  <c r="CA71" i="1"/>
  <c r="CA72" i="1"/>
  <c r="CA73" i="1"/>
  <c r="CA74" i="1"/>
  <c r="CA75" i="1"/>
  <c r="CA76" i="1"/>
  <c r="CA77" i="1"/>
  <c r="CA78" i="1"/>
  <c r="CA79" i="1"/>
  <c r="CA80" i="1"/>
  <c r="CA81" i="1"/>
  <c r="CA82" i="1"/>
  <c r="CA84" i="1"/>
  <c r="CA85" i="1"/>
  <c r="CA86" i="1"/>
  <c r="CA87" i="1"/>
  <c r="CA88" i="1"/>
  <c r="CA89" i="1"/>
  <c r="CA90" i="1"/>
  <c r="CA91" i="1"/>
  <c r="CA92" i="1"/>
  <c r="CA94" i="1"/>
  <c r="CA95" i="1"/>
  <c r="CA96" i="1"/>
  <c r="CA2" i="1"/>
  <c r="AL2" i="1" l="1"/>
  <c r="AO3" i="1" l="1"/>
  <c r="AO4" i="1"/>
  <c r="AO6" i="1"/>
  <c r="AO8" i="1"/>
  <c r="AO9" i="1"/>
  <c r="AO11" i="1"/>
  <c r="AO13" i="1"/>
  <c r="AO15" i="1"/>
  <c r="AO16" i="1"/>
  <c r="AO17" i="1"/>
  <c r="AO22" i="1"/>
  <c r="AO23" i="1"/>
  <c r="AO26" i="1"/>
  <c r="AO27" i="1"/>
  <c r="AO28" i="1"/>
  <c r="AO29" i="1"/>
  <c r="AO30" i="1"/>
  <c r="AO31" i="1"/>
  <c r="AO32" i="1"/>
  <c r="AO33" i="1"/>
  <c r="AO35" i="1"/>
  <c r="AO36" i="1"/>
  <c r="AO37" i="1"/>
  <c r="AO38" i="1"/>
  <c r="AO39" i="1"/>
  <c r="AO40" i="1"/>
  <c r="AO41" i="1"/>
  <c r="AO43" i="1"/>
  <c r="AO44" i="1"/>
  <c r="AO45" i="1"/>
  <c r="AO46" i="1"/>
  <c r="AO47" i="1"/>
  <c r="AO48" i="1"/>
  <c r="AO49" i="1"/>
  <c r="AO51" i="1"/>
  <c r="AO52" i="1"/>
  <c r="AO54" i="1"/>
  <c r="AO55" i="1"/>
  <c r="AO56" i="1"/>
  <c r="AO57" i="1"/>
  <c r="AO58" i="1"/>
  <c r="AO61" i="1"/>
  <c r="AO62" i="1"/>
  <c r="AO63" i="1"/>
  <c r="AO64" i="1"/>
  <c r="AO65" i="1"/>
  <c r="AO66" i="1"/>
  <c r="AO67" i="1"/>
  <c r="AO68" i="1"/>
  <c r="AO71" i="1"/>
  <c r="AO73" i="1"/>
  <c r="AO75" i="1"/>
  <c r="AO76" i="1"/>
  <c r="AO78" i="1"/>
  <c r="AO79" i="1"/>
  <c r="AO80" i="1"/>
  <c r="AO82" i="1"/>
  <c r="AO83" i="1"/>
  <c r="AO85" i="1"/>
  <c r="AO88" i="1"/>
  <c r="AO90" i="1"/>
  <c r="AO91" i="1"/>
  <c r="AO92" i="1"/>
  <c r="AO94" i="1"/>
  <c r="AO95" i="1"/>
  <c r="AO97" i="1"/>
  <c r="BS17" i="1" l="1"/>
  <c r="BS22" i="1"/>
  <c r="BS26" i="1"/>
  <c r="BS42" i="1"/>
  <c r="BS46" i="1"/>
  <c r="BS54" i="1"/>
  <c r="BS65" i="1"/>
  <c r="BR17" i="1"/>
  <c r="BR22" i="1"/>
  <c r="BR26" i="1"/>
  <c r="BR42" i="1"/>
  <c r="BR46" i="1"/>
  <c r="BR54" i="1"/>
  <c r="BR65" i="1"/>
  <c r="BQ17" i="1"/>
  <c r="BQ22" i="1"/>
  <c r="BQ26" i="1"/>
  <c r="BQ42" i="1"/>
  <c r="BQ46" i="1"/>
  <c r="BQ54" i="1"/>
  <c r="BQ65" i="1"/>
  <c r="CC13" i="1" l="1"/>
  <c r="CC25" i="1"/>
  <c r="CC28" i="1"/>
  <c r="CC30" i="1"/>
  <c r="CC44" i="1"/>
  <c r="CC48" i="1"/>
  <c r="CC67" i="1"/>
  <c r="CC80" i="1"/>
  <c r="CC85" i="1"/>
  <c r="CC86" i="1"/>
  <c r="CC91" i="1"/>
  <c r="BU3" i="1"/>
  <c r="BU7" i="1"/>
  <c r="BU22" i="1"/>
  <c r="BU23" i="1"/>
  <c r="BU26" i="1"/>
  <c r="BU32" i="1"/>
  <c r="BU33" i="1"/>
  <c r="BU36" i="1"/>
  <c r="BU45" i="1"/>
  <c r="BU46" i="1"/>
  <c r="BU48" i="1"/>
  <c r="BU54" i="1"/>
  <c r="BU58" i="1"/>
  <c r="BU62" i="1"/>
  <c r="BU64" i="1"/>
  <c r="BU66" i="1"/>
  <c r="BU80" i="1"/>
  <c r="BU81" i="1"/>
  <c r="BU95" i="1"/>
  <c r="BU96" i="1"/>
  <c r="CD13" i="1"/>
  <c r="CD25" i="1"/>
  <c r="CD28" i="1"/>
  <c r="CD30" i="1"/>
  <c r="CD44" i="1"/>
  <c r="CD48" i="1"/>
  <c r="CD67" i="1"/>
  <c r="CD80" i="1"/>
  <c r="CD85" i="1"/>
  <c r="CD86" i="1"/>
  <c r="CD91" i="1"/>
  <c r="BV3" i="1"/>
  <c r="BV7" i="1"/>
  <c r="BV22" i="1"/>
  <c r="BV23" i="1"/>
  <c r="BV26" i="1"/>
  <c r="BV32" i="1"/>
  <c r="BV33" i="1"/>
  <c r="BV36" i="1"/>
  <c r="BV42" i="1"/>
  <c r="BV45" i="1"/>
  <c r="BV46" i="1"/>
  <c r="BV48" i="1"/>
  <c r="BV49" i="1"/>
  <c r="BV54" i="1"/>
  <c r="BV58" i="1"/>
  <c r="BV61" i="1"/>
  <c r="BV62" i="1"/>
  <c r="BV64" i="1"/>
  <c r="BV66" i="1"/>
  <c r="BV80" i="1"/>
  <c r="BV81" i="1"/>
  <c r="BV95" i="1"/>
  <c r="BV96" i="1"/>
  <c r="G96" i="1" l="1"/>
  <c r="AP96" i="1" s="1"/>
  <c r="M97" i="1"/>
  <c r="AP97" i="1"/>
  <c r="AQ97" i="1"/>
  <c r="AV97" i="1"/>
  <c r="AL96" i="1"/>
  <c r="AM96" i="1"/>
  <c r="AN96" i="1"/>
  <c r="AO96" i="1"/>
  <c r="AQ96" i="1"/>
  <c r="AR96" i="1"/>
  <c r="AT96" i="1"/>
  <c r="AU96" i="1"/>
  <c r="AV96" i="1"/>
  <c r="AX96" i="1"/>
  <c r="AY96" i="1"/>
  <c r="BA96" i="1"/>
  <c r="BY96" i="1"/>
  <c r="AL95" i="1"/>
  <c r="AM95" i="1"/>
  <c r="AN95" i="1"/>
  <c r="AP95" i="1"/>
  <c r="AQ95" i="1"/>
  <c r="AR95" i="1"/>
  <c r="AT95" i="1"/>
  <c r="AU95" i="1"/>
  <c r="AV95" i="1"/>
  <c r="AX95" i="1"/>
  <c r="AY95" i="1"/>
  <c r="BA95" i="1"/>
  <c r="BX95" i="1"/>
  <c r="BT95" i="1"/>
  <c r="AM97" i="1" l="1"/>
  <c r="CA97" i="1"/>
  <c r="AZ95" i="1"/>
  <c r="BS96" i="1"/>
  <c r="BP96" i="1"/>
  <c r="BO96" i="1"/>
  <c r="BN96" i="1"/>
  <c r="BM96" i="1"/>
  <c r="BK96" i="1"/>
  <c r="BR96" i="1"/>
  <c r="BL96" i="1"/>
  <c r="BH96" i="1"/>
  <c r="BG96" i="1"/>
  <c r="BF96" i="1"/>
  <c r="BJ96" i="1"/>
  <c r="BQ96" i="1"/>
  <c r="BS95" i="1"/>
  <c r="BP95" i="1"/>
  <c r="BN95" i="1"/>
  <c r="BM95" i="1"/>
  <c r="BO95" i="1"/>
  <c r="BJ95" i="1"/>
  <c r="BQ95" i="1"/>
  <c r="BR95" i="1"/>
  <c r="BL95" i="1"/>
  <c r="BH95" i="1"/>
  <c r="BG95" i="1"/>
  <c r="BF95" i="1"/>
  <c r="BE95" i="1"/>
  <c r="BK95" i="1"/>
  <c r="BI95" i="1"/>
  <c r="BI96" i="1"/>
  <c r="BE96" i="1"/>
  <c r="BA97" i="1"/>
  <c r="AR97" i="1"/>
  <c r="AN97" i="1"/>
  <c r="CC95" i="1"/>
  <c r="CD95" i="1"/>
  <c r="BD95" i="1"/>
  <c r="BC95" i="1"/>
  <c r="AX97" i="1"/>
  <c r="AL97" i="1"/>
  <c r="BB96" i="1"/>
  <c r="CC96" i="1"/>
  <c r="CD96" i="1"/>
  <c r="BD96" i="1"/>
  <c r="BC96" i="1"/>
  <c r="AU97" i="1"/>
  <c r="AW97" i="1" s="1"/>
  <c r="CB96" i="1"/>
  <c r="AY97" i="1"/>
  <c r="AT97" i="1"/>
  <c r="BX96" i="1"/>
  <c r="BY95" i="1"/>
  <c r="CB95" i="1"/>
  <c r="AW96" i="1"/>
  <c r="BB95" i="1"/>
  <c r="AW95" i="1"/>
  <c r="G93" i="1"/>
  <c r="AP93" i="1" s="1"/>
  <c r="AL94" i="1"/>
  <c r="AM94" i="1"/>
  <c r="AN94" i="1"/>
  <c r="AP94" i="1"/>
  <c r="AQ94" i="1"/>
  <c r="AR94" i="1"/>
  <c r="AT94" i="1"/>
  <c r="AU94" i="1"/>
  <c r="AV94" i="1"/>
  <c r="AX94" i="1"/>
  <c r="AY94" i="1"/>
  <c r="BA94" i="1"/>
  <c r="M93" i="1"/>
  <c r="AQ93" i="1"/>
  <c r="AT93" i="1"/>
  <c r="AY93" i="1" l="1"/>
  <c r="CA93" i="1"/>
  <c r="AZ94" i="1"/>
  <c r="AZ97" i="1"/>
  <c r="BS97" i="1"/>
  <c r="BP97" i="1"/>
  <c r="BO97" i="1"/>
  <c r="BK97" i="1"/>
  <c r="BR97" i="1"/>
  <c r="BL97" i="1"/>
  <c r="BN97" i="1"/>
  <c r="BM97" i="1"/>
  <c r="BI97" i="1"/>
  <c r="BH97" i="1"/>
  <c r="BG97" i="1"/>
  <c r="BF97" i="1"/>
  <c r="BJ97" i="1"/>
  <c r="BQ97" i="1"/>
  <c r="BE97" i="1"/>
  <c r="BS94" i="1"/>
  <c r="BP94" i="1"/>
  <c r="BO94" i="1"/>
  <c r="BN94" i="1"/>
  <c r="BM94" i="1"/>
  <c r="BK94" i="1"/>
  <c r="BR94" i="1"/>
  <c r="BL94" i="1"/>
  <c r="BI94" i="1"/>
  <c r="BH94" i="1"/>
  <c r="BG94" i="1"/>
  <c r="BF94" i="1"/>
  <c r="BQ94" i="1"/>
  <c r="BJ94" i="1"/>
  <c r="BE94" i="1"/>
  <c r="BV97" i="1"/>
  <c r="CC97" i="1"/>
  <c r="CD97" i="1"/>
  <c r="BC97" i="1"/>
  <c r="BD97" i="1"/>
  <c r="CC94" i="1"/>
  <c r="BU94" i="1"/>
  <c r="CD94" i="1"/>
  <c r="BV94" i="1"/>
  <c r="BD94" i="1"/>
  <c r="BC94" i="1"/>
  <c r="AO93" i="1"/>
  <c r="BU97" i="1"/>
  <c r="AL93" i="1"/>
  <c r="CB97" i="1"/>
  <c r="BT97" i="1"/>
  <c r="BB97" i="1"/>
  <c r="BX97" i="1"/>
  <c r="BY97" i="1"/>
  <c r="BT96" i="1"/>
  <c r="BX94" i="1"/>
  <c r="BB94" i="1"/>
  <c r="BY94" i="1"/>
  <c r="AX93" i="1"/>
  <c r="AV93" i="1"/>
  <c r="AM93" i="1"/>
  <c r="AR93" i="1"/>
  <c r="AN93" i="1"/>
  <c r="BA93" i="1"/>
  <c r="AU93" i="1"/>
  <c r="BO93" i="1" s="1"/>
  <c r="CB94" i="1"/>
  <c r="AW94" i="1"/>
  <c r="BX93" i="1"/>
  <c r="BY93" i="1"/>
  <c r="AL92" i="1"/>
  <c r="AM92" i="1"/>
  <c r="AN92" i="1"/>
  <c r="AP92" i="1"/>
  <c r="AQ92" i="1"/>
  <c r="AR92" i="1"/>
  <c r="AT92" i="1"/>
  <c r="AU92" i="1"/>
  <c r="AV92" i="1"/>
  <c r="AX92" i="1"/>
  <c r="AY92" i="1"/>
  <c r="BA92" i="1"/>
  <c r="AL91" i="1"/>
  <c r="AM91" i="1"/>
  <c r="AN91" i="1"/>
  <c r="AP91" i="1"/>
  <c r="AQ91" i="1"/>
  <c r="AR91" i="1"/>
  <c r="AT91" i="1"/>
  <c r="AU91" i="1"/>
  <c r="AV91" i="1"/>
  <c r="AX91" i="1"/>
  <c r="AY91" i="1"/>
  <c r="BA91" i="1"/>
  <c r="CB91" i="1"/>
  <c r="AZ92" i="1" l="1"/>
  <c r="AZ91" i="1"/>
  <c r="BG93" i="1"/>
  <c r="BJ93" i="1"/>
  <c r="BM93" i="1"/>
  <c r="BS91" i="1"/>
  <c r="BP91" i="1"/>
  <c r="BO91" i="1"/>
  <c r="BN91" i="1"/>
  <c r="BM91" i="1"/>
  <c r="BQ91" i="1"/>
  <c r="BR91" i="1"/>
  <c r="BL91" i="1"/>
  <c r="BJ91" i="1"/>
  <c r="BK91" i="1"/>
  <c r="BH91" i="1"/>
  <c r="BG91" i="1"/>
  <c r="BF91" i="1"/>
  <c r="BL93" i="1"/>
  <c r="BS92" i="1"/>
  <c r="BP92" i="1"/>
  <c r="BO92" i="1"/>
  <c r="BN92" i="1"/>
  <c r="BM92" i="1"/>
  <c r="BK92" i="1"/>
  <c r="BR92" i="1"/>
  <c r="BL92" i="1"/>
  <c r="BI92" i="1"/>
  <c r="BH92" i="1"/>
  <c r="BG92" i="1"/>
  <c r="BF92" i="1"/>
  <c r="BQ92" i="1"/>
  <c r="BJ92" i="1"/>
  <c r="BE92" i="1"/>
  <c r="BI93" i="1"/>
  <c r="BE93" i="1"/>
  <c r="BH93" i="1"/>
  <c r="BN93" i="1"/>
  <c r="BQ93" i="1"/>
  <c r="BR93" i="1"/>
  <c r="BP93" i="1"/>
  <c r="BE91" i="1"/>
  <c r="BI91" i="1"/>
  <c r="BF93" i="1"/>
  <c r="BS93" i="1"/>
  <c r="BK93" i="1"/>
  <c r="CC92" i="1"/>
  <c r="BU92" i="1"/>
  <c r="CD92" i="1"/>
  <c r="BV92" i="1"/>
  <c r="BC92" i="1"/>
  <c r="BD92" i="1"/>
  <c r="BC93" i="1"/>
  <c r="CD93" i="1"/>
  <c r="BD93" i="1"/>
  <c r="CC93" i="1"/>
  <c r="BV91" i="1"/>
  <c r="BU91" i="1"/>
  <c r="BD91" i="1"/>
  <c r="BC91" i="1"/>
  <c r="BU93" i="1"/>
  <c r="BV93" i="1"/>
  <c r="BT94" i="1"/>
  <c r="AW93" i="1"/>
  <c r="BB93" i="1"/>
  <c r="CB93" i="1"/>
  <c r="BT91" i="1"/>
  <c r="BY91" i="1"/>
  <c r="BX91" i="1"/>
  <c r="CB92" i="1"/>
  <c r="BX92" i="1"/>
  <c r="BB92" i="1"/>
  <c r="BY92" i="1"/>
  <c r="AW92" i="1"/>
  <c r="BT92" i="1" s="1"/>
  <c r="BB91" i="1"/>
  <c r="AW91" i="1"/>
  <c r="AL90" i="1"/>
  <c r="AM90" i="1"/>
  <c r="AN90" i="1"/>
  <c r="AP90" i="1"/>
  <c r="AQ90" i="1"/>
  <c r="AR90" i="1"/>
  <c r="AT90" i="1"/>
  <c r="BX90" i="1" s="1"/>
  <c r="AU90" i="1"/>
  <c r="AV90" i="1"/>
  <c r="AX90" i="1"/>
  <c r="AY90" i="1"/>
  <c r="BA90" i="1"/>
  <c r="AZ90" i="1" l="1"/>
  <c r="BS90" i="1"/>
  <c r="BP90" i="1"/>
  <c r="BO90" i="1"/>
  <c r="BN90" i="1"/>
  <c r="BM90" i="1"/>
  <c r="BK90" i="1"/>
  <c r="BR90" i="1"/>
  <c r="BL90" i="1"/>
  <c r="BJ90" i="1"/>
  <c r="BI90" i="1"/>
  <c r="BH90" i="1"/>
  <c r="BG90" i="1"/>
  <c r="BF90" i="1"/>
  <c r="BQ90" i="1"/>
  <c r="BE90" i="1"/>
  <c r="CC90" i="1"/>
  <c r="BU90" i="1"/>
  <c r="BV90" i="1"/>
  <c r="CD90" i="1"/>
  <c r="BD90" i="1"/>
  <c r="BC90" i="1"/>
  <c r="BT93" i="1"/>
  <c r="CB90" i="1"/>
  <c r="BY90" i="1"/>
  <c r="BB90" i="1"/>
  <c r="AW90" i="1"/>
  <c r="G89" i="1"/>
  <c r="AL89" i="1"/>
  <c r="AM89" i="1"/>
  <c r="AN89" i="1"/>
  <c r="AQ89" i="1"/>
  <c r="AR89" i="1"/>
  <c r="AT89" i="1"/>
  <c r="AU89" i="1"/>
  <c r="AV89" i="1"/>
  <c r="AX89" i="1"/>
  <c r="AY89" i="1"/>
  <c r="BA89" i="1"/>
  <c r="AL88" i="1"/>
  <c r="AM88" i="1"/>
  <c r="AN88" i="1"/>
  <c r="AP88" i="1"/>
  <c r="AQ88" i="1"/>
  <c r="AR88" i="1"/>
  <c r="AT88" i="1"/>
  <c r="AU88" i="1"/>
  <c r="AV88" i="1"/>
  <c r="AX88" i="1"/>
  <c r="AY88" i="1"/>
  <c r="BA88" i="1"/>
  <c r="AZ88" i="1" l="1"/>
  <c r="AZ89" i="1"/>
  <c r="AP89" i="1"/>
  <c r="AO89" i="1"/>
  <c r="BS89" i="1"/>
  <c r="BP89" i="1"/>
  <c r="BN89" i="1"/>
  <c r="BM89" i="1"/>
  <c r="BO89" i="1"/>
  <c r="BK89" i="1"/>
  <c r="BR89" i="1"/>
  <c r="BL89" i="1"/>
  <c r="BJ89" i="1"/>
  <c r="BI89" i="1"/>
  <c r="BH89" i="1"/>
  <c r="BG89" i="1"/>
  <c r="BF89" i="1"/>
  <c r="BQ89" i="1"/>
  <c r="BE89" i="1"/>
  <c r="BS88" i="1"/>
  <c r="BP88" i="1"/>
  <c r="BO88" i="1"/>
  <c r="BN88" i="1"/>
  <c r="BM88" i="1"/>
  <c r="BK88" i="1"/>
  <c r="BR88" i="1"/>
  <c r="BL88" i="1"/>
  <c r="BI88" i="1"/>
  <c r="BH88" i="1"/>
  <c r="BG88" i="1"/>
  <c r="BF88" i="1"/>
  <c r="BQ88" i="1"/>
  <c r="BJ88" i="1"/>
  <c r="BE88" i="1"/>
  <c r="CC88" i="1"/>
  <c r="BU88" i="1"/>
  <c r="CD88" i="1"/>
  <c r="BV88" i="1"/>
  <c r="BD88" i="1"/>
  <c r="BC88" i="1"/>
  <c r="CC89" i="1"/>
  <c r="BU89" i="1"/>
  <c r="CD89" i="1"/>
  <c r="BV89" i="1"/>
  <c r="BC89" i="1"/>
  <c r="BD89" i="1"/>
  <c r="BY89" i="1"/>
  <c r="BT90" i="1"/>
  <c r="BX89" i="1"/>
  <c r="BB89" i="1"/>
  <c r="CB89" i="1"/>
  <c r="AW89" i="1"/>
  <c r="BX88" i="1"/>
  <c r="CB88" i="1"/>
  <c r="BB88" i="1"/>
  <c r="BY88" i="1"/>
  <c r="AW88" i="1"/>
  <c r="N87" i="1"/>
  <c r="AL87" i="1" s="1"/>
  <c r="G86" i="1"/>
  <c r="AO86" i="1" s="1"/>
  <c r="G87" i="1"/>
  <c r="AO87" i="1" s="1"/>
  <c r="AM87" i="1"/>
  <c r="AN87" i="1"/>
  <c r="AQ87" i="1"/>
  <c r="AR87" i="1"/>
  <c r="AT87" i="1"/>
  <c r="AU87" i="1"/>
  <c r="AV87" i="1"/>
  <c r="AX87" i="1"/>
  <c r="AY87" i="1"/>
  <c r="BA87" i="1"/>
  <c r="AL86" i="1"/>
  <c r="AM86" i="1"/>
  <c r="AN86" i="1"/>
  <c r="AQ86" i="1"/>
  <c r="AR86" i="1"/>
  <c r="AT86" i="1"/>
  <c r="AU86" i="1"/>
  <c r="AV86" i="1"/>
  <c r="AX86" i="1"/>
  <c r="AZ86" i="1" s="1"/>
  <c r="AY86" i="1"/>
  <c r="BA86" i="1"/>
  <c r="CB86" i="1"/>
  <c r="AZ87" i="1" l="1"/>
  <c r="BS87" i="1"/>
  <c r="BP87" i="1"/>
  <c r="BO87" i="1"/>
  <c r="BN87" i="1"/>
  <c r="BM87" i="1"/>
  <c r="BR87" i="1"/>
  <c r="BL87" i="1"/>
  <c r="BQ87" i="1"/>
  <c r="BK87" i="1"/>
  <c r="BJ87" i="1"/>
  <c r="BI87" i="1"/>
  <c r="BE87" i="1"/>
  <c r="BH87" i="1"/>
  <c r="BG87" i="1"/>
  <c r="BF87" i="1"/>
  <c r="BS86" i="1"/>
  <c r="BP86" i="1"/>
  <c r="BO86" i="1"/>
  <c r="BN86" i="1"/>
  <c r="BM86" i="1"/>
  <c r="BK86" i="1"/>
  <c r="BR86" i="1"/>
  <c r="BL86" i="1"/>
  <c r="BJ86" i="1"/>
  <c r="BI86" i="1"/>
  <c r="BH86" i="1"/>
  <c r="BG86" i="1"/>
  <c r="BF86" i="1"/>
  <c r="BQ86" i="1"/>
  <c r="BE86" i="1"/>
  <c r="AP87" i="1"/>
  <c r="CC87" i="1"/>
  <c r="CD87" i="1"/>
  <c r="BV87" i="1"/>
  <c r="BU87" i="1"/>
  <c r="BD87" i="1"/>
  <c r="BC87" i="1"/>
  <c r="BU86" i="1"/>
  <c r="BV86" i="1"/>
  <c r="BD86" i="1"/>
  <c r="BC86" i="1"/>
  <c r="AP86" i="1"/>
  <c r="BT89" i="1"/>
  <c r="BT87" i="1"/>
  <c r="BX87" i="1"/>
  <c r="BX86" i="1"/>
  <c r="BT88" i="1"/>
  <c r="CB87" i="1"/>
  <c r="BB87" i="1"/>
  <c r="BT86" i="1"/>
  <c r="BY87" i="1"/>
  <c r="BB86" i="1"/>
  <c r="AW87" i="1"/>
  <c r="AW86" i="1"/>
  <c r="BY86" i="1"/>
  <c r="AL85" i="1"/>
  <c r="AM85" i="1"/>
  <c r="AN85" i="1"/>
  <c r="AP85" i="1"/>
  <c r="AQ85" i="1"/>
  <c r="AR85" i="1"/>
  <c r="AT85" i="1"/>
  <c r="AU85" i="1"/>
  <c r="AV85" i="1"/>
  <c r="AX85" i="1"/>
  <c r="AY85" i="1"/>
  <c r="BA85" i="1"/>
  <c r="CB85" i="1"/>
  <c r="P83" i="1"/>
  <c r="O83" i="1"/>
  <c r="CA83" i="1" s="1"/>
  <c r="N83" i="1"/>
  <c r="M83" i="1"/>
  <c r="G84" i="1"/>
  <c r="AL84" i="1"/>
  <c r="AM84" i="1"/>
  <c r="AN84" i="1"/>
  <c r="AQ84" i="1"/>
  <c r="AR84" i="1"/>
  <c r="AT84" i="1"/>
  <c r="AU84" i="1"/>
  <c r="AV84" i="1"/>
  <c r="AX84" i="1"/>
  <c r="AY84" i="1"/>
  <c r="BA84" i="1"/>
  <c r="AP83" i="1"/>
  <c r="AQ83" i="1"/>
  <c r="AR83" i="1"/>
  <c r="AT83" i="1"/>
  <c r="AZ84" i="1" l="1"/>
  <c r="AZ85" i="1"/>
  <c r="AP84" i="1"/>
  <c r="AO84" i="1"/>
  <c r="BS84" i="1"/>
  <c r="BP84" i="1"/>
  <c r="BN84" i="1"/>
  <c r="BM84" i="1"/>
  <c r="BO84" i="1"/>
  <c r="BK84" i="1"/>
  <c r="BR84" i="1"/>
  <c r="BL84" i="1"/>
  <c r="BJ84" i="1"/>
  <c r="BI84" i="1"/>
  <c r="BH84" i="1"/>
  <c r="BG84" i="1"/>
  <c r="BF84" i="1"/>
  <c r="BQ84" i="1"/>
  <c r="BE84" i="1"/>
  <c r="BO85" i="1"/>
  <c r="BS85" i="1"/>
  <c r="BP85" i="1"/>
  <c r="BK85" i="1"/>
  <c r="BR85" i="1"/>
  <c r="BL85" i="1"/>
  <c r="BJ85" i="1"/>
  <c r="BN85" i="1"/>
  <c r="BI85" i="1"/>
  <c r="BH85" i="1"/>
  <c r="BG85" i="1"/>
  <c r="BF85" i="1"/>
  <c r="BQ85" i="1"/>
  <c r="BE85" i="1"/>
  <c r="BM85" i="1"/>
  <c r="CC84" i="1"/>
  <c r="BU84" i="1"/>
  <c r="CD84" i="1"/>
  <c r="BV84" i="1"/>
  <c r="BD84" i="1"/>
  <c r="BC84" i="1"/>
  <c r="AU83" i="1"/>
  <c r="BU85" i="1"/>
  <c r="BV85" i="1"/>
  <c r="BD85" i="1"/>
  <c r="BC85" i="1"/>
  <c r="AY83" i="1"/>
  <c r="AN83" i="1"/>
  <c r="AM83" i="1"/>
  <c r="BY83" i="1"/>
  <c r="AX83" i="1"/>
  <c r="BX83" i="1"/>
  <c r="BA83" i="1"/>
  <c r="BB84" i="1"/>
  <c r="AV83" i="1"/>
  <c r="AL83" i="1"/>
  <c r="BY84" i="1"/>
  <c r="BX84" i="1"/>
  <c r="BT84" i="1"/>
  <c r="BY85" i="1"/>
  <c r="BX85" i="1"/>
  <c r="BB85" i="1"/>
  <c r="CB84" i="1"/>
  <c r="AW85" i="1"/>
  <c r="AW84" i="1"/>
  <c r="AP82" i="1"/>
  <c r="AL82" i="1"/>
  <c r="AM82" i="1"/>
  <c r="AN82" i="1"/>
  <c r="AQ82" i="1"/>
  <c r="AR82" i="1"/>
  <c r="AT82" i="1"/>
  <c r="AU82" i="1"/>
  <c r="AV82" i="1"/>
  <c r="AX82" i="1"/>
  <c r="AY82" i="1"/>
  <c r="BA82" i="1"/>
  <c r="BX82" i="1"/>
  <c r="AL81" i="1"/>
  <c r="AM81" i="1"/>
  <c r="AN81" i="1"/>
  <c r="AO81" i="1"/>
  <c r="AP81" i="1"/>
  <c r="AQ81" i="1"/>
  <c r="AR81" i="1"/>
  <c r="AT81" i="1"/>
  <c r="AU81" i="1"/>
  <c r="AV81" i="1"/>
  <c r="AX81" i="1"/>
  <c r="AY81" i="1"/>
  <c r="BA81" i="1"/>
  <c r="BY81" i="1"/>
  <c r="AL80" i="1"/>
  <c r="AM80" i="1"/>
  <c r="AN80" i="1"/>
  <c r="AP80" i="1"/>
  <c r="AQ80" i="1"/>
  <c r="AR80" i="1"/>
  <c r="AT80" i="1"/>
  <c r="AU80" i="1"/>
  <c r="AV80" i="1"/>
  <c r="AX80" i="1"/>
  <c r="AY80" i="1"/>
  <c r="BA80" i="1"/>
  <c r="AZ80" i="1" l="1"/>
  <c r="AZ82" i="1"/>
  <c r="AZ83" i="1"/>
  <c r="BB83" i="1"/>
  <c r="AW83" i="1"/>
  <c r="BV83" i="1"/>
  <c r="BS83" i="1"/>
  <c r="BP83" i="1"/>
  <c r="BN83" i="1"/>
  <c r="BM83" i="1"/>
  <c r="BO83" i="1"/>
  <c r="BK83" i="1"/>
  <c r="BQ83" i="1"/>
  <c r="BJ83" i="1"/>
  <c r="BE83" i="1"/>
  <c r="BR83" i="1"/>
  <c r="BI83" i="1"/>
  <c r="BL83" i="1"/>
  <c r="BH83" i="1"/>
  <c r="BG83" i="1"/>
  <c r="BF83" i="1"/>
  <c r="BS81" i="1"/>
  <c r="BP81" i="1"/>
  <c r="BO81" i="1"/>
  <c r="BK81" i="1"/>
  <c r="BR81" i="1"/>
  <c r="BL81" i="1"/>
  <c r="BJ81" i="1"/>
  <c r="BN81" i="1"/>
  <c r="BM81" i="1"/>
  <c r="BI81" i="1"/>
  <c r="BH81" i="1"/>
  <c r="BG81" i="1"/>
  <c r="BF81" i="1"/>
  <c r="BQ81" i="1"/>
  <c r="BE81" i="1"/>
  <c r="BS80" i="1"/>
  <c r="BP80" i="1"/>
  <c r="BO80" i="1"/>
  <c r="BN80" i="1"/>
  <c r="BM80" i="1"/>
  <c r="BK80" i="1"/>
  <c r="BR80" i="1"/>
  <c r="BL80" i="1"/>
  <c r="BI80" i="1"/>
  <c r="BH80" i="1"/>
  <c r="BG80" i="1"/>
  <c r="BF80" i="1"/>
  <c r="BJ80" i="1"/>
  <c r="BQ80" i="1"/>
  <c r="BE80" i="1"/>
  <c r="BS82" i="1"/>
  <c r="BP82" i="1"/>
  <c r="BO82" i="1"/>
  <c r="BN82" i="1"/>
  <c r="BM82" i="1"/>
  <c r="BK82" i="1"/>
  <c r="BR82" i="1"/>
  <c r="BL82" i="1"/>
  <c r="BJ82" i="1"/>
  <c r="BI82" i="1"/>
  <c r="BH82" i="1"/>
  <c r="BG82" i="1"/>
  <c r="BF82" i="1"/>
  <c r="BE82" i="1"/>
  <c r="BQ82" i="1"/>
  <c r="CB83" i="1"/>
  <c r="CC81" i="1"/>
  <c r="CD81" i="1"/>
  <c r="BC81" i="1"/>
  <c r="BD81" i="1"/>
  <c r="CC82" i="1"/>
  <c r="BU82" i="1"/>
  <c r="CD82" i="1"/>
  <c r="BV82" i="1"/>
  <c r="BD82" i="1"/>
  <c r="BC82" i="1"/>
  <c r="BU83" i="1"/>
  <c r="CB80" i="1"/>
  <c r="BC80" i="1"/>
  <c r="BD80" i="1"/>
  <c r="CC83" i="1"/>
  <c r="CD83" i="1"/>
  <c r="BD83" i="1"/>
  <c r="BC83" i="1"/>
  <c r="BT85" i="1"/>
  <c r="CB81" i="1"/>
  <c r="AW82" i="1"/>
  <c r="BT82" i="1" s="1"/>
  <c r="BT83" i="1"/>
  <c r="CB82" i="1"/>
  <c r="BB82" i="1"/>
  <c r="BY82" i="1"/>
  <c r="BX81" i="1"/>
  <c r="BB81" i="1"/>
  <c r="AW81" i="1"/>
  <c r="BX80" i="1"/>
  <c r="BB80" i="1"/>
  <c r="BY80" i="1"/>
  <c r="BT80" i="1"/>
  <c r="AW80" i="1"/>
  <c r="AP79" i="1"/>
  <c r="AL79" i="1"/>
  <c r="AM79" i="1"/>
  <c r="AN79" i="1"/>
  <c r="AQ79" i="1"/>
  <c r="AR79" i="1"/>
  <c r="AT79" i="1"/>
  <c r="AU79" i="1"/>
  <c r="AV79" i="1"/>
  <c r="AX79" i="1"/>
  <c r="AY79" i="1"/>
  <c r="BA79" i="1"/>
  <c r="AL78" i="1"/>
  <c r="AM78" i="1"/>
  <c r="AN78" i="1"/>
  <c r="AP78" i="1"/>
  <c r="AQ78" i="1"/>
  <c r="AR78" i="1"/>
  <c r="AT78" i="1"/>
  <c r="AU78" i="1"/>
  <c r="AV78" i="1"/>
  <c r="AX78" i="1"/>
  <c r="AY78" i="1"/>
  <c r="BA78" i="1"/>
  <c r="AZ78" i="1" l="1"/>
  <c r="AZ79" i="1"/>
  <c r="BS78" i="1"/>
  <c r="BP78" i="1"/>
  <c r="BO78" i="1"/>
  <c r="BN78" i="1"/>
  <c r="BM78" i="1"/>
  <c r="BK78" i="1"/>
  <c r="BR78" i="1"/>
  <c r="BL78" i="1"/>
  <c r="BI78" i="1"/>
  <c r="BH78" i="1"/>
  <c r="BG78" i="1"/>
  <c r="BF78" i="1"/>
  <c r="BQ78" i="1"/>
  <c r="BJ78" i="1"/>
  <c r="BE78" i="1"/>
  <c r="BS79" i="1"/>
  <c r="BP79" i="1"/>
  <c r="BN79" i="1"/>
  <c r="BM79" i="1"/>
  <c r="BO79" i="1"/>
  <c r="BJ79" i="1"/>
  <c r="BQ79" i="1"/>
  <c r="BR79" i="1"/>
  <c r="BL79" i="1"/>
  <c r="BH79" i="1"/>
  <c r="BG79" i="1"/>
  <c r="BF79" i="1"/>
  <c r="BE79" i="1"/>
  <c r="BK79" i="1"/>
  <c r="BI79" i="1"/>
  <c r="CC79" i="1"/>
  <c r="CD79" i="1"/>
  <c r="BV79" i="1"/>
  <c r="BU79" i="1"/>
  <c r="BD79" i="1"/>
  <c r="BC79" i="1"/>
  <c r="CC78" i="1"/>
  <c r="BU78" i="1"/>
  <c r="CD78" i="1"/>
  <c r="BV78" i="1"/>
  <c r="BD78" i="1"/>
  <c r="BC78" i="1"/>
  <c r="BT81" i="1"/>
  <c r="CB78" i="1"/>
  <c r="BT79" i="1"/>
  <c r="CB79" i="1"/>
  <c r="BX79" i="1"/>
  <c r="BY79" i="1"/>
  <c r="AW79" i="1"/>
  <c r="BB79" i="1"/>
  <c r="BY78" i="1"/>
  <c r="BB78" i="1"/>
  <c r="BT78" i="1"/>
  <c r="BX78" i="1"/>
  <c r="AW78" i="1"/>
  <c r="G77" i="1"/>
  <c r="AL77" i="1"/>
  <c r="AM77" i="1"/>
  <c r="AN77" i="1"/>
  <c r="AQ77" i="1"/>
  <c r="AR77" i="1"/>
  <c r="AT77" i="1"/>
  <c r="AU77" i="1"/>
  <c r="AV77" i="1"/>
  <c r="AX77" i="1"/>
  <c r="AY77" i="1"/>
  <c r="BA77" i="1"/>
  <c r="AL76" i="1"/>
  <c r="AM76" i="1"/>
  <c r="AN76" i="1"/>
  <c r="AP76" i="1"/>
  <c r="AQ76" i="1"/>
  <c r="AR76" i="1"/>
  <c r="AT76" i="1"/>
  <c r="AU76" i="1"/>
  <c r="AV76" i="1"/>
  <c r="AX76" i="1"/>
  <c r="AY76" i="1"/>
  <c r="BA76" i="1"/>
  <c r="AL75" i="1"/>
  <c r="AM75" i="1"/>
  <c r="AN75" i="1"/>
  <c r="AP75" i="1"/>
  <c r="AQ75" i="1"/>
  <c r="AR75" i="1"/>
  <c r="AT75" i="1"/>
  <c r="AU75" i="1"/>
  <c r="AV75" i="1"/>
  <c r="AX75" i="1"/>
  <c r="AY75" i="1"/>
  <c r="BA75" i="1"/>
  <c r="G74" i="1"/>
  <c r="AL74" i="1"/>
  <c r="AM74" i="1"/>
  <c r="AN74" i="1"/>
  <c r="AQ74" i="1"/>
  <c r="AR74" i="1"/>
  <c r="AT74" i="1"/>
  <c r="AU74" i="1"/>
  <c r="AV74" i="1"/>
  <c r="AX74" i="1"/>
  <c r="AY74" i="1"/>
  <c r="BA74" i="1"/>
  <c r="AZ74" i="1" l="1"/>
  <c r="AZ75" i="1"/>
  <c r="AZ77" i="1"/>
  <c r="AZ76" i="1"/>
  <c r="AP77" i="1"/>
  <c r="AO77" i="1"/>
  <c r="AP74" i="1"/>
  <c r="AO74" i="1"/>
  <c r="BS75" i="1"/>
  <c r="BP75" i="1"/>
  <c r="BO75" i="1"/>
  <c r="BN75" i="1"/>
  <c r="BM75" i="1"/>
  <c r="BQ75" i="1"/>
  <c r="BR75" i="1"/>
  <c r="BL75" i="1"/>
  <c r="BJ75" i="1"/>
  <c r="BK75" i="1"/>
  <c r="BE75" i="1"/>
  <c r="BH75" i="1"/>
  <c r="BG75" i="1"/>
  <c r="BF75" i="1"/>
  <c r="BI75" i="1"/>
  <c r="BS76" i="1"/>
  <c r="BP76" i="1"/>
  <c r="BO76" i="1"/>
  <c r="BN76" i="1"/>
  <c r="BM76" i="1"/>
  <c r="BK76" i="1"/>
  <c r="BR76" i="1"/>
  <c r="BL76" i="1"/>
  <c r="BI76" i="1"/>
  <c r="BH76" i="1"/>
  <c r="BG76" i="1"/>
  <c r="BF76" i="1"/>
  <c r="BQ76" i="1"/>
  <c r="BJ76" i="1"/>
  <c r="BE76" i="1"/>
  <c r="BS74" i="1"/>
  <c r="BP74" i="1"/>
  <c r="BO74" i="1"/>
  <c r="BN74" i="1"/>
  <c r="BM74" i="1"/>
  <c r="BK74" i="1"/>
  <c r="BR74" i="1"/>
  <c r="BL74" i="1"/>
  <c r="BJ74" i="1"/>
  <c r="BI74" i="1"/>
  <c r="BH74" i="1"/>
  <c r="BG74" i="1"/>
  <c r="BF74" i="1"/>
  <c r="BQ74" i="1"/>
  <c r="BE74" i="1"/>
  <c r="BO77" i="1"/>
  <c r="BP77" i="1"/>
  <c r="BN77" i="1"/>
  <c r="BM77" i="1"/>
  <c r="BK77" i="1"/>
  <c r="BR77" i="1"/>
  <c r="BL77" i="1"/>
  <c r="BJ77" i="1"/>
  <c r="BS77" i="1"/>
  <c r="BI77" i="1"/>
  <c r="BH77" i="1"/>
  <c r="BG77" i="1"/>
  <c r="BF77" i="1"/>
  <c r="BQ77" i="1"/>
  <c r="BE77" i="1"/>
  <c r="CC76" i="1"/>
  <c r="BU76" i="1"/>
  <c r="CD76" i="1"/>
  <c r="BV76" i="1"/>
  <c r="BD76" i="1"/>
  <c r="BC76" i="1"/>
  <c r="CC77" i="1"/>
  <c r="BU77" i="1"/>
  <c r="CD77" i="1"/>
  <c r="BV77" i="1"/>
  <c r="BD77" i="1"/>
  <c r="BC77" i="1"/>
  <c r="CC74" i="1"/>
  <c r="BU74" i="1"/>
  <c r="CD74" i="1"/>
  <c r="BV74" i="1"/>
  <c r="BD74" i="1"/>
  <c r="BC74" i="1"/>
  <c r="CC75" i="1"/>
  <c r="BU75" i="1"/>
  <c r="BV75" i="1"/>
  <c r="CD75" i="1"/>
  <c r="BD75" i="1"/>
  <c r="BC75" i="1"/>
  <c r="BT77" i="1"/>
  <c r="BX77" i="1"/>
  <c r="CB77" i="1"/>
  <c r="BB77" i="1"/>
  <c r="CB74" i="1"/>
  <c r="BY74" i="1"/>
  <c r="AW77" i="1"/>
  <c r="BT74" i="1"/>
  <c r="BX74" i="1"/>
  <c r="BY77" i="1"/>
  <c r="CB76" i="1"/>
  <c r="BX76" i="1"/>
  <c r="BB76" i="1"/>
  <c r="BY76" i="1"/>
  <c r="AW76" i="1"/>
  <c r="BB75" i="1"/>
  <c r="CB75" i="1"/>
  <c r="BT75" i="1"/>
  <c r="BX75" i="1"/>
  <c r="BY75" i="1"/>
  <c r="AW75" i="1"/>
  <c r="BB74" i="1"/>
  <c r="AW74" i="1"/>
  <c r="AL73" i="1"/>
  <c r="AM73" i="1"/>
  <c r="AN73" i="1"/>
  <c r="AP73" i="1"/>
  <c r="AQ73" i="1"/>
  <c r="AR73" i="1"/>
  <c r="AT73" i="1"/>
  <c r="AU73" i="1"/>
  <c r="AV73" i="1"/>
  <c r="AX73" i="1"/>
  <c r="AY73" i="1"/>
  <c r="BA73" i="1"/>
  <c r="AL72" i="1"/>
  <c r="AM72" i="1"/>
  <c r="AN72" i="1"/>
  <c r="AO72" i="1"/>
  <c r="AP72" i="1"/>
  <c r="AQ72" i="1"/>
  <c r="AR72" i="1"/>
  <c r="AT72" i="1"/>
  <c r="AU72" i="1"/>
  <c r="AV72" i="1"/>
  <c r="AX72" i="1"/>
  <c r="AY72" i="1"/>
  <c r="BA72" i="1"/>
  <c r="AL71" i="1"/>
  <c r="AM71" i="1"/>
  <c r="AN71" i="1"/>
  <c r="AP71" i="1"/>
  <c r="AQ71" i="1"/>
  <c r="AR71" i="1"/>
  <c r="AT71" i="1"/>
  <c r="AU71" i="1"/>
  <c r="AV71" i="1"/>
  <c r="AX71" i="1"/>
  <c r="AY71" i="1"/>
  <c r="BA71" i="1"/>
  <c r="BX71" i="1"/>
  <c r="BY71" i="1"/>
  <c r="AZ71" i="1" l="1"/>
  <c r="AZ73" i="1"/>
  <c r="BS73" i="1"/>
  <c r="BP73" i="1"/>
  <c r="BN73" i="1"/>
  <c r="BM73" i="1"/>
  <c r="BK73" i="1"/>
  <c r="BR73" i="1"/>
  <c r="BL73" i="1"/>
  <c r="BJ73" i="1"/>
  <c r="BO73" i="1"/>
  <c r="BI73" i="1"/>
  <c r="BH73" i="1"/>
  <c r="BG73" i="1"/>
  <c r="BF73" i="1"/>
  <c r="BQ73" i="1"/>
  <c r="BE73" i="1"/>
  <c r="BS72" i="1"/>
  <c r="BP72" i="1"/>
  <c r="BO72" i="1"/>
  <c r="BN72" i="1"/>
  <c r="BM72" i="1"/>
  <c r="BK72" i="1"/>
  <c r="BR72" i="1"/>
  <c r="BL72" i="1"/>
  <c r="BI72" i="1"/>
  <c r="BH72" i="1"/>
  <c r="BG72" i="1"/>
  <c r="BF72" i="1"/>
  <c r="BQ72" i="1"/>
  <c r="BJ72" i="1"/>
  <c r="BE72" i="1"/>
  <c r="BS71" i="1"/>
  <c r="BP71" i="1"/>
  <c r="BO71" i="1"/>
  <c r="BN71" i="1"/>
  <c r="BM71" i="1"/>
  <c r="BR71" i="1"/>
  <c r="BL71" i="1"/>
  <c r="BQ71" i="1"/>
  <c r="BK71" i="1"/>
  <c r="BJ71" i="1"/>
  <c r="BI71" i="1"/>
  <c r="BE71" i="1"/>
  <c r="BH71" i="1"/>
  <c r="BG71" i="1"/>
  <c r="BF71" i="1"/>
  <c r="CC71" i="1"/>
  <c r="BU71" i="1"/>
  <c r="BV71" i="1"/>
  <c r="CD71" i="1"/>
  <c r="BD71" i="1"/>
  <c r="BC71" i="1"/>
  <c r="CC72" i="1"/>
  <c r="BU72" i="1"/>
  <c r="CD72" i="1"/>
  <c r="BV72" i="1"/>
  <c r="BC72" i="1"/>
  <c r="BD72" i="1"/>
  <c r="CC73" i="1"/>
  <c r="BU73" i="1"/>
  <c r="CD73" i="1"/>
  <c r="BV73" i="1"/>
  <c r="BC73" i="1"/>
  <c r="BD73" i="1"/>
  <c r="BT76" i="1"/>
  <c r="BT73" i="1"/>
  <c r="BY73" i="1"/>
  <c r="CB71" i="1"/>
  <c r="BX73" i="1"/>
  <c r="BB73" i="1"/>
  <c r="CB73" i="1"/>
  <c r="AW73" i="1"/>
  <c r="BX72" i="1"/>
  <c r="BY72" i="1"/>
  <c r="CB72" i="1"/>
  <c r="BB72" i="1"/>
  <c r="AW72" i="1"/>
  <c r="BB71" i="1"/>
  <c r="AW71" i="1"/>
  <c r="G70" i="1"/>
  <c r="AL70" i="1"/>
  <c r="AM70" i="1"/>
  <c r="AN70" i="1"/>
  <c r="AQ70" i="1"/>
  <c r="AR70" i="1"/>
  <c r="AT70" i="1"/>
  <c r="AU70" i="1"/>
  <c r="AV70" i="1"/>
  <c r="AX70" i="1"/>
  <c r="AY70" i="1"/>
  <c r="BA70" i="1"/>
  <c r="AZ70" i="1" l="1"/>
  <c r="AP70" i="1"/>
  <c r="AO70" i="1"/>
  <c r="BS70" i="1"/>
  <c r="BP70" i="1"/>
  <c r="BO70" i="1"/>
  <c r="BN70" i="1"/>
  <c r="BM70" i="1"/>
  <c r="BK70" i="1"/>
  <c r="BR70" i="1"/>
  <c r="BL70" i="1"/>
  <c r="BJ70" i="1"/>
  <c r="BI70" i="1"/>
  <c r="BH70" i="1"/>
  <c r="BG70" i="1"/>
  <c r="BF70" i="1"/>
  <c r="BQ70" i="1"/>
  <c r="BE70" i="1"/>
  <c r="CC70" i="1"/>
  <c r="BU70" i="1"/>
  <c r="CD70" i="1"/>
  <c r="BV70" i="1"/>
  <c r="BD70" i="1"/>
  <c r="BC70" i="1"/>
  <c r="BT72" i="1"/>
  <c r="BT71" i="1"/>
  <c r="CB70" i="1"/>
  <c r="BX70" i="1"/>
  <c r="BT70" i="1"/>
  <c r="BB70" i="1"/>
  <c r="BY70" i="1"/>
  <c r="AW70" i="1"/>
  <c r="G69" i="1"/>
  <c r="AL69" i="1"/>
  <c r="AM69" i="1"/>
  <c r="AN69" i="1"/>
  <c r="AQ69" i="1"/>
  <c r="AR69" i="1"/>
  <c r="AT69" i="1"/>
  <c r="AU69" i="1"/>
  <c r="AV69" i="1"/>
  <c r="AX69" i="1"/>
  <c r="AY69" i="1"/>
  <c r="BA69" i="1"/>
  <c r="AZ69" i="1" l="1"/>
  <c r="AP69" i="1"/>
  <c r="AO69" i="1"/>
  <c r="BO69" i="1"/>
  <c r="BN69" i="1"/>
  <c r="BS69" i="1"/>
  <c r="BP69" i="1"/>
  <c r="BK69" i="1"/>
  <c r="BR69" i="1"/>
  <c r="BL69" i="1"/>
  <c r="BJ69" i="1"/>
  <c r="BI69" i="1"/>
  <c r="BH69" i="1"/>
  <c r="BG69" i="1"/>
  <c r="BF69" i="1"/>
  <c r="BM69" i="1"/>
  <c r="BQ69" i="1"/>
  <c r="BE69" i="1"/>
  <c r="CC69" i="1"/>
  <c r="BU69" i="1"/>
  <c r="CD69" i="1"/>
  <c r="BV69" i="1"/>
  <c r="BD69" i="1"/>
  <c r="BC69" i="1"/>
  <c r="BX69" i="1"/>
  <c r="CB69" i="1"/>
  <c r="BB69" i="1"/>
  <c r="BT69" i="1"/>
  <c r="AW69" i="1"/>
  <c r="BY69" i="1"/>
  <c r="CB13" i="1"/>
  <c r="CB25" i="1"/>
  <c r="CB28" i="1"/>
  <c r="CB30" i="1"/>
  <c r="CB44" i="1"/>
  <c r="CB48" i="1"/>
  <c r="CB67" i="1"/>
  <c r="BT3" i="1"/>
  <c r="BT7" i="1"/>
  <c r="BT8" i="1"/>
  <c r="BT22" i="1"/>
  <c r="BT23" i="1"/>
  <c r="BT26" i="1"/>
  <c r="BT32" i="1"/>
  <c r="BT33" i="1"/>
  <c r="BT36" i="1"/>
  <c r="BT39" i="1"/>
  <c r="BT41" i="1"/>
  <c r="BT42" i="1"/>
  <c r="BT45" i="1"/>
  <c r="BT46" i="1"/>
  <c r="BT48" i="1"/>
  <c r="BT49" i="1"/>
  <c r="BT51" i="1"/>
  <c r="BT54" i="1"/>
  <c r="BT56" i="1"/>
  <c r="BT58" i="1"/>
  <c r="BT61" i="1"/>
  <c r="BT62" i="1"/>
  <c r="BT64" i="1"/>
  <c r="BT66" i="1"/>
  <c r="AL68" i="1"/>
  <c r="AM68" i="1"/>
  <c r="AN68" i="1"/>
  <c r="AP68" i="1"/>
  <c r="AQ68" i="1"/>
  <c r="AR68" i="1"/>
  <c r="AT68" i="1"/>
  <c r="AU68" i="1"/>
  <c r="AV68" i="1"/>
  <c r="AX68" i="1"/>
  <c r="AY68" i="1"/>
  <c r="BA68" i="1"/>
  <c r="AL67" i="1"/>
  <c r="AM67" i="1"/>
  <c r="AN67" i="1"/>
  <c r="AP67" i="1"/>
  <c r="AQ67" i="1"/>
  <c r="AR67" i="1"/>
  <c r="AT67" i="1"/>
  <c r="AU67" i="1"/>
  <c r="AV67" i="1"/>
  <c r="AX67" i="1"/>
  <c r="AY67" i="1"/>
  <c r="BA67" i="1"/>
  <c r="AL66" i="1"/>
  <c r="AM66" i="1"/>
  <c r="AN66" i="1"/>
  <c r="AP66" i="1"/>
  <c r="AQ66" i="1"/>
  <c r="AR66" i="1"/>
  <c r="AT66" i="1"/>
  <c r="AU66" i="1"/>
  <c r="AV66" i="1"/>
  <c r="AX66" i="1"/>
  <c r="AY66" i="1"/>
  <c r="BA66" i="1"/>
  <c r="AZ68" i="1" l="1"/>
  <c r="AZ66" i="1"/>
  <c r="AZ67" i="1"/>
  <c r="BS66" i="1"/>
  <c r="BP66" i="1"/>
  <c r="BO66" i="1"/>
  <c r="BN66" i="1"/>
  <c r="BM66" i="1"/>
  <c r="BK66" i="1"/>
  <c r="BR66" i="1"/>
  <c r="BL66" i="1"/>
  <c r="BJ66" i="1"/>
  <c r="BI66" i="1"/>
  <c r="BH66" i="1"/>
  <c r="BG66" i="1"/>
  <c r="BF66" i="1"/>
  <c r="BQ66" i="1"/>
  <c r="BE66" i="1"/>
  <c r="BS67" i="1"/>
  <c r="BP67" i="1"/>
  <c r="BM67" i="1"/>
  <c r="BK67" i="1"/>
  <c r="BO67" i="1"/>
  <c r="BN67" i="1"/>
  <c r="BQ67" i="1"/>
  <c r="BE67" i="1"/>
  <c r="BL67" i="1"/>
  <c r="BH67" i="1"/>
  <c r="BG67" i="1"/>
  <c r="BF67" i="1"/>
  <c r="BR67" i="1"/>
  <c r="BI67" i="1"/>
  <c r="BJ67" i="1"/>
  <c r="BS68" i="1"/>
  <c r="BP68" i="1"/>
  <c r="BM68" i="1"/>
  <c r="BK68" i="1"/>
  <c r="BR68" i="1"/>
  <c r="BL68" i="1"/>
  <c r="BO68" i="1"/>
  <c r="BN68" i="1"/>
  <c r="BJ68" i="1"/>
  <c r="BI68" i="1"/>
  <c r="BH68" i="1"/>
  <c r="BG68" i="1"/>
  <c r="BF68" i="1"/>
  <c r="BQ68" i="1"/>
  <c r="BE68" i="1"/>
  <c r="BU67" i="1"/>
  <c r="BV67" i="1"/>
  <c r="BD67" i="1"/>
  <c r="BC67" i="1"/>
  <c r="CC68" i="1"/>
  <c r="BU68" i="1"/>
  <c r="CD68" i="1"/>
  <c r="BV68" i="1"/>
  <c r="BD68" i="1"/>
  <c r="BC68" i="1"/>
  <c r="CC66" i="1"/>
  <c r="CD66" i="1"/>
  <c r="BD66" i="1"/>
  <c r="BC66" i="1"/>
  <c r="BT67" i="1"/>
  <c r="CB66" i="1"/>
  <c r="BT68" i="1"/>
  <c r="CB68" i="1"/>
  <c r="BX67" i="1"/>
  <c r="BY68" i="1"/>
  <c r="BB67" i="1"/>
  <c r="BX68" i="1"/>
  <c r="BB68" i="1"/>
  <c r="AW68" i="1"/>
  <c r="BY67" i="1"/>
  <c r="AW67" i="1"/>
  <c r="BY66" i="1"/>
  <c r="BB66" i="1"/>
  <c r="BX66" i="1"/>
  <c r="AW66" i="1"/>
  <c r="AP65" i="1"/>
  <c r="AL65" i="1"/>
  <c r="AM65" i="1"/>
  <c r="AN65" i="1"/>
  <c r="AQ65" i="1"/>
  <c r="AR65" i="1"/>
  <c r="AT65" i="1"/>
  <c r="AU65" i="1"/>
  <c r="AV65" i="1"/>
  <c r="AX65" i="1"/>
  <c r="AY65" i="1"/>
  <c r="BA65" i="1"/>
  <c r="AL64" i="1"/>
  <c r="AM64" i="1"/>
  <c r="AN64" i="1"/>
  <c r="AP64" i="1"/>
  <c r="AQ64" i="1"/>
  <c r="AR64" i="1"/>
  <c r="AT64" i="1"/>
  <c r="AU64" i="1"/>
  <c r="AV64" i="1"/>
  <c r="AX64" i="1"/>
  <c r="AY64" i="1"/>
  <c r="BA64" i="1"/>
  <c r="AL63" i="1"/>
  <c r="AM63" i="1"/>
  <c r="AN63" i="1"/>
  <c r="AP63" i="1"/>
  <c r="AQ63" i="1"/>
  <c r="AR63" i="1"/>
  <c r="AT63" i="1"/>
  <c r="AU63" i="1"/>
  <c r="AV63" i="1"/>
  <c r="AX63" i="1"/>
  <c r="AY63" i="1"/>
  <c r="BA63" i="1"/>
  <c r="AZ63" i="1" l="1"/>
  <c r="AZ64" i="1"/>
  <c r="AZ65" i="1"/>
  <c r="BP65" i="1"/>
  <c r="BO65" i="1"/>
  <c r="BN65" i="1"/>
  <c r="BL65" i="1"/>
  <c r="BJ65" i="1"/>
  <c r="BM65" i="1"/>
  <c r="BK65" i="1"/>
  <c r="BI65" i="1"/>
  <c r="BH65" i="1"/>
  <c r="BG65" i="1"/>
  <c r="BF65" i="1"/>
  <c r="BE65" i="1"/>
  <c r="BS64" i="1"/>
  <c r="BP64" i="1"/>
  <c r="BO64" i="1"/>
  <c r="BN64" i="1"/>
  <c r="BM64" i="1"/>
  <c r="BR64" i="1"/>
  <c r="BL64" i="1"/>
  <c r="BK64" i="1"/>
  <c r="BI64" i="1"/>
  <c r="BH64" i="1"/>
  <c r="BG64" i="1"/>
  <c r="BF64" i="1"/>
  <c r="BJ64" i="1"/>
  <c r="BQ64" i="1"/>
  <c r="BE64" i="1"/>
  <c r="BE63" i="1"/>
  <c r="BI63" i="1"/>
  <c r="BS63" i="1"/>
  <c r="BP63" i="1"/>
  <c r="BM63" i="1"/>
  <c r="BK63" i="1"/>
  <c r="BO63" i="1"/>
  <c r="BN63" i="1"/>
  <c r="BJ63" i="1"/>
  <c r="BQ63" i="1"/>
  <c r="BR63" i="1"/>
  <c r="BL63" i="1"/>
  <c r="BH63" i="1"/>
  <c r="BG63" i="1"/>
  <c r="BF63" i="1"/>
  <c r="CC63" i="1"/>
  <c r="BU63" i="1"/>
  <c r="CD63" i="1"/>
  <c r="BV63" i="1"/>
  <c r="BD63" i="1"/>
  <c r="BC63" i="1"/>
  <c r="CC64" i="1"/>
  <c r="CD64" i="1"/>
  <c r="BD64" i="1"/>
  <c r="BC64" i="1"/>
  <c r="CC65" i="1"/>
  <c r="BU65" i="1"/>
  <c r="CD65" i="1"/>
  <c r="BV65" i="1"/>
  <c r="BC65" i="1"/>
  <c r="BD65" i="1"/>
  <c r="BX64" i="1"/>
  <c r="CB65" i="1"/>
  <c r="BT65" i="1"/>
  <c r="CB64" i="1"/>
  <c r="CB63" i="1"/>
  <c r="BT63" i="1"/>
  <c r="AW65" i="1"/>
  <c r="BY65" i="1"/>
  <c r="BX65" i="1"/>
  <c r="BB65" i="1"/>
  <c r="BY64" i="1"/>
  <c r="BB64" i="1"/>
  <c r="AW64" i="1"/>
  <c r="BY63" i="1"/>
  <c r="AW63" i="1"/>
  <c r="BX63" i="1"/>
  <c r="BB63" i="1"/>
  <c r="AL62" i="1"/>
  <c r="AM62" i="1"/>
  <c r="AN62" i="1"/>
  <c r="AP62" i="1"/>
  <c r="AQ62" i="1"/>
  <c r="AR62" i="1"/>
  <c r="AT62" i="1"/>
  <c r="AU62" i="1"/>
  <c r="AV62" i="1"/>
  <c r="AX62" i="1"/>
  <c r="AY62" i="1"/>
  <c r="BA62" i="1"/>
  <c r="BX62" i="1"/>
  <c r="BY62" i="1"/>
  <c r="AL61" i="1"/>
  <c r="AM61" i="1"/>
  <c r="AN61" i="1"/>
  <c r="AP61" i="1"/>
  <c r="AQ61" i="1"/>
  <c r="AR61" i="1"/>
  <c r="AT61" i="1"/>
  <c r="AU61" i="1"/>
  <c r="AV61" i="1"/>
  <c r="AX61" i="1"/>
  <c r="AY61" i="1"/>
  <c r="BA61" i="1"/>
  <c r="BY61" i="1"/>
  <c r="G60" i="1"/>
  <c r="AL60" i="1"/>
  <c r="AM60" i="1"/>
  <c r="AN60" i="1"/>
  <c r="AQ60" i="1"/>
  <c r="AR60" i="1"/>
  <c r="AT60" i="1"/>
  <c r="AU60" i="1"/>
  <c r="AV60" i="1"/>
  <c r="AX60" i="1"/>
  <c r="AY60" i="1"/>
  <c r="BA60" i="1"/>
  <c r="G59" i="1"/>
  <c r="AL59" i="1"/>
  <c r="AM59" i="1"/>
  <c r="AN59" i="1"/>
  <c r="AQ59" i="1"/>
  <c r="AR59" i="1"/>
  <c r="AT59" i="1"/>
  <c r="AU59" i="1"/>
  <c r="AV59" i="1"/>
  <c r="AX59" i="1"/>
  <c r="AY59" i="1"/>
  <c r="BA59" i="1"/>
  <c r="AZ62" i="1" l="1"/>
  <c r="AZ59" i="1"/>
  <c r="AZ60" i="1"/>
  <c r="AZ61" i="1"/>
  <c r="AP59" i="1"/>
  <c r="AO59" i="1"/>
  <c r="AP60" i="1"/>
  <c r="AO60" i="1"/>
  <c r="BS60" i="1"/>
  <c r="BP60" i="1"/>
  <c r="BO60" i="1"/>
  <c r="BN60" i="1"/>
  <c r="BM60" i="1"/>
  <c r="BK60" i="1"/>
  <c r="BR60" i="1"/>
  <c r="BL60" i="1"/>
  <c r="BI60" i="1"/>
  <c r="BH60" i="1"/>
  <c r="BG60" i="1"/>
  <c r="BF60" i="1"/>
  <c r="BQ60" i="1"/>
  <c r="BE60" i="1"/>
  <c r="BJ60" i="1"/>
  <c r="BS62" i="1"/>
  <c r="BP62" i="1"/>
  <c r="BO62" i="1"/>
  <c r="BN62" i="1"/>
  <c r="BM62" i="1"/>
  <c r="BK62" i="1"/>
  <c r="BR62" i="1"/>
  <c r="BL62" i="1"/>
  <c r="BH62" i="1"/>
  <c r="BG62" i="1"/>
  <c r="BF62" i="1"/>
  <c r="BJ62" i="1"/>
  <c r="BQ62" i="1"/>
  <c r="BS59" i="1"/>
  <c r="BP59" i="1"/>
  <c r="BO59" i="1"/>
  <c r="BN59" i="1"/>
  <c r="BM59" i="1"/>
  <c r="BK59" i="1"/>
  <c r="BR59" i="1"/>
  <c r="BQ59" i="1"/>
  <c r="BE59" i="1"/>
  <c r="BL59" i="1"/>
  <c r="BJ59" i="1"/>
  <c r="BH59" i="1"/>
  <c r="BG59" i="1"/>
  <c r="BF59" i="1"/>
  <c r="BI59" i="1"/>
  <c r="BO61" i="1"/>
  <c r="BN61" i="1"/>
  <c r="BS61" i="1"/>
  <c r="BM61" i="1"/>
  <c r="BK61" i="1"/>
  <c r="BR61" i="1"/>
  <c r="BL61" i="1"/>
  <c r="BJ61" i="1"/>
  <c r="BP61" i="1"/>
  <c r="BI61" i="1"/>
  <c r="BH61" i="1"/>
  <c r="BG61" i="1"/>
  <c r="BF61" i="1"/>
  <c r="BQ61" i="1"/>
  <c r="BE61" i="1"/>
  <c r="BI62" i="1"/>
  <c r="BE62" i="1"/>
  <c r="CC59" i="1"/>
  <c r="BU59" i="1"/>
  <c r="BV59" i="1"/>
  <c r="CD59" i="1"/>
  <c r="BD59" i="1"/>
  <c r="BC59" i="1"/>
  <c r="CC61" i="1"/>
  <c r="BU61" i="1"/>
  <c r="CD61" i="1"/>
  <c r="BD61" i="1"/>
  <c r="BC61" i="1"/>
  <c r="CC60" i="1"/>
  <c r="BU60" i="1"/>
  <c r="CD60" i="1"/>
  <c r="BV60" i="1"/>
  <c r="BC60" i="1"/>
  <c r="BD60" i="1"/>
  <c r="CC62" i="1"/>
  <c r="CD62" i="1"/>
  <c r="BD62" i="1"/>
  <c r="BC62" i="1"/>
  <c r="CB59" i="1"/>
  <c r="BT59" i="1"/>
  <c r="CB62" i="1"/>
  <c r="BT60" i="1"/>
  <c r="CB60" i="1"/>
  <c r="CB61" i="1"/>
  <c r="BX61" i="1"/>
  <c r="BY59" i="1"/>
  <c r="BB62" i="1"/>
  <c r="BX60" i="1"/>
  <c r="BB61" i="1"/>
  <c r="BB60" i="1"/>
  <c r="BB59" i="1"/>
  <c r="AW62" i="1"/>
  <c r="AW61" i="1"/>
  <c r="BY60" i="1"/>
  <c r="BX59" i="1"/>
  <c r="AW60" i="1"/>
  <c r="AW59" i="1"/>
  <c r="AL58" i="1"/>
  <c r="AM58" i="1"/>
  <c r="AN58" i="1"/>
  <c r="AP58" i="1"/>
  <c r="AQ58" i="1"/>
  <c r="AR58" i="1"/>
  <c r="AT58" i="1"/>
  <c r="AU58" i="1"/>
  <c r="AV58" i="1"/>
  <c r="AX58" i="1"/>
  <c r="AY58" i="1"/>
  <c r="BA58" i="1"/>
  <c r="BX58" i="1"/>
  <c r="BY58" i="1"/>
  <c r="AL57" i="1"/>
  <c r="AM57" i="1"/>
  <c r="AN57" i="1"/>
  <c r="AP57" i="1"/>
  <c r="AQ57" i="1"/>
  <c r="AR57" i="1"/>
  <c r="AT57" i="1"/>
  <c r="AU57" i="1"/>
  <c r="AV57" i="1"/>
  <c r="AX57" i="1"/>
  <c r="AY57" i="1"/>
  <c r="BA57" i="1"/>
  <c r="BX57" i="1"/>
  <c r="BY57" i="1"/>
  <c r="AZ57" i="1" l="1"/>
  <c r="AZ58" i="1"/>
  <c r="BS58" i="1"/>
  <c r="BP58" i="1"/>
  <c r="BO58" i="1"/>
  <c r="BN58" i="1"/>
  <c r="BM58" i="1"/>
  <c r="BK58" i="1"/>
  <c r="BR58" i="1"/>
  <c r="BL58" i="1"/>
  <c r="BJ58" i="1"/>
  <c r="BI58" i="1"/>
  <c r="BH58" i="1"/>
  <c r="BG58" i="1"/>
  <c r="BF58" i="1"/>
  <c r="BE58" i="1"/>
  <c r="BQ58" i="1"/>
  <c r="BS57" i="1"/>
  <c r="BP57" i="1"/>
  <c r="BM57" i="1"/>
  <c r="BK57" i="1"/>
  <c r="BN57" i="1"/>
  <c r="BR57" i="1"/>
  <c r="BL57" i="1"/>
  <c r="BJ57" i="1"/>
  <c r="BI57" i="1"/>
  <c r="BH57" i="1"/>
  <c r="BG57" i="1"/>
  <c r="BF57" i="1"/>
  <c r="BQ57" i="1"/>
  <c r="BO57" i="1"/>
  <c r="BE57" i="1"/>
  <c r="CC57" i="1"/>
  <c r="BU57" i="1"/>
  <c r="CD57" i="1"/>
  <c r="BV57" i="1"/>
  <c r="BC57" i="1"/>
  <c r="BD57" i="1"/>
  <c r="CC58" i="1"/>
  <c r="CD58" i="1"/>
  <c r="BD58" i="1"/>
  <c r="BC58" i="1"/>
  <c r="CB57" i="1"/>
  <c r="CB58" i="1"/>
  <c r="BB57" i="1"/>
  <c r="BB58" i="1"/>
  <c r="AW58" i="1"/>
  <c r="AW57" i="1"/>
  <c r="AL56" i="1"/>
  <c r="AM56" i="1"/>
  <c r="AN56" i="1"/>
  <c r="AP56" i="1"/>
  <c r="AQ56" i="1"/>
  <c r="AR56" i="1"/>
  <c r="AT56" i="1"/>
  <c r="AU56" i="1"/>
  <c r="AV56" i="1"/>
  <c r="AX56" i="1"/>
  <c r="AY56" i="1"/>
  <c r="BA56" i="1"/>
  <c r="AL55" i="1"/>
  <c r="AM55" i="1"/>
  <c r="AN55" i="1"/>
  <c r="AP55" i="1"/>
  <c r="AQ55" i="1"/>
  <c r="AR55" i="1"/>
  <c r="AT55" i="1"/>
  <c r="AU55" i="1"/>
  <c r="AV55" i="1"/>
  <c r="AX55" i="1"/>
  <c r="AY55" i="1"/>
  <c r="BA55" i="1"/>
  <c r="BX55" i="1"/>
  <c r="BY55" i="1"/>
  <c r="AZ56" i="1" l="1"/>
  <c r="AZ55" i="1"/>
  <c r="BS56" i="1"/>
  <c r="BP56" i="1"/>
  <c r="BO56" i="1"/>
  <c r="BN56" i="1"/>
  <c r="BM56" i="1"/>
  <c r="BK56" i="1"/>
  <c r="BR56" i="1"/>
  <c r="BL56" i="1"/>
  <c r="BI56" i="1"/>
  <c r="BH56" i="1"/>
  <c r="BG56" i="1"/>
  <c r="BF56" i="1"/>
  <c r="BQ56" i="1"/>
  <c r="BE56" i="1"/>
  <c r="BJ56" i="1"/>
  <c r="BS55" i="1"/>
  <c r="BP55" i="1"/>
  <c r="BO55" i="1"/>
  <c r="BN55" i="1"/>
  <c r="BM55" i="1"/>
  <c r="BK55" i="1"/>
  <c r="BL55" i="1"/>
  <c r="BQ55" i="1"/>
  <c r="BE55" i="1"/>
  <c r="BJ55" i="1"/>
  <c r="BR55" i="1"/>
  <c r="BI55" i="1"/>
  <c r="BH55" i="1"/>
  <c r="BG55" i="1"/>
  <c r="BF55" i="1"/>
  <c r="CC55" i="1"/>
  <c r="BU55" i="1"/>
  <c r="BV55" i="1"/>
  <c r="CD55" i="1"/>
  <c r="BD55" i="1"/>
  <c r="BC55" i="1"/>
  <c r="CC56" i="1"/>
  <c r="BU56" i="1"/>
  <c r="CD56" i="1"/>
  <c r="BV56" i="1"/>
  <c r="BD56" i="1"/>
  <c r="BC56" i="1"/>
  <c r="BT57" i="1"/>
  <c r="CB55" i="1"/>
  <c r="CB56" i="1"/>
  <c r="BB56" i="1"/>
  <c r="BB55" i="1"/>
  <c r="AW56" i="1"/>
  <c r="BY56" i="1"/>
  <c r="BX56" i="1"/>
  <c r="AW55" i="1"/>
  <c r="AL52" i="1"/>
  <c r="AM52" i="1"/>
  <c r="AN52" i="1"/>
  <c r="AP52" i="1"/>
  <c r="AQ52" i="1"/>
  <c r="AR52" i="1"/>
  <c r="AT52" i="1"/>
  <c r="AU52" i="1"/>
  <c r="AV52" i="1"/>
  <c r="AX52" i="1"/>
  <c r="AY52" i="1"/>
  <c r="BA52" i="1"/>
  <c r="BX52" i="1"/>
  <c r="BY52" i="1"/>
  <c r="AL53" i="1"/>
  <c r="AM53" i="1"/>
  <c r="AN53" i="1"/>
  <c r="AQ53" i="1"/>
  <c r="AR53" i="1"/>
  <c r="AT53" i="1"/>
  <c r="AU53" i="1"/>
  <c r="AV53" i="1"/>
  <c r="AX53" i="1"/>
  <c r="AY53" i="1"/>
  <c r="BA53" i="1"/>
  <c r="AL54" i="1"/>
  <c r="AM54" i="1"/>
  <c r="AN54" i="1"/>
  <c r="AP54" i="1"/>
  <c r="AQ54" i="1"/>
  <c r="AR54" i="1"/>
  <c r="AT54" i="1"/>
  <c r="AU54" i="1"/>
  <c r="AV54" i="1"/>
  <c r="AX54" i="1"/>
  <c r="AY54" i="1"/>
  <c r="BA54" i="1"/>
  <c r="BX54" i="1"/>
  <c r="BY54" i="1"/>
  <c r="G53" i="1"/>
  <c r="AZ54" i="1" l="1"/>
  <c r="AZ53" i="1"/>
  <c r="AZ52" i="1"/>
  <c r="AP53" i="1"/>
  <c r="AO53" i="1"/>
  <c r="BS52" i="1"/>
  <c r="BP52" i="1"/>
  <c r="BM52" i="1"/>
  <c r="BK52" i="1"/>
  <c r="BN52" i="1"/>
  <c r="BR52" i="1"/>
  <c r="BL52" i="1"/>
  <c r="BO52" i="1"/>
  <c r="BJ52" i="1"/>
  <c r="BI52" i="1"/>
  <c r="BH52" i="1"/>
  <c r="BG52" i="1"/>
  <c r="BF52" i="1"/>
  <c r="BQ52" i="1"/>
  <c r="BE52" i="1"/>
  <c r="BP54" i="1"/>
  <c r="BO54" i="1"/>
  <c r="BN54" i="1"/>
  <c r="BM54" i="1"/>
  <c r="BK54" i="1"/>
  <c r="BL54" i="1"/>
  <c r="BJ54" i="1"/>
  <c r="BI54" i="1"/>
  <c r="BH54" i="1"/>
  <c r="BG54" i="1"/>
  <c r="BF54" i="1"/>
  <c r="BE54" i="1"/>
  <c r="BS53" i="1"/>
  <c r="BO53" i="1"/>
  <c r="BN53" i="1"/>
  <c r="BP53" i="1"/>
  <c r="BR53" i="1"/>
  <c r="BL53" i="1"/>
  <c r="BJ53" i="1"/>
  <c r="BM53" i="1"/>
  <c r="BI53" i="1"/>
  <c r="BH53" i="1"/>
  <c r="BG53" i="1"/>
  <c r="BF53" i="1"/>
  <c r="BQ53" i="1"/>
  <c r="BK53" i="1"/>
  <c r="BE53" i="1"/>
  <c r="CC52" i="1"/>
  <c r="BU52" i="1"/>
  <c r="CD52" i="1"/>
  <c r="BV52" i="1"/>
  <c r="BC52" i="1"/>
  <c r="BD52" i="1"/>
  <c r="CC54" i="1"/>
  <c r="CD54" i="1"/>
  <c r="BD54" i="1"/>
  <c r="BC54" i="1"/>
  <c r="CC53" i="1"/>
  <c r="BU53" i="1"/>
  <c r="CD53" i="1"/>
  <c r="BV53" i="1"/>
  <c r="BD53" i="1"/>
  <c r="BC53" i="1"/>
  <c r="CB53" i="1"/>
  <c r="BT53" i="1"/>
  <c r="CB52" i="1"/>
  <c r="BT55" i="1"/>
  <c r="CB54" i="1"/>
  <c r="BB54" i="1"/>
  <c r="BB53" i="1"/>
  <c r="BB52" i="1"/>
  <c r="AW52" i="1"/>
  <c r="AW54" i="1"/>
  <c r="AW53" i="1"/>
  <c r="BY53" i="1"/>
  <c r="BX53" i="1"/>
  <c r="BT52" i="1" l="1"/>
  <c r="AL51" i="1"/>
  <c r="AM51" i="1"/>
  <c r="AN51" i="1"/>
  <c r="AP51" i="1"/>
  <c r="AQ51" i="1"/>
  <c r="AR51" i="1"/>
  <c r="AT51" i="1"/>
  <c r="AU51" i="1"/>
  <c r="AV51" i="1"/>
  <c r="AX51" i="1"/>
  <c r="AZ51" i="1" s="1"/>
  <c r="AY51" i="1"/>
  <c r="BA51" i="1"/>
  <c r="AT2" i="1"/>
  <c r="AT3" i="1"/>
  <c r="AT4" i="1"/>
  <c r="AT5" i="1"/>
  <c r="AT6" i="1"/>
  <c r="AT7" i="1"/>
  <c r="AT8" i="1"/>
  <c r="AT9" i="1"/>
  <c r="AT10" i="1"/>
  <c r="AT11" i="1"/>
  <c r="AT12" i="1"/>
  <c r="AT13" i="1"/>
  <c r="AT14" i="1"/>
  <c r="AT15" i="1"/>
  <c r="AT17" i="1"/>
  <c r="AT18" i="1"/>
  <c r="AT19" i="1"/>
  <c r="AT21" i="1"/>
  <c r="AT22" i="1"/>
  <c r="AT23" i="1"/>
  <c r="AT24" i="1"/>
  <c r="AT25" i="1"/>
  <c r="AT26" i="1"/>
  <c r="AT28" i="1"/>
  <c r="AT29" i="1"/>
  <c r="AT30" i="1"/>
  <c r="AT31" i="1"/>
  <c r="AT32" i="1"/>
  <c r="AT33" i="1"/>
  <c r="AT34" i="1"/>
  <c r="AT35" i="1"/>
  <c r="AT36" i="1"/>
  <c r="AT37" i="1"/>
  <c r="AT38" i="1"/>
  <c r="AT39" i="1"/>
  <c r="AT40" i="1"/>
  <c r="AT41" i="1"/>
  <c r="AT42" i="1"/>
  <c r="AT43" i="1"/>
  <c r="AT44" i="1"/>
  <c r="AT45" i="1"/>
  <c r="AT46" i="1"/>
  <c r="AT47" i="1"/>
  <c r="AT48" i="1"/>
  <c r="AT49" i="1"/>
  <c r="AT50" i="1"/>
  <c r="AL50" i="1"/>
  <c r="AM50" i="1"/>
  <c r="AN50" i="1"/>
  <c r="AO50" i="1"/>
  <c r="AP50" i="1"/>
  <c r="AQ50" i="1"/>
  <c r="AR50" i="1"/>
  <c r="AU50" i="1"/>
  <c r="AV50" i="1"/>
  <c r="AX50" i="1"/>
  <c r="AY50" i="1"/>
  <c r="BA50" i="1"/>
  <c r="AL49" i="1"/>
  <c r="AM49" i="1"/>
  <c r="AN49" i="1"/>
  <c r="AP49" i="1"/>
  <c r="AQ49" i="1"/>
  <c r="AR49" i="1"/>
  <c r="AU49" i="1"/>
  <c r="AV49" i="1"/>
  <c r="AX49" i="1"/>
  <c r="AY49" i="1"/>
  <c r="BA49" i="1"/>
  <c r="BY2" i="1"/>
  <c r="BY3" i="1"/>
  <c r="BY6" i="1"/>
  <c r="BY7" i="1"/>
  <c r="BY22" i="1"/>
  <c r="BY23" i="1"/>
  <c r="BY26" i="1"/>
  <c r="BY32" i="1"/>
  <c r="BY33" i="1"/>
  <c r="BY36" i="1"/>
  <c r="BY42" i="1"/>
  <c r="BY45" i="1"/>
  <c r="BY46" i="1"/>
  <c r="BY48" i="1"/>
  <c r="BX2" i="1"/>
  <c r="BX3" i="1"/>
  <c r="BX6" i="1"/>
  <c r="BX7" i="1"/>
  <c r="BX22" i="1"/>
  <c r="BX23" i="1"/>
  <c r="BX26" i="1"/>
  <c r="BX32" i="1"/>
  <c r="BX33" i="1"/>
  <c r="BX36" i="1"/>
  <c r="BX45" i="1"/>
  <c r="BX46" i="1"/>
  <c r="BX48" i="1"/>
  <c r="AZ49" i="1" l="1"/>
  <c r="BP49" i="1"/>
  <c r="BO49" i="1"/>
  <c r="BN49" i="1"/>
  <c r="BR49" i="1"/>
  <c r="BL49" i="1"/>
  <c r="BJ49" i="1"/>
  <c r="BS49" i="1"/>
  <c r="BM49" i="1"/>
  <c r="BK49" i="1"/>
  <c r="BI49" i="1"/>
  <c r="BH49" i="1"/>
  <c r="BG49" i="1"/>
  <c r="BF49" i="1"/>
  <c r="BQ49" i="1"/>
  <c r="BE49" i="1"/>
  <c r="BS50" i="1"/>
  <c r="BP50" i="1"/>
  <c r="BO50" i="1"/>
  <c r="BN50" i="1"/>
  <c r="BM50" i="1"/>
  <c r="BK50" i="1"/>
  <c r="BR50" i="1"/>
  <c r="BL50" i="1"/>
  <c r="BJ50" i="1"/>
  <c r="BI50" i="1"/>
  <c r="BH50" i="1"/>
  <c r="BG50" i="1"/>
  <c r="BF50" i="1"/>
  <c r="BQ50" i="1"/>
  <c r="BE50" i="1"/>
  <c r="BS51" i="1"/>
  <c r="BP51" i="1"/>
  <c r="BM51" i="1"/>
  <c r="BK51" i="1"/>
  <c r="BO51" i="1"/>
  <c r="BN51" i="1"/>
  <c r="BQ51" i="1"/>
  <c r="BE51" i="1"/>
  <c r="BR51" i="1"/>
  <c r="BJ51" i="1"/>
  <c r="BL51" i="1"/>
  <c r="BI51" i="1"/>
  <c r="BH51" i="1"/>
  <c r="BG51" i="1"/>
  <c r="BF51" i="1"/>
  <c r="CC51" i="1"/>
  <c r="BU51" i="1"/>
  <c r="CD51" i="1"/>
  <c r="BV51" i="1"/>
  <c r="BD51" i="1"/>
  <c r="BC51" i="1"/>
  <c r="CC49" i="1"/>
  <c r="BU49" i="1"/>
  <c r="CD49" i="1"/>
  <c r="BC49" i="1"/>
  <c r="BD49" i="1"/>
  <c r="CC50" i="1"/>
  <c r="BU50" i="1"/>
  <c r="CD50" i="1"/>
  <c r="BV50" i="1"/>
  <c r="BD50" i="1"/>
  <c r="BC50" i="1"/>
  <c r="CB49" i="1"/>
  <c r="CB50" i="1"/>
  <c r="BT50" i="1"/>
  <c r="CB51" i="1"/>
  <c r="BB51" i="1"/>
  <c r="BB49" i="1"/>
  <c r="BB50" i="1"/>
  <c r="BX51" i="1"/>
  <c r="BY51" i="1"/>
  <c r="AW51" i="1"/>
  <c r="BY50" i="1"/>
  <c r="BX50" i="1"/>
  <c r="AW50" i="1"/>
  <c r="BX49" i="1"/>
  <c r="AW49" i="1"/>
  <c r="BY49" i="1"/>
  <c r="AL48" i="1"/>
  <c r="AM48" i="1"/>
  <c r="AN48" i="1"/>
  <c r="AP48" i="1"/>
  <c r="AQ48" i="1"/>
  <c r="AR48" i="1"/>
  <c r="AU48" i="1"/>
  <c r="AV48" i="1"/>
  <c r="AX48" i="1"/>
  <c r="AY48" i="1"/>
  <c r="BA48" i="1"/>
  <c r="AZ48" i="1" l="1"/>
  <c r="BS48" i="1"/>
  <c r="BP48" i="1"/>
  <c r="BO48" i="1"/>
  <c r="BN48" i="1"/>
  <c r="BM48" i="1"/>
  <c r="BK48" i="1"/>
  <c r="BR48" i="1"/>
  <c r="BL48" i="1"/>
  <c r="BI48" i="1"/>
  <c r="BH48" i="1"/>
  <c r="BG48" i="1"/>
  <c r="BF48" i="1"/>
  <c r="BQ48" i="1"/>
  <c r="BE48" i="1"/>
  <c r="BJ48" i="1"/>
  <c r="BD48" i="1"/>
  <c r="BC48" i="1"/>
  <c r="BB48" i="1"/>
  <c r="AW48" i="1"/>
  <c r="AN23" i="2"/>
  <c r="AN24" i="2"/>
  <c r="AN25" i="2"/>
  <c r="AN26" i="2"/>
  <c r="AN27" i="2"/>
  <c r="AN28" i="2"/>
  <c r="AN29" i="2"/>
  <c r="AN30" i="2"/>
  <c r="AN31" i="2"/>
  <c r="AN32" i="2"/>
  <c r="AN33" i="2"/>
  <c r="AN34" i="2"/>
  <c r="AN35" i="2"/>
  <c r="AN36" i="2"/>
  <c r="AN37" i="2"/>
  <c r="AN38" i="2"/>
  <c r="AN39" i="2"/>
  <c r="AN40" i="2"/>
  <c r="AN41" i="2"/>
  <c r="AN42" i="2"/>
  <c r="AN43" i="2"/>
  <c r="AN44" i="2"/>
  <c r="AN45" i="2"/>
  <c r="AN46" i="2"/>
  <c r="AN47" i="2"/>
  <c r="AN48" i="2"/>
  <c r="AN49" i="2"/>
  <c r="AN50" i="2"/>
  <c r="AN51" i="2"/>
  <c r="AN52" i="2"/>
  <c r="AN53" i="2"/>
  <c r="AN54" i="2"/>
  <c r="AN55" i="2"/>
  <c r="AN56" i="2"/>
  <c r="AN57" i="2"/>
  <c r="AN58" i="2"/>
  <c r="AN59" i="2"/>
  <c r="AN60" i="2"/>
  <c r="AN61" i="2"/>
  <c r="AN62" i="2"/>
  <c r="AN63" i="2"/>
  <c r="AN64" i="2"/>
  <c r="AN65" i="2"/>
  <c r="AN66" i="2"/>
  <c r="AN67" i="2"/>
  <c r="AN68" i="2"/>
  <c r="AN69" i="2"/>
  <c r="AN70" i="2"/>
  <c r="AN71" i="2"/>
  <c r="AN72" i="2"/>
  <c r="AN73" i="2"/>
  <c r="AN74" i="2"/>
  <c r="AN75" i="2"/>
  <c r="AN76" i="2"/>
  <c r="AN77" i="2"/>
  <c r="AN78" i="2"/>
  <c r="AN79" i="2"/>
  <c r="AN80" i="2"/>
  <c r="AN81" i="2"/>
  <c r="AN82" i="2"/>
  <c r="AN83" i="2"/>
  <c r="AN84" i="2"/>
  <c r="AN85" i="2"/>
  <c r="AN86" i="2"/>
  <c r="AN87" i="2"/>
  <c r="AN88" i="2"/>
  <c r="AN89" i="2"/>
  <c r="AN90" i="2"/>
  <c r="AN91" i="2"/>
  <c r="AN92" i="2"/>
  <c r="AN93" i="2"/>
  <c r="AN94" i="2"/>
  <c r="AN95" i="2"/>
  <c r="AN96" i="2"/>
  <c r="AN97" i="2"/>
  <c r="AN98" i="2"/>
  <c r="AN99" i="2"/>
  <c r="AN100" i="2"/>
  <c r="AN101" i="2"/>
  <c r="AN102" i="2"/>
  <c r="AN103" i="2"/>
  <c r="AN104" i="2"/>
  <c r="AN105" i="2"/>
  <c r="AN106" i="2"/>
  <c r="AN107" i="2"/>
  <c r="AN108" i="2"/>
  <c r="AN109" i="2"/>
  <c r="AN110" i="2"/>
  <c r="AN111" i="2"/>
  <c r="AN112" i="2"/>
  <c r="AN113" i="2"/>
  <c r="AN114" i="2"/>
  <c r="AN115" i="2"/>
  <c r="AN116" i="2"/>
  <c r="AN117" i="2"/>
  <c r="AN118" i="2"/>
  <c r="AN119" i="2"/>
  <c r="AN120" i="2"/>
  <c r="AN121" i="2"/>
  <c r="AN122" i="2"/>
  <c r="AN123" i="2"/>
  <c r="AN124" i="2"/>
  <c r="AN125" i="2"/>
  <c r="AN126" i="2"/>
  <c r="AN127" i="2"/>
  <c r="AN128" i="2"/>
  <c r="AN129" i="2"/>
  <c r="AN130" i="2"/>
  <c r="AN131" i="2"/>
  <c r="AN132" i="2"/>
  <c r="AN133" i="2"/>
  <c r="AN134" i="2"/>
  <c r="AN135" i="2"/>
  <c r="AN136" i="2"/>
  <c r="AN137" i="2"/>
  <c r="AN138" i="2"/>
  <c r="AN139" i="2"/>
  <c r="AN140" i="2"/>
  <c r="AN141" i="2"/>
  <c r="AN142" i="2"/>
  <c r="AN143" i="2"/>
  <c r="AN144" i="2"/>
  <c r="AN145" i="2"/>
  <c r="AN146" i="2"/>
  <c r="AN147" i="2"/>
  <c r="AN148" i="2"/>
  <c r="AN149" i="2"/>
  <c r="AN150" i="2"/>
  <c r="AN151" i="2"/>
  <c r="AN152" i="2"/>
  <c r="AN153" i="2"/>
  <c r="AN154" i="2"/>
  <c r="AN155" i="2"/>
  <c r="AN156" i="2"/>
  <c r="AN157" i="2"/>
  <c r="AN158" i="2"/>
  <c r="AN159" i="2"/>
  <c r="AN160" i="2"/>
  <c r="AN161" i="2"/>
  <c r="AN162" i="2"/>
  <c r="AN163" i="2"/>
  <c r="AN164" i="2"/>
  <c r="AN165" i="2"/>
  <c r="AN166" i="2"/>
  <c r="AN167" i="2"/>
  <c r="AN168" i="2"/>
  <c r="AN169" i="2"/>
  <c r="AN170" i="2"/>
  <c r="AN171" i="2"/>
  <c r="AN172" i="2"/>
  <c r="AN173" i="2"/>
  <c r="AN174" i="2"/>
  <c r="AN175" i="2"/>
  <c r="AN176" i="2"/>
  <c r="AN177" i="2"/>
  <c r="AN178" i="2"/>
  <c r="AN179" i="2"/>
  <c r="AN180" i="2"/>
  <c r="AN181" i="2"/>
  <c r="AN182" i="2"/>
  <c r="AN183" i="2"/>
  <c r="AN184" i="2"/>
  <c r="AN185" i="2"/>
  <c r="AN186" i="2"/>
  <c r="AN187" i="2"/>
  <c r="AN188" i="2"/>
  <c r="AN189" i="2"/>
  <c r="AN190" i="2"/>
  <c r="AN191" i="2"/>
  <c r="AN192" i="2"/>
  <c r="AN193" i="2"/>
  <c r="AN194" i="2"/>
  <c r="AN195" i="2"/>
  <c r="AN196" i="2"/>
  <c r="AN197" i="2"/>
  <c r="AN198" i="2"/>
  <c r="AN199" i="2"/>
  <c r="AN200" i="2"/>
  <c r="AN201" i="2"/>
  <c r="AN202" i="2"/>
  <c r="AN203" i="2"/>
  <c r="AN204" i="2"/>
  <c r="AN205" i="2"/>
  <c r="AN206" i="2"/>
  <c r="AN207" i="2"/>
  <c r="AN208" i="2"/>
  <c r="AN209" i="2"/>
  <c r="AN210" i="2"/>
  <c r="AN211" i="2"/>
  <c r="AN212" i="2"/>
  <c r="AN213" i="2"/>
  <c r="AN214" i="2"/>
  <c r="AN215" i="2"/>
  <c r="AN216" i="2"/>
  <c r="AN217" i="2"/>
  <c r="AN218" i="2"/>
  <c r="AN219" i="2"/>
  <c r="AN220" i="2"/>
  <c r="AN221" i="2"/>
  <c r="AN222" i="2"/>
  <c r="AN223" i="2"/>
  <c r="AN224" i="2"/>
  <c r="AN225" i="2"/>
  <c r="AN226" i="2"/>
  <c r="AN227" i="2"/>
  <c r="AN228" i="2"/>
  <c r="AN229" i="2"/>
  <c r="AN230" i="2"/>
  <c r="AN231" i="2"/>
  <c r="AN232" i="2"/>
  <c r="AN233" i="2"/>
  <c r="AN234" i="2"/>
  <c r="AN235" i="2"/>
  <c r="AN236" i="2"/>
  <c r="AN237" i="2"/>
  <c r="AN238" i="2"/>
  <c r="AN239" i="2"/>
  <c r="AN240" i="2"/>
  <c r="AN241" i="2"/>
  <c r="AN242" i="2"/>
  <c r="AN243" i="2"/>
  <c r="AN244" i="2"/>
  <c r="AN245" i="2"/>
  <c r="AN246" i="2"/>
  <c r="AN247" i="2"/>
  <c r="AN248" i="2"/>
  <c r="AN249" i="2"/>
  <c r="AN250" i="2"/>
  <c r="AN251" i="2"/>
  <c r="AN252" i="2"/>
  <c r="AN253" i="2"/>
  <c r="AN254" i="2"/>
  <c r="AN255" i="2"/>
  <c r="AN256" i="2"/>
  <c r="AN257" i="2"/>
  <c r="AN258" i="2"/>
  <c r="AN259" i="2"/>
  <c r="AN260" i="2"/>
  <c r="AN261" i="2"/>
  <c r="AN262" i="2"/>
  <c r="AN263" i="2"/>
  <c r="AN264" i="2"/>
  <c r="AN265" i="2"/>
  <c r="AN266" i="2"/>
  <c r="AN267" i="2"/>
  <c r="AN268" i="2"/>
  <c r="AN269" i="2"/>
  <c r="AN270" i="2"/>
  <c r="AN271" i="2"/>
  <c r="AN272" i="2"/>
  <c r="AN273" i="2"/>
  <c r="AN274" i="2"/>
  <c r="AN275" i="2"/>
  <c r="AN276" i="2"/>
  <c r="AN277" i="2"/>
  <c r="AN278" i="2"/>
  <c r="AN279" i="2"/>
  <c r="AN280" i="2"/>
  <c r="AN281" i="2"/>
  <c r="AN282" i="2"/>
  <c r="AN283" i="2"/>
  <c r="AN284" i="2"/>
  <c r="AN285" i="2"/>
  <c r="AN286" i="2"/>
  <c r="AN287" i="2"/>
  <c r="AN288" i="2"/>
  <c r="AN289" i="2"/>
  <c r="AN290" i="2"/>
  <c r="AN291" i="2"/>
  <c r="AN292" i="2"/>
  <c r="AN293" i="2"/>
  <c r="AN294" i="2"/>
  <c r="AN295" i="2"/>
  <c r="AN296" i="2"/>
  <c r="AN297" i="2"/>
  <c r="AN298" i="2"/>
  <c r="AN299" i="2"/>
  <c r="AN300" i="2"/>
  <c r="AN301" i="2"/>
  <c r="AN302" i="2"/>
  <c r="AN303" i="2"/>
  <c r="AN304" i="2"/>
  <c r="AN305" i="2"/>
  <c r="AN306" i="2"/>
  <c r="AN307" i="2"/>
  <c r="AN308" i="2"/>
  <c r="AN309" i="2"/>
  <c r="AN310" i="2"/>
  <c r="AN311" i="2"/>
  <c r="AN312" i="2"/>
  <c r="AN313" i="2"/>
  <c r="AN314" i="2"/>
  <c r="AN315" i="2"/>
  <c r="AN316" i="2"/>
  <c r="AN317" i="2"/>
  <c r="AN318" i="2"/>
  <c r="AN319" i="2"/>
  <c r="AN320" i="2"/>
  <c r="AN321" i="2"/>
  <c r="AN322" i="2"/>
  <c r="AN323" i="2"/>
  <c r="AN324" i="2"/>
  <c r="AN325" i="2"/>
  <c r="AN326" i="2"/>
  <c r="AN327" i="2"/>
  <c r="AN328" i="2"/>
  <c r="AN329" i="2"/>
  <c r="AN330" i="2"/>
  <c r="AN331" i="2"/>
  <c r="AN332" i="2"/>
  <c r="AN333" i="2"/>
  <c r="AN334" i="2"/>
  <c r="AN335" i="2"/>
  <c r="AN336" i="2"/>
  <c r="AN337" i="2"/>
  <c r="AN338" i="2"/>
  <c r="AN339" i="2"/>
  <c r="AN340" i="2"/>
  <c r="AN341" i="2"/>
  <c r="AN342" i="2"/>
  <c r="AN343" i="2"/>
  <c r="AN344" i="2"/>
  <c r="AN345" i="2"/>
  <c r="AN346" i="2"/>
  <c r="AN347" i="2"/>
  <c r="AN348" i="2"/>
  <c r="AN349" i="2"/>
  <c r="AN350" i="2"/>
  <c r="AN351" i="2"/>
  <c r="AN352" i="2"/>
  <c r="AN353" i="2"/>
  <c r="AN354" i="2"/>
  <c r="AN355" i="2"/>
  <c r="AN356" i="2"/>
  <c r="AN357" i="2"/>
  <c r="AN358" i="2"/>
  <c r="AN359" i="2"/>
  <c r="AN360" i="2"/>
  <c r="AN361" i="2"/>
  <c r="AN362" i="2"/>
  <c r="AN363" i="2"/>
  <c r="AN364" i="2"/>
  <c r="AN365" i="2"/>
  <c r="AN366" i="2"/>
  <c r="AN367" i="2"/>
  <c r="AN368" i="2"/>
  <c r="AN369" i="2"/>
  <c r="AN370" i="2"/>
  <c r="AN371" i="2"/>
  <c r="AN372" i="2"/>
  <c r="AN373" i="2"/>
  <c r="AN374" i="2"/>
  <c r="AN375" i="2"/>
  <c r="AN376" i="2"/>
  <c r="AN377" i="2"/>
  <c r="AL47" i="1" l="1"/>
  <c r="AM47" i="1"/>
  <c r="AN47" i="1"/>
  <c r="AP47" i="1"/>
  <c r="AQ47" i="1"/>
  <c r="AR47" i="1"/>
  <c r="AU47" i="1"/>
  <c r="AV47" i="1"/>
  <c r="AX47" i="1"/>
  <c r="AY47" i="1"/>
  <c r="BA47" i="1"/>
  <c r="AZ47" i="1" l="1"/>
  <c r="BS47" i="1"/>
  <c r="BP47" i="1"/>
  <c r="BM47" i="1"/>
  <c r="BK47" i="1"/>
  <c r="BO47" i="1"/>
  <c r="BR47" i="1"/>
  <c r="BQ47" i="1"/>
  <c r="BE47" i="1"/>
  <c r="BJ47" i="1"/>
  <c r="BL47" i="1"/>
  <c r="BH47" i="1"/>
  <c r="BG47" i="1"/>
  <c r="BF47" i="1"/>
  <c r="BN47" i="1"/>
  <c r="BI47" i="1"/>
  <c r="CC47" i="1"/>
  <c r="BU47" i="1"/>
  <c r="BV47" i="1"/>
  <c r="CD47" i="1"/>
  <c r="BD47" i="1"/>
  <c r="BC47" i="1"/>
  <c r="CB47" i="1"/>
  <c r="BB47" i="1"/>
  <c r="BY47" i="1"/>
  <c r="BX47" i="1"/>
  <c r="AW47" i="1"/>
  <c r="AL46" i="1"/>
  <c r="AM46" i="1"/>
  <c r="AN46" i="1"/>
  <c r="AP46" i="1"/>
  <c r="AQ46" i="1"/>
  <c r="AR46" i="1"/>
  <c r="AU46" i="1"/>
  <c r="AV46" i="1"/>
  <c r="AX46" i="1"/>
  <c r="AY46" i="1"/>
  <c r="BA46" i="1"/>
  <c r="AL45" i="1"/>
  <c r="AM45" i="1"/>
  <c r="AN45" i="1"/>
  <c r="AP45" i="1"/>
  <c r="AQ45" i="1"/>
  <c r="AR45" i="1"/>
  <c r="AU45" i="1"/>
  <c r="AV45" i="1"/>
  <c r="AX45" i="1"/>
  <c r="AY45" i="1"/>
  <c r="BA45" i="1"/>
  <c r="AZ45" i="1" l="1"/>
  <c r="AZ46" i="1"/>
  <c r="BS45" i="1"/>
  <c r="BO45" i="1"/>
  <c r="BN45" i="1"/>
  <c r="BM45" i="1"/>
  <c r="BK45" i="1"/>
  <c r="BR45" i="1"/>
  <c r="BL45" i="1"/>
  <c r="BJ45" i="1"/>
  <c r="BP45" i="1"/>
  <c r="BI45" i="1"/>
  <c r="BH45" i="1"/>
  <c r="BG45" i="1"/>
  <c r="BF45" i="1"/>
  <c r="BQ45" i="1"/>
  <c r="BE45" i="1"/>
  <c r="BP46" i="1"/>
  <c r="BO46" i="1"/>
  <c r="BN46" i="1"/>
  <c r="BM46" i="1"/>
  <c r="BK46" i="1"/>
  <c r="BL46" i="1"/>
  <c r="BJ46" i="1"/>
  <c r="BI46" i="1"/>
  <c r="BH46" i="1"/>
  <c r="BG46" i="1"/>
  <c r="BF46" i="1"/>
  <c r="BE46" i="1"/>
  <c r="CC45" i="1"/>
  <c r="CD45" i="1"/>
  <c r="BD45" i="1"/>
  <c r="BC45" i="1"/>
  <c r="CC46" i="1"/>
  <c r="CD46" i="1"/>
  <c r="BD46" i="1"/>
  <c r="BC46" i="1"/>
  <c r="CB45" i="1"/>
  <c r="CB46" i="1"/>
  <c r="BT47" i="1"/>
  <c r="BB45" i="1"/>
  <c r="BB46" i="1"/>
  <c r="AW46" i="1"/>
  <c r="AW45" i="1"/>
  <c r="M43" i="1"/>
  <c r="CA43" i="1" s="1"/>
  <c r="AL44" i="1"/>
  <c r="AM44" i="1"/>
  <c r="AN44" i="1"/>
  <c r="AP44" i="1"/>
  <c r="AQ44" i="1"/>
  <c r="AR44" i="1"/>
  <c r="AU44" i="1"/>
  <c r="AV44" i="1"/>
  <c r="AX44" i="1"/>
  <c r="AY44" i="1"/>
  <c r="BA44" i="1"/>
  <c r="AP43" i="1"/>
  <c r="AQ43" i="1"/>
  <c r="AZ44" i="1" l="1"/>
  <c r="BS44" i="1"/>
  <c r="BP44" i="1"/>
  <c r="BO44" i="1"/>
  <c r="BN44" i="1"/>
  <c r="BM44" i="1"/>
  <c r="BK44" i="1"/>
  <c r="BR44" i="1"/>
  <c r="BL44" i="1"/>
  <c r="BJ44" i="1"/>
  <c r="BI44" i="1"/>
  <c r="BH44" i="1"/>
  <c r="BG44" i="1"/>
  <c r="BF44" i="1"/>
  <c r="BQ44" i="1"/>
  <c r="BE44" i="1"/>
  <c r="BU44" i="1"/>
  <c r="BV44" i="1"/>
  <c r="BD44" i="1"/>
  <c r="BC44" i="1"/>
  <c r="BT44" i="1"/>
  <c r="BB44" i="1"/>
  <c r="BX44" i="1"/>
  <c r="BY44" i="1"/>
  <c r="AU43" i="1"/>
  <c r="AR43" i="1"/>
  <c r="AN43" i="1"/>
  <c r="AM43" i="1"/>
  <c r="AY43" i="1"/>
  <c r="AX43" i="1"/>
  <c r="AV43" i="1"/>
  <c r="AL43" i="1"/>
  <c r="BA43" i="1"/>
  <c r="AW44" i="1"/>
  <c r="M10" i="3"/>
  <c r="K10" i="3"/>
  <c r="AZ43" i="1" l="1"/>
  <c r="BS43" i="1"/>
  <c r="BP43" i="1"/>
  <c r="BN43" i="1"/>
  <c r="BO43" i="1"/>
  <c r="BM43" i="1"/>
  <c r="BK43" i="1"/>
  <c r="BQ43" i="1"/>
  <c r="BE43" i="1"/>
  <c r="BL43" i="1"/>
  <c r="BR43" i="1"/>
  <c r="BJ43" i="1"/>
  <c r="BH43" i="1"/>
  <c r="BG43" i="1"/>
  <c r="BF43" i="1"/>
  <c r="BI43" i="1"/>
  <c r="BV43" i="1"/>
  <c r="CC43" i="1"/>
  <c r="CD43" i="1"/>
  <c r="BD43" i="1"/>
  <c r="BC43" i="1"/>
  <c r="BU43" i="1"/>
  <c r="CB43" i="1"/>
  <c r="BB43" i="1"/>
  <c r="AW43" i="1"/>
  <c r="BY43" i="1"/>
  <c r="BX43" i="1"/>
  <c r="AL42" i="1"/>
  <c r="AM42" i="1"/>
  <c r="AN42" i="1"/>
  <c r="AO42" i="1"/>
  <c r="AP42" i="1"/>
  <c r="AQ42" i="1"/>
  <c r="AR42" i="1"/>
  <c r="AU42" i="1"/>
  <c r="AV42" i="1"/>
  <c r="AX42" i="1"/>
  <c r="AY42" i="1"/>
  <c r="BA42" i="1"/>
  <c r="AL41" i="1"/>
  <c r="AM41" i="1"/>
  <c r="AN41" i="1"/>
  <c r="AP41" i="1"/>
  <c r="AQ41" i="1"/>
  <c r="AR41" i="1"/>
  <c r="AU41" i="1"/>
  <c r="AV41" i="1"/>
  <c r="AX41" i="1"/>
  <c r="AY41" i="1"/>
  <c r="BA41" i="1"/>
  <c r="AZ41" i="1" l="1"/>
  <c r="BO41" i="1"/>
  <c r="BP41" i="1"/>
  <c r="BM41" i="1"/>
  <c r="BK41" i="1"/>
  <c r="BR41" i="1"/>
  <c r="BL41" i="1"/>
  <c r="BJ41" i="1"/>
  <c r="BN41" i="1"/>
  <c r="BI41" i="1"/>
  <c r="BH41" i="1"/>
  <c r="BG41" i="1"/>
  <c r="BF41" i="1"/>
  <c r="BQ41" i="1"/>
  <c r="BE41" i="1"/>
  <c r="BS41" i="1"/>
  <c r="BP42" i="1"/>
  <c r="BO42" i="1"/>
  <c r="BN42" i="1"/>
  <c r="BM42" i="1"/>
  <c r="BK42" i="1"/>
  <c r="BL42" i="1"/>
  <c r="BJ42" i="1"/>
  <c r="BI42" i="1"/>
  <c r="BH42" i="1"/>
  <c r="BG42" i="1"/>
  <c r="BF42" i="1"/>
  <c r="BE42" i="1"/>
  <c r="CC42" i="1"/>
  <c r="BU42" i="1"/>
  <c r="CD42" i="1"/>
  <c r="BD42" i="1"/>
  <c r="BC42" i="1"/>
  <c r="CC41" i="1"/>
  <c r="BU41" i="1"/>
  <c r="CD41" i="1"/>
  <c r="BV41" i="1"/>
  <c r="BC41" i="1"/>
  <c r="BD41" i="1"/>
  <c r="BT43" i="1"/>
  <c r="CB41" i="1"/>
  <c r="CB42" i="1"/>
  <c r="BB41" i="1"/>
  <c r="BB42" i="1"/>
  <c r="BY41" i="1"/>
  <c r="BX41" i="1"/>
  <c r="BX42" i="1"/>
  <c r="AW42" i="1"/>
  <c r="AW41" i="1"/>
  <c r="AL40" i="1"/>
  <c r="AM40" i="1"/>
  <c r="AN40" i="1"/>
  <c r="AP40" i="1"/>
  <c r="AQ40" i="1"/>
  <c r="AR40" i="1"/>
  <c r="AU40" i="1"/>
  <c r="AV40" i="1"/>
  <c r="AX40" i="1"/>
  <c r="AY40" i="1"/>
  <c r="BA40" i="1"/>
  <c r="AL39" i="1"/>
  <c r="AM39" i="1"/>
  <c r="AN39" i="1"/>
  <c r="AP39" i="1"/>
  <c r="AQ39" i="1"/>
  <c r="AR39" i="1"/>
  <c r="AU39" i="1"/>
  <c r="AV39" i="1"/>
  <c r="AX39" i="1"/>
  <c r="AY39" i="1"/>
  <c r="BA39" i="1"/>
  <c r="AL38" i="1"/>
  <c r="AM38" i="1"/>
  <c r="AN38" i="1"/>
  <c r="AP38" i="1"/>
  <c r="AQ38" i="1"/>
  <c r="AR38" i="1"/>
  <c r="AU38" i="1"/>
  <c r="AV38" i="1"/>
  <c r="AX38" i="1"/>
  <c r="AY38" i="1"/>
  <c r="BA38" i="1"/>
  <c r="AL37" i="1"/>
  <c r="AM37" i="1"/>
  <c r="AN37" i="1"/>
  <c r="AP37" i="1"/>
  <c r="AQ37" i="1"/>
  <c r="AR37" i="1"/>
  <c r="AU37" i="1"/>
  <c r="AV37" i="1"/>
  <c r="AX37" i="1"/>
  <c r="AY37" i="1"/>
  <c r="BA37" i="1"/>
  <c r="AZ40" i="1" l="1"/>
  <c r="AZ37" i="1"/>
  <c r="AZ38" i="1"/>
  <c r="AZ39" i="1"/>
  <c r="BN37" i="1"/>
  <c r="BP37" i="1"/>
  <c r="BS37" i="1"/>
  <c r="BO37" i="1"/>
  <c r="BR37" i="1"/>
  <c r="BL37" i="1"/>
  <c r="BJ37" i="1"/>
  <c r="BM37" i="1"/>
  <c r="BI37" i="1"/>
  <c r="BH37" i="1"/>
  <c r="BG37" i="1"/>
  <c r="BF37" i="1"/>
  <c r="BK37" i="1"/>
  <c r="BQ37" i="1"/>
  <c r="BE37" i="1"/>
  <c r="BS38" i="1"/>
  <c r="BP38" i="1"/>
  <c r="BO38" i="1"/>
  <c r="BN38" i="1"/>
  <c r="BM38" i="1"/>
  <c r="BK38" i="1"/>
  <c r="BR38" i="1"/>
  <c r="BL38" i="1"/>
  <c r="BJ38" i="1"/>
  <c r="BI38" i="1"/>
  <c r="BH38" i="1"/>
  <c r="BG38" i="1"/>
  <c r="BF38" i="1"/>
  <c r="BQ38" i="1"/>
  <c r="BE38" i="1"/>
  <c r="BS39" i="1"/>
  <c r="BP39" i="1"/>
  <c r="BN39" i="1"/>
  <c r="BM39" i="1"/>
  <c r="BK39" i="1"/>
  <c r="BO39" i="1"/>
  <c r="BR39" i="1"/>
  <c r="BL39" i="1"/>
  <c r="BQ39" i="1"/>
  <c r="BE39" i="1"/>
  <c r="BJ39" i="1"/>
  <c r="BI39" i="1"/>
  <c r="BH39" i="1"/>
  <c r="BG39" i="1"/>
  <c r="BF39" i="1"/>
  <c r="BS40" i="1"/>
  <c r="BP40" i="1"/>
  <c r="BO40" i="1"/>
  <c r="BN40" i="1"/>
  <c r="BM40" i="1"/>
  <c r="BK40" i="1"/>
  <c r="BR40" i="1"/>
  <c r="BL40" i="1"/>
  <c r="BI40" i="1"/>
  <c r="BH40" i="1"/>
  <c r="BG40" i="1"/>
  <c r="BF40" i="1"/>
  <c r="BQ40" i="1"/>
  <c r="BE40" i="1"/>
  <c r="BJ40" i="1"/>
  <c r="CC37" i="1"/>
  <c r="BU37" i="1"/>
  <c r="CD37" i="1"/>
  <c r="BV37" i="1"/>
  <c r="BD37" i="1"/>
  <c r="BC37" i="1"/>
  <c r="CC38" i="1"/>
  <c r="BU38" i="1"/>
  <c r="CD38" i="1"/>
  <c r="BV38" i="1"/>
  <c r="BD38" i="1"/>
  <c r="BC38" i="1"/>
  <c r="CC39" i="1"/>
  <c r="BU39" i="1"/>
  <c r="CD39" i="1"/>
  <c r="BV39" i="1"/>
  <c r="BD39" i="1"/>
  <c r="BC39" i="1"/>
  <c r="CC40" i="1"/>
  <c r="BU40" i="1"/>
  <c r="CD40" i="1"/>
  <c r="BV40" i="1"/>
  <c r="BC40" i="1"/>
  <c r="BD40" i="1"/>
  <c r="CB37" i="1"/>
  <c r="BT37" i="1"/>
  <c r="CB38" i="1"/>
  <c r="BT38" i="1"/>
  <c r="CB39" i="1"/>
  <c r="CB40" i="1"/>
  <c r="BT40" i="1"/>
  <c r="BB37" i="1"/>
  <c r="BB39" i="1"/>
  <c r="BB40" i="1"/>
  <c r="BB38" i="1"/>
  <c r="BY39" i="1"/>
  <c r="BX39" i="1"/>
  <c r="BX38" i="1"/>
  <c r="BY38" i="1"/>
  <c r="BX40" i="1"/>
  <c r="BY40" i="1"/>
  <c r="BY37" i="1"/>
  <c r="BX37" i="1"/>
  <c r="AW37" i="1"/>
  <c r="AW38" i="1"/>
  <c r="AW40" i="1"/>
  <c r="AW39" i="1"/>
  <c r="AF7" i="6"/>
  <c r="AG7" i="6"/>
  <c r="AH7" i="6"/>
  <c r="AI7" i="6"/>
  <c r="AJ7" i="6"/>
  <c r="AK7" i="6"/>
  <c r="AL7" i="6"/>
  <c r="AM7" i="6"/>
  <c r="AO7" i="6"/>
  <c r="AP7" i="6"/>
  <c r="AR7" i="6"/>
  <c r="AS7" i="6"/>
  <c r="AT7" i="6"/>
  <c r="AL36" i="1"/>
  <c r="AM36" i="1"/>
  <c r="AN36" i="1"/>
  <c r="AP36" i="1"/>
  <c r="AQ36" i="1"/>
  <c r="AR36" i="1"/>
  <c r="AU36" i="1"/>
  <c r="AV36" i="1"/>
  <c r="AX36" i="1"/>
  <c r="AY36" i="1"/>
  <c r="BA36" i="1"/>
  <c r="AL35" i="1"/>
  <c r="AM35" i="1"/>
  <c r="AN35" i="1"/>
  <c r="AP35" i="1"/>
  <c r="AQ35" i="1"/>
  <c r="AR35" i="1"/>
  <c r="AU35" i="1"/>
  <c r="AV35" i="1"/>
  <c r="AX35" i="1"/>
  <c r="AY35" i="1"/>
  <c r="BA35" i="1"/>
  <c r="AZ36" i="1" l="1"/>
  <c r="AZ35" i="1"/>
  <c r="BS35" i="1"/>
  <c r="BP35" i="1"/>
  <c r="BO35" i="1"/>
  <c r="BM35" i="1"/>
  <c r="BK35" i="1"/>
  <c r="BN35" i="1"/>
  <c r="BQ35" i="1"/>
  <c r="BE35" i="1"/>
  <c r="BR35" i="1"/>
  <c r="BJ35" i="1"/>
  <c r="BL35" i="1"/>
  <c r="BI35" i="1"/>
  <c r="BH35" i="1"/>
  <c r="BG35" i="1"/>
  <c r="BF35" i="1"/>
  <c r="BS36" i="1"/>
  <c r="BP36" i="1"/>
  <c r="BO36" i="1"/>
  <c r="BM36" i="1"/>
  <c r="BK36" i="1"/>
  <c r="BR36" i="1"/>
  <c r="BL36" i="1"/>
  <c r="BN36" i="1"/>
  <c r="BJ36" i="1"/>
  <c r="BI36" i="1"/>
  <c r="BH36" i="1"/>
  <c r="BG36" i="1"/>
  <c r="BF36" i="1"/>
  <c r="BQ36" i="1"/>
  <c r="BE36" i="1"/>
  <c r="CC35" i="1"/>
  <c r="BU35" i="1"/>
  <c r="BV35" i="1"/>
  <c r="CD35" i="1"/>
  <c r="BD35" i="1"/>
  <c r="BC35" i="1"/>
  <c r="CC36" i="1"/>
  <c r="CD36" i="1"/>
  <c r="BD36" i="1"/>
  <c r="BC36" i="1"/>
  <c r="CB35" i="1"/>
  <c r="BT35" i="1"/>
  <c r="CB36" i="1"/>
  <c r="BB36" i="1"/>
  <c r="BB35" i="1"/>
  <c r="BY35" i="1"/>
  <c r="BX35" i="1"/>
  <c r="AV7" i="6"/>
  <c r="AW35" i="1"/>
  <c r="AW36" i="1"/>
  <c r="AU7" i="6"/>
  <c r="AQ7" i="6"/>
  <c r="BA7" i="6" s="1"/>
  <c r="F34" i="1"/>
  <c r="AP34" i="1" s="1"/>
  <c r="AL34" i="1"/>
  <c r="AM34" i="1"/>
  <c r="AN34" i="1"/>
  <c r="AO34" i="1"/>
  <c r="AQ34" i="1"/>
  <c r="AR34" i="1"/>
  <c r="AU34" i="1"/>
  <c r="AV34" i="1"/>
  <c r="AX34" i="1"/>
  <c r="AY34" i="1"/>
  <c r="BA34" i="1"/>
  <c r="BS34" i="1" l="1"/>
  <c r="BP34" i="1"/>
  <c r="BO34" i="1"/>
  <c r="BN34" i="1"/>
  <c r="BM34" i="1"/>
  <c r="BK34" i="1"/>
  <c r="BR34" i="1"/>
  <c r="BL34" i="1"/>
  <c r="BJ34" i="1"/>
  <c r="BI34" i="1"/>
  <c r="BH34" i="1"/>
  <c r="BG34" i="1"/>
  <c r="BF34" i="1"/>
  <c r="BQ34" i="1"/>
  <c r="BE34" i="1"/>
  <c r="CC34" i="1"/>
  <c r="BU34" i="1"/>
  <c r="CD34" i="1"/>
  <c r="BV34" i="1"/>
  <c r="BD34" i="1"/>
  <c r="BC34" i="1"/>
  <c r="CB34" i="1"/>
  <c r="BB34" i="1"/>
  <c r="BX34" i="1"/>
  <c r="BY34" i="1"/>
  <c r="AW34" i="1"/>
  <c r="AY7" i="6"/>
  <c r="AW7" i="6"/>
  <c r="BD7" i="6"/>
  <c r="BH7" i="6"/>
  <c r="BL7" i="6"/>
  <c r="BE7" i="6"/>
  <c r="AX7" i="6"/>
  <c r="BF7" i="6"/>
  <c r="BJ7" i="6"/>
  <c r="BM7" i="6"/>
  <c r="BB7" i="6"/>
  <c r="BG7" i="6"/>
  <c r="BK7" i="6"/>
  <c r="BI7" i="6"/>
  <c r="AZ7" i="6"/>
  <c r="AF6" i="6"/>
  <c r="AG6" i="6"/>
  <c r="AH6" i="6"/>
  <c r="AI6" i="6"/>
  <c r="AJ6" i="6"/>
  <c r="AK6" i="6"/>
  <c r="AL6" i="6"/>
  <c r="AM6" i="6"/>
  <c r="AO6" i="6"/>
  <c r="AP6" i="6"/>
  <c r="AR6" i="6"/>
  <c r="AS6" i="6"/>
  <c r="AT6" i="6"/>
  <c r="AF5" i="6"/>
  <c r="AG5" i="6"/>
  <c r="AH5" i="6"/>
  <c r="AI5" i="6"/>
  <c r="AJ5" i="6"/>
  <c r="AK5" i="6"/>
  <c r="AL5" i="6"/>
  <c r="AM5" i="6"/>
  <c r="AO5" i="6"/>
  <c r="AP5" i="6"/>
  <c r="AR5" i="6"/>
  <c r="AS5" i="6"/>
  <c r="AT5" i="6"/>
  <c r="AF4" i="6"/>
  <c r="AG4" i="6"/>
  <c r="AH4" i="6"/>
  <c r="AI4" i="6"/>
  <c r="AJ4" i="6"/>
  <c r="AK4" i="6"/>
  <c r="AL4" i="6"/>
  <c r="AM4" i="6"/>
  <c r="AO4" i="6"/>
  <c r="AP4" i="6"/>
  <c r="AR4" i="6"/>
  <c r="AS4" i="6"/>
  <c r="AT4" i="6"/>
  <c r="BT34" i="1" l="1"/>
  <c r="BE5" i="6"/>
  <c r="BG5" i="6"/>
  <c r="BF5" i="6"/>
  <c r="BI5" i="6"/>
  <c r="BK5" i="6"/>
  <c r="BJ5" i="6"/>
  <c r="AV5" i="6"/>
  <c r="AY5" i="6"/>
  <c r="AQ6" i="6"/>
  <c r="AW6" i="6" s="1"/>
  <c r="AQ5" i="6"/>
  <c r="AQ4" i="6"/>
  <c r="AZ4" i="6" s="1"/>
  <c r="AU5" i="6"/>
  <c r="J2" i="6"/>
  <c r="AL33" i="1"/>
  <c r="AM33" i="1"/>
  <c r="AN33" i="1"/>
  <c r="AP33" i="1"/>
  <c r="AQ33" i="1"/>
  <c r="AR33" i="1"/>
  <c r="AU33" i="1"/>
  <c r="AV33" i="1"/>
  <c r="AX33" i="1"/>
  <c r="AY33" i="1"/>
  <c r="BA33" i="1"/>
  <c r="AZ33" i="1" l="1"/>
  <c r="BP33" i="1"/>
  <c r="BO33" i="1"/>
  <c r="BS33" i="1"/>
  <c r="BN33" i="1"/>
  <c r="BR33" i="1"/>
  <c r="BL33" i="1"/>
  <c r="BJ33" i="1"/>
  <c r="BM33" i="1"/>
  <c r="BK33" i="1"/>
  <c r="BI33" i="1"/>
  <c r="BH33" i="1"/>
  <c r="BG33" i="1"/>
  <c r="BF33" i="1"/>
  <c r="BQ33" i="1"/>
  <c r="BE33" i="1"/>
  <c r="CC33" i="1"/>
  <c r="CD33" i="1"/>
  <c r="BD33" i="1"/>
  <c r="BC33" i="1"/>
  <c r="CB33" i="1"/>
  <c r="BB33" i="1"/>
  <c r="AU6" i="6"/>
  <c r="AW33" i="1"/>
  <c r="BM4" i="6"/>
  <c r="BE4" i="6"/>
  <c r="AV4" i="6"/>
  <c r="BI4" i="6"/>
  <c r="BB4" i="6"/>
  <c r="AU4" i="6"/>
  <c r="AV6" i="6"/>
  <c r="AW5" i="6"/>
  <c r="AX5" i="6"/>
  <c r="BD5" i="6"/>
  <c r="BH5" i="6"/>
  <c r="AZ5" i="6"/>
  <c r="BM5" i="6"/>
  <c r="BA5" i="6"/>
  <c r="BL5" i="6"/>
  <c r="BB5" i="6"/>
  <c r="AZ6" i="6"/>
  <c r="BA6" i="6"/>
  <c r="BG6" i="6"/>
  <c r="BB6" i="6"/>
  <c r="BE6" i="6"/>
  <c r="BI6" i="6"/>
  <c r="BD6" i="6"/>
  <c r="BF6" i="6"/>
  <c r="BH6" i="6"/>
  <c r="BM6" i="6"/>
  <c r="BL6" i="6"/>
  <c r="BJ6" i="6"/>
  <c r="AY6" i="6"/>
  <c r="BK6" i="6"/>
  <c r="AX6" i="6"/>
  <c r="AY4" i="6"/>
  <c r="AW4" i="6"/>
  <c r="AX4" i="6"/>
  <c r="BG4" i="6"/>
  <c r="BH4" i="6"/>
  <c r="BD4" i="6"/>
  <c r="BL4" i="6"/>
  <c r="BJ4" i="6"/>
  <c r="BF4" i="6"/>
  <c r="BK4" i="6"/>
  <c r="BA4" i="6"/>
  <c r="AL32" i="1"/>
  <c r="AM32" i="1"/>
  <c r="AN32" i="1"/>
  <c r="AP32" i="1"/>
  <c r="AQ32" i="1"/>
  <c r="AR32" i="1"/>
  <c r="AU32" i="1"/>
  <c r="AV32" i="1"/>
  <c r="AX32" i="1"/>
  <c r="AY32" i="1"/>
  <c r="BA32" i="1"/>
  <c r="AP31" i="1"/>
  <c r="AL31" i="1"/>
  <c r="AM31" i="1"/>
  <c r="AN31" i="1"/>
  <c r="AQ31" i="1"/>
  <c r="AR31" i="1"/>
  <c r="AU31" i="1"/>
  <c r="AV31" i="1"/>
  <c r="AX31" i="1"/>
  <c r="AY31" i="1"/>
  <c r="BA31" i="1"/>
  <c r="AL30" i="1"/>
  <c r="AM30" i="1"/>
  <c r="AN30" i="1"/>
  <c r="AP30" i="1"/>
  <c r="AQ30" i="1"/>
  <c r="AR30" i="1"/>
  <c r="AU30" i="1"/>
  <c r="AV30" i="1"/>
  <c r="AX30" i="1"/>
  <c r="AY30" i="1"/>
  <c r="BA30" i="1"/>
  <c r="AZ30" i="1" l="1"/>
  <c r="AZ32" i="1"/>
  <c r="AZ31" i="1"/>
  <c r="BS30" i="1"/>
  <c r="BP30" i="1"/>
  <c r="BO30" i="1"/>
  <c r="BN30" i="1"/>
  <c r="BM30" i="1"/>
  <c r="BK30" i="1"/>
  <c r="BR30" i="1"/>
  <c r="BL30" i="1"/>
  <c r="BJ30" i="1"/>
  <c r="BI30" i="1"/>
  <c r="BH30" i="1"/>
  <c r="BG30" i="1"/>
  <c r="BF30" i="1"/>
  <c r="BE30" i="1"/>
  <c r="BQ30" i="1"/>
  <c r="BS32" i="1"/>
  <c r="BP32" i="1"/>
  <c r="BO32" i="1"/>
  <c r="BN32" i="1"/>
  <c r="BM32" i="1"/>
  <c r="BK32" i="1"/>
  <c r="BR32" i="1"/>
  <c r="BL32" i="1"/>
  <c r="BJ32" i="1"/>
  <c r="BI32" i="1"/>
  <c r="BH32" i="1"/>
  <c r="BG32" i="1"/>
  <c r="BF32" i="1"/>
  <c r="BQ32" i="1"/>
  <c r="BE32" i="1"/>
  <c r="BS31" i="1"/>
  <c r="BP31" i="1"/>
  <c r="BO31" i="1"/>
  <c r="BM31" i="1"/>
  <c r="BK31" i="1"/>
  <c r="BN31" i="1"/>
  <c r="BQ31" i="1"/>
  <c r="BE31" i="1"/>
  <c r="BR31" i="1"/>
  <c r="BL31" i="1"/>
  <c r="BJ31" i="1"/>
  <c r="BH31" i="1"/>
  <c r="BG31" i="1"/>
  <c r="BF31" i="1"/>
  <c r="BI31" i="1"/>
  <c r="CC32" i="1"/>
  <c r="CD32" i="1"/>
  <c r="BC32" i="1"/>
  <c r="BD32" i="1"/>
  <c r="CC31" i="1"/>
  <c r="BU31" i="1"/>
  <c r="BV31" i="1"/>
  <c r="CD31" i="1"/>
  <c r="BD31" i="1"/>
  <c r="BC31" i="1"/>
  <c r="BU30" i="1"/>
  <c r="BV30" i="1"/>
  <c r="BD30" i="1"/>
  <c r="BC30" i="1"/>
  <c r="CB32" i="1"/>
  <c r="CB31" i="1"/>
  <c r="BT31" i="1"/>
  <c r="BT30" i="1"/>
  <c r="BB31" i="1"/>
  <c r="BB30" i="1"/>
  <c r="BB32" i="1"/>
  <c r="BX30" i="1"/>
  <c r="BY30" i="1"/>
  <c r="BY31" i="1"/>
  <c r="BX31" i="1"/>
  <c r="AW31" i="1"/>
  <c r="AW32" i="1"/>
  <c r="AW30" i="1"/>
  <c r="M27" i="1"/>
  <c r="CA27" i="1" s="1"/>
  <c r="AL29" i="1"/>
  <c r="AM29" i="1"/>
  <c r="AN29" i="1"/>
  <c r="AP29" i="1"/>
  <c r="AQ29" i="1"/>
  <c r="AR29" i="1"/>
  <c r="AU29" i="1"/>
  <c r="AV29" i="1"/>
  <c r="AX29" i="1"/>
  <c r="AY29" i="1"/>
  <c r="BA29" i="1"/>
  <c r="AL28" i="1"/>
  <c r="AM28" i="1"/>
  <c r="AN28" i="1"/>
  <c r="AP28" i="1"/>
  <c r="AQ28" i="1"/>
  <c r="AR28" i="1"/>
  <c r="AU28" i="1"/>
  <c r="AV28" i="1"/>
  <c r="AX28" i="1"/>
  <c r="AY28" i="1"/>
  <c r="BA28" i="1"/>
  <c r="AP27" i="1"/>
  <c r="AQ27" i="1"/>
  <c r="AR27" i="1"/>
  <c r="AZ29" i="1" l="1"/>
  <c r="AZ28" i="1"/>
  <c r="BS28" i="1"/>
  <c r="BP28" i="1"/>
  <c r="BO28" i="1"/>
  <c r="BN28" i="1"/>
  <c r="BM28" i="1"/>
  <c r="BK28" i="1"/>
  <c r="BR28" i="1"/>
  <c r="BL28" i="1"/>
  <c r="BJ28" i="1"/>
  <c r="BI28" i="1"/>
  <c r="BH28" i="1"/>
  <c r="BG28" i="1"/>
  <c r="BF28" i="1"/>
  <c r="BQ28" i="1"/>
  <c r="BE28" i="1"/>
  <c r="BS29" i="1"/>
  <c r="BN29" i="1"/>
  <c r="BP29" i="1"/>
  <c r="BM29" i="1"/>
  <c r="BK29" i="1"/>
  <c r="BR29" i="1"/>
  <c r="BL29" i="1"/>
  <c r="BJ29" i="1"/>
  <c r="BI29" i="1"/>
  <c r="BH29" i="1"/>
  <c r="BG29" i="1"/>
  <c r="BF29" i="1"/>
  <c r="BO29" i="1"/>
  <c r="BQ29" i="1"/>
  <c r="BE29" i="1"/>
  <c r="CC29" i="1"/>
  <c r="BU29" i="1"/>
  <c r="CD29" i="1"/>
  <c r="BV29" i="1"/>
  <c r="BC29" i="1"/>
  <c r="BD29" i="1"/>
  <c r="BV27" i="1"/>
  <c r="BU28" i="1"/>
  <c r="BV28" i="1"/>
  <c r="BD28" i="1"/>
  <c r="BC28" i="1"/>
  <c r="CB29" i="1"/>
  <c r="BT27" i="1"/>
  <c r="BT28" i="1"/>
  <c r="BB29" i="1"/>
  <c r="BB28" i="1"/>
  <c r="AT27" i="1"/>
  <c r="BY27" i="1"/>
  <c r="BY29" i="1"/>
  <c r="BX29" i="1"/>
  <c r="BX28" i="1"/>
  <c r="BY28" i="1"/>
  <c r="AN27" i="1"/>
  <c r="AM27" i="1"/>
  <c r="AW29" i="1"/>
  <c r="AY27" i="1"/>
  <c r="AW28" i="1"/>
  <c r="AV27" i="1"/>
  <c r="BA27" i="1"/>
  <c r="AL27" i="1"/>
  <c r="AU27" i="1"/>
  <c r="AX27" i="1"/>
  <c r="AT2" i="6"/>
  <c r="AT3" i="6"/>
  <c r="AS2" i="6"/>
  <c r="AS3" i="6"/>
  <c r="AR2" i="6"/>
  <c r="AR3" i="6"/>
  <c r="AP2" i="6"/>
  <c r="AP3" i="6"/>
  <c r="AO2" i="6"/>
  <c r="AO3" i="6"/>
  <c r="AM2" i="6"/>
  <c r="AM3" i="6"/>
  <c r="AL2" i="6"/>
  <c r="AL3" i="6"/>
  <c r="AK2" i="6"/>
  <c r="AK3" i="6"/>
  <c r="AJ2" i="6"/>
  <c r="AJ3" i="6"/>
  <c r="AN3" i="6" s="1"/>
  <c r="AI2" i="6"/>
  <c r="AI3" i="6"/>
  <c r="AH2" i="6"/>
  <c r="AH3" i="6"/>
  <c r="AG2" i="6"/>
  <c r="AG3" i="6"/>
  <c r="AF2" i="6"/>
  <c r="AF3" i="6"/>
  <c r="AZ27" i="1" l="1"/>
  <c r="BS27" i="1"/>
  <c r="BP27" i="1"/>
  <c r="BO27" i="1"/>
  <c r="BN27" i="1"/>
  <c r="BM27" i="1"/>
  <c r="BK27" i="1"/>
  <c r="BQ27" i="1"/>
  <c r="BE27" i="1"/>
  <c r="BR27" i="1"/>
  <c r="BL27" i="1"/>
  <c r="BJ27" i="1"/>
  <c r="BI27" i="1"/>
  <c r="BH27" i="1"/>
  <c r="BG27" i="1"/>
  <c r="BF27" i="1"/>
  <c r="CC27" i="1"/>
  <c r="CD27" i="1"/>
  <c r="BD27" i="1"/>
  <c r="BC27" i="1"/>
  <c r="BU27" i="1"/>
  <c r="BT29" i="1"/>
  <c r="CB27" i="1"/>
  <c r="BB27" i="1"/>
  <c r="BX27" i="1"/>
  <c r="AW27" i="1"/>
  <c r="M13" i="3"/>
  <c r="M9" i="3"/>
  <c r="M7" i="3"/>
  <c r="M12" i="3"/>
  <c r="M11" i="3"/>
  <c r="M8" i="3"/>
  <c r="AQ3" i="6"/>
  <c r="AX3" i="6" s="1"/>
  <c r="AQ2" i="6"/>
  <c r="BK2" i="6" s="1"/>
  <c r="BA3" i="6"/>
  <c r="AZ2" i="6"/>
  <c r="AL26" i="1"/>
  <c r="AM26" i="1"/>
  <c r="AN26" i="1"/>
  <c r="AP26" i="1"/>
  <c r="AQ26" i="1"/>
  <c r="AR26" i="1"/>
  <c r="AU26" i="1"/>
  <c r="AV26" i="1"/>
  <c r="AX26" i="1"/>
  <c r="AY26" i="1"/>
  <c r="BA26" i="1"/>
  <c r="AL25" i="1"/>
  <c r="AM25" i="1"/>
  <c r="AN25" i="1"/>
  <c r="AO25" i="1"/>
  <c r="AP25" i="1"/>
  <c r="AQ25" i="1"/>
  <c r="AR25" i="1"/>
  <c r="AU25" i="1"/>
  <c r="AV25" i="1"/>
  <c r="AX25" i="1"/>
  <c r="AY25" i="1"/>
  <c r="BA25" i="1"/>
  <c r="AL24" i="1"/>
  <c r="AM24" i="1"/>
  <c r="AN24" i="1"/>
  <c r="AO24" i="1"/>
  <c r="AP24" i="1"/>
  <c r="AQ24" i="1"/>
  <c r="AR24" i="1"/>
  <c r="AU24" i="1"/>
  <c r="AV24" i="1"/>
  <c r="AX24" i="1"/>
  <c r="AY24" i="1"/>
  <c r="BA24" i="1"/>
  <c r="AZ26" i="1" l="1"/>
  <c r="BS24" i="1"/>
  <c r="BP24" i="1"/>
  <c r="BO24" i="1"/>
  <c r="BN24" i="1"/>
  <c r="BM24" i="1"/>
  <c r="BK24" i="1"/>
  <c r="BR24" i="1"/>
  <c r="BL24" i="1"/>
  <c r="BJ24" i="1"/>
  <c r="BI24" i="1"/>
  <c r="BH24" i="1"/>
  <c r="BG24" i="1"/>
  <c r="BF24" i="1"/>
  <c r="BQ24" i="1"/>
  <c r="BE24" i="1"/>
  <c r="BS25" i="1"/>
  <c r="BP25" i="1"/>
  <c r="BO25" i="1"/>
  <c r="BM25" i="1"/>
  <c r="BK25" i="1"/>
  <c r="BR25" i="1"/>
  <c r="BL25" i="1"/>
  <c r="BJ25" i="1"/>
  <c r="BI25" i="1"/>
  <c r="BH25" i="1"/>
  <c r="BG25" i="1"/>
  <c r="BF25" i="1"/>
  <c r="BN25" i="1"/>
  <c r="BQ25" i="1"/>
  <c r="BE25" i="1"/>
  <c r="BP26" i="1"/>
  <c r="BO26" i="1"/>
  <c r="BN26" i="1"/>
  <c r="BM26" i="1"/>
  <c r="BK26" i="1"/>
  <c r="BL26" i="1"/>
  <c r="BJ26" i="1"/>
  <c r="BI26" i="1"/>
  <c r="BH26" i="1"/>
  <c r="BG26" i="1"/>
  <c r="BF26" i="1"/>
  <c r="BE26" i="1"/>
  <c r="CC24" i="1"/>
  <c r="BU24" i="1"/>
  <c r="CD24" i="1"/>
  <c r="BV24" i="1"/>
  <c r="BD24" i="1"/>
  <c r="BC24" i="1"/>
  <c r="BU25" i="1"/>
  <c r="BV25" i="1"/>
  <c r="BD25" i="1"/>
  <c r="BC25" i="1"/>
  <c r="CC26" i="1"/>
  <c r="CD26" i="1"/>
  <c r="BD26" i="1"/>
  <c r="BC26" i="1"/>
  <c r="BT24" i="1"/>
  <c r="CB24" i="1"/>
  <c r="BT25" i="1"/>
  <c r="CB26" i="1"/>
  <c r="BB24" i="1"/>
  <c r="BB25" i="1"/>
  <c r="BB26" i="1"/>
  <c r="BY25" i="1"/>
  <c r="BX25" i="1"/>
  <c r="BX24" i="1"/>
  <c r="BY24" i="1"/>
  <c r="AW24" i="1"/>
  <c r="AW26" i="1"/>
  <c r="AW25" i="1"/>
  <c r="BJ3" i="6"/>
  <c r="BE3" i="6"/>
  <c r="AU3" i="6"/>
  <c r="AV3" i="6"/>
  <c r="BB3" i="6"/>
  <c r="BL3" i="6"/>
  <c r="AW3" i="6"/>
  <c r="AU2" i="6"/>
  <c r="BF3" i="6"/>
  <c r="BK3" i="6"/>
  <c r="AZ3" i="6"/>
  <c r="BI2" i="6"/>
  <c r="BD3" i="6"/>
  <c r="BI3" i="6"/>
  <c r="BH2" i="6"/>
  <c r="BM3" i="6"/>
  <c r="AV2" i="6"/>
  <c r="BH3" i="6"/>
  <c r="AY3" i="6"/>
  <c r="BG3" i="6"/>
  <c r="BG2" i="6"/>
  <c r="AX2" i="6"/>
  <c r="BD2" i="6"/>
  <c r="BE2" i="6"/>
  <c r="BF2" i="6"/>
  <c r="BL2" i="6"/>
  <c r="BA2" i="6"/>
  <c r="BM2" i="6"/>
  <c r="BB2" i="6"/>
  <c r="AY2" i="6"/>
  <c r="BJ2" i="6"/>
  <c r="AW2" i="6"/>
  <c r="AL23" i="1"/>
  <c r="AM23" i="1"/>
  <c r="AN23" i="1"/>
  <c r="AP23" i="1"/>
  <c r="AQ23" i="1"/>
  <c r="AR23" i="1"/>
  <c r="AU23" i="1"/>
  <c r="AV23" i="1"/>
  <c r="AX23" i="1"/>
  <c r="AY23" i="1"/>
  <c r="BA23" i="1"/>
  <c r="AZ23" i="1" l="1"/>
  <c r="BE23" i="1"/>
  <c r="BI23" i="1"/>
  <c r="BS23" i="1"/>
  <c r="BP23" i="1"/>
  <c r="BO23" i="1"/>
  <c r="BN23" i="1"/>
  <c r="BM23" i="1"/>
  <c r="BK23" i="1"/>
  <c r="BL23" i="1"/>
  <c r="BJ23" i="1"/>
  <c r="BQ23" i="1"/>
  <c r="BR23" i="1"/>
  <c r="BH23" i="1"/>
  <c r="BG23" i="1"/>
  <c r="BF23" i="1"/>
  <c r="CC23" i="1"/>
  <c r="CD23" i="1"/>
  <c r="BD23" i="1"/>
  <c r="BC23" i="1"/>
  <c r="CB23" i="1"/>
  <c r="BB23" i="1"/>
  <c r="AW23" i="1"/>
  <c r="AL22" i="1"/>
  <c r="AM22" i="1"/>
  <c r="AN22" i="1"/>
  <c r="AP22" i="1"/>
  <c r="AQ22" i="1"/>
  <c r="AR22" i="1"/>
  <c r="AU22" i="1"/>
  <c r="AV22" i="1"/>
  <c r="AX22" i="1"/>
  <c r="AY22" i="1"/>
  <c r="BA22" i="1"/>
  <c r="K13" i="3" s="1"/>
  <c r="AM2" i="1"/>
  <c r="AN2" i="1"/>
  <c r="AP2" i="1"/>
  <c r="AQ2" i="1"/>
  <c r="AR2" i="1"/>
  <c r="AU2" i="1"/>
  <c r="AV2" i="1"/>
  <c r="AX2" i="1"/>
  <c r="AY2" i="1"/>
  <c r="BA2" i="1"/>
  <c r="AO2" i="1" s="1"/>
  <c r="AL3" i="1"/>
  <c r="AM3" i="1"/>
  <c r="AN3" i="1"/>
  <c r="AP3" i="1"/>
  <c r="AS3" i="1" s="1"/>
  <c r="AQ3" i="1"/>
  <c r="AR3" i="1"/>
  <c r="AU3" i="1"/>
  <c r="AV3" i="1"/>
  <c r="AX3" i="1"/>
  <c r="AY3" i="1"/>
  <c r="BA3" i="1"/>
  <c r="N4" i="1"/>
  <c r="AL4" i="1" s="1"/>
  <c r="O4" i="1"/>
  <c r="AM4" i="1"/>
  <c r="AN4" i="1"/>
  <c r="AP4" i="1"/>
  <c r="AN4" i="6" s="1"/>
  <c r="AQ4" i="1"/>
  <c r="AR4" i="1"/>
  <c r="AU4" i="1"/>
  <c r="AX4" i="1"/>
  <c r="AY4" i="1"/>
  <c r="AL5" i="1"/>
  <c r="AM5" i="1"/>
  <c r="AN5" i="1"/>
  <c r="AO5" i="1"/>
  <c r="AP5" i="1"/>
  <c r="AQ5" i="1"/>
  <c r="AR5" i="1"/>
  <c r="AU5" i="1"/>
  <c r="AV5" i="1"/>
  <c r="AX5" i="1"/>
  <c r="AY5" i="1"/>
  <c r="BA5" i="1"/>
  <c r="AL6" i="1"/>
  <c r="AM6" i="1"/>
  <c r="AN6" i="1"/>
  <c r="AP6" i="1"/>
  <c r="AQ6" i="1"/>
  <c r="AR6" i="1"/>
  <c r="AU6" i="1"/>
  <c r="AV6" i="1"/>
  <c r="AX6" i="1"/>
  <c r="AY6" i="1"/>
  <c r="BA6" i="1"/>
  <c r="AL7" i="1"/>
  <c r="AM7" i="1"/>
  <c r="AN7" i="1"/>
  <c r="AO7" i="1"/>
  <c r="AP7" i="1"/>
  <c r="AQ7" i="1"/>
  <c r="AR7" i="1"/>
  <c r="AU7" i="1"/>
  <c r="AV7" i="1"/>
  <c r="AX7" i="1"/>
  <c r="AY7" i="1"/>
  <c r="BA7" i="1"/>
  <c r="AL8" i="1"/>
  <c r="AM8" i="1"/>
  <c r="AN8" i="1"/>
  <c r="AP8" i="1"/>
  <c r="AQ8" i="1"/>
  <c r="AR8" i="1"/>
  <c r="AU8" i="1"/>
  <c r="AV8" i="1"/>
  <c r="AX8" i="1"/>
  <c r="AY8" i="1"/>
  <c r="BA8" i="1"/>
  <c r="AL9" i="1"/>
  <c r="AM9" i="1"/>
  <c r="AN9" i="1"/>
  <c r="AP9" i="1"/>
  <c r="AQ9" i="1"/>
  <c r="AR9" i="1"/>
  <c r="AU9" i="1"/>
  <c r="AV9" i="1"/>
  <c r="AX9" i="1"/>
  <c r="AY9" i="1"/>
  <c r="BA9" i="1"/>
  <c r="AL10" i="1"/>
  <c r="AM10" i="1"/>
  <c r="AN10" i="1"/>
  <c r="AO10" i="1"/>
  <c r="AP10" i="1"/>
  <c r="AQ10" i="1"/>
  <c r="AR10" i="1"/>
  <c r="AU10" i="1"/>
  <c r="AV10" i="1"/>
  <c r="AX10" i="1"/>
  <c r="AY10" i="1"/>
  <c r="BA10" i="1"/>
  <c r="AL11" i="1"/>
  <c r="AM11" i="1"/>
  <c r="AN11" i="1"/>
  <c r="AP11" i="1"/>
  <c r="AQ11" i="1"/>
  <c r="AR11" i="1"/>
  <c r="AU11" i="1"/>
  <c r="AV11" i="1"/>
  <c r="AX11" i="1"/>
  <c r="AY11" i="1"/>
  <c r="BA11" i="1"/>
  <c r="AL12" i="1"/>
  <c r="AM12" i="1"/>
  <c r="AN12" i="1"/>
  <c r="AO12" i="1"/>
  <c r="AP12" i="1"/>
  <c r="AQ12" i="1"/>
  <c r="AR12" i="1"/>
  <c r="AU12" i="1"/>
  <c r="AV12" i="1"/>
  <c r="AX12" i="1"/>
  <c r="AY12" i="1"/>
  <c r="BA12" i="1"/>
  <c r="AL13" i="1"/>
  <c r="AM13" i="1"/>
  <c r="AN13" i="1"/>
  <c r="AP13" i="1"/>
  <c r="AQ13" i="1"/>
  <c r="AR13" i="1"/>
  <c r="AU13" i="1"/>
  <c r="AV13" i="1"/>
  <c r="AX13" i="1"/>
  <c r="AY13" i="1"/>
  <c r="BA13" i="1"/>
  <c r="AL14" i="1"/>
  <c r="AM14" i="1"/>
  <c r="AN14" i="1"/>
  <c r="AO14" i="1"/>
  <c r="AP14" i="1"/>
  <c r="AQ14" i="1"/>
  <c r="AR14" i="1"/>
  <c r="AU14" i="1"/>
  <c r="AV14" i="1"/>
  <c r="AX14" i="1"/>
  <c r="AY14" i="1"/>
  <c r="BA14" i="1"/>
  <c r="AL15" i="1"/>
  <c r="AM15" i="1"/>
  <c r="AN15" i="1"/>
  <c r="AP15" i="1"/>
  <c r="AQ15" i="1"/>
  <c r="AR15" i="1"/>
  <c r="AU15" i="1"/>
  <c r="AV15" i="1"/>
  <c r="AX15" i="1"/>
  <c r="AY15" i="1"/>
  <c r="BA15" i="1"/>
  <c r="M16" i="1"/>
  <c r="CA16" i="1" s="1"/>
  <c r="AP16" i="1"/>
  <c r="AQ16" i="1"/>
  <c r="AR16" i="1"/>
  <c r="N17" i="1"/>
  <c r="AL17" i="1" s="1"/>
  <c r="AM17" i="1"/>
  <c r="AN17" i="1"/>
  <c r="AP17" i="1"/>
  <c r="AQ17" i="1"/>
  <c r="AR17" i="1"/>
  <c r="AU17" i="1"/>
  <c r="AV17" i="1"/>
  <c r="AX17" i="1"/>
  <c r="AY17" i="1"/>
  <c r="BA17" i="1"/>
  <c r="AL18" i="1"/>
  <c r="AM18" i="1"/>
  <c r="AN18" i="1"/>
  <c r="AO18" i="1"/>
  <c r="AP18" i="1"/>
  <c r="AQ18" i="1"/>
  <c r="AR18" i="1"/>
  <c r="AU18" i="1"/>
  <c r="AV18" i="1"/>
  <c r="AX18" i="1"/>
  <c r="AY18" i="1"/>
  <c r="BA18" i="1"/>
  <c r="AL19" i="1"/>
  <c r="AM19" i="1"/>
  <c r="AN19" i="1"/>
  <c r="AO19" i="1"/>
  <c r="AP19" i="1"/>
  <c r="AQ19" i="1"/>
  <c r="AR19" i="1"/>
  <c r="AU19" i="1"/>
  <c r="AV19" i="1"/>
  <c r="AX19" i="1"/>
  <c r="AY19" i="1"/>
  <c r="BA19" i="1"/>
  <c r="M20" i="1"/>
  <c r="CA20" i="1" s="1"/>
  <c r="AO20" i="1"/>
  <c r="AP20" i="1"/>
  <c r="AQ20" i="1"/>
  <c r="AR20" i="1"/>
  <c r="AL21" i="1"/>
  <c r="AM21" i="1"/>
  <c r="AN21" i="1"/>
  <c r="AO21" i="1"/>
  <c r="AP21" i="1"/>
  <c r="AQ21" i="1"/>
  <c r="AR21" i="1"/>
  <c r="AU21" i="1"/>
  <c r="AV21" i="1"/>
  <c r="AX21" i="1"/>
  <c r="AY21" i="1"/>
  <c r="BA21" i="1"/>
  <c r="AV4" i="1" l="1"/>
  <c r="CA4" i="1"/>
  <c r="AZ8" i="1"/>
  <c r="AZ15" i="1"/>
  <c r="AZ13" i="1"/>
  <c r="AZ6" i="1"/>
  <c r="AZ2" i="1"/>
  <c r="AZ3" i="1"/>
  <c r="AZ17" i="1"/>
  <c r="AZ9" i="1"/>
  <c r="AZ22" i="1"/>
  <c r="AZ11" i="1"/>
  <c r="BV9" i="1"/>
  <c r="BT9" i="1"/>
  <c r="BY9" i="1"/>
  <c r="CC5" i="1"/>
  <c r="CD5" i="1"/>
  <c r="CB5" i="1"/>
  <c r="BS21" i="1"/>
  <c r="BN21" i="1"/>
  <c r="BP21" i="1"/>
  <c r="BO21" i="1"/>
  <c r="BR21" i="1"/>
  <c r="BL21" i="1"/>
  <c r="BJ21" i="1"/>
  <c r="BK21" i="1"/>
  <c r="BI21" i="1"/>
  <c r="BH21" i="1"/>
  <c r="BG21" i="1"/>
  <c r="BF21" i="1"/>
  <c r="BQ21" i="1"/>
  <c r="BE21" i="1"/>
  <c r="BM21" i="1"/>
  <c r="BS19" i="1"/>
  <c r="BP19" i="1"/>
  <c r="BO19" i="1"/>
  <c r="BM19" i="1"/>
  <c r="BK19" i="1"/>
  <c r="BN19" i="1"/>
  <c r="BQ19" i="1"/>
  <c r="BE19" i="1"/>
  <c r="BR19" i="1"/>
  <c r="BL19" i="1"/>
  <c r="BH19" i="1"/>
  <c r="BG19" i="1"/>
  <c r="BF19" i="1"/>
  <c r="BJ19" i="1"/>
  <c r="BI19" i="1"/>
  <c r="BS18" i="1"/>
  <c r="BP18" i="1"/>
  <c r="BO18" i="1"/>
  <c r="BN18" i="1"/>
  <c r="BM18" i="1"/>
  <c r="BK18" i="1"/>
  <c r="BR18" i="1"/>
  <c r="BL18" i="1"/>
  <c r="BJ18" i="1"/>
  <c r="BI18" i="1"/>
  <c r="BH18" i="1"/>
  <c r="BG18" i="1"/>
  <c r="BF18" i="1"/>
  <c r="BQ18" i="1"/>
  <c r="BE18" i="1"/>
  <c r="BP17" i="1"/>
  <c r="BO17" i="1"/>
  <c r="BN17" i="1"/>
  <c r="BL17" i="1"/>
  <c r="BJ17" i="1"/>
  <c r="BM17" i="1"/>
  <c r="BK17" i="1"/>
  <c r="BI17" i="1"/>
  <c r="BH17" i="1"/>
  <c r="BG17" i="1"/>
  <c r="BF17" i="1"/>
  <c r="BE17" i="1"/>
  <c r="BE15" i="1"/>
  <c r="BI15" i="1"/>
  <c r="BI14" i="1"/>
  <c r="BE14" i="1"/>
  <c r="BI10" i="1"/>
  <c r="BE10" i="1"/>
  <c r="BS3" i="1"/>
  <c r="BP3" i="1"/>
  <c r="BO3" i="1"/>
  <c r="BM3" i="1"/>
  <c r="BK3" i="1"/>
  <c r="BN3" i="1"/>
  <c r="BR3" i="1"/>
  <c r="BQ3" i="1"/>
  <c r="BE3" i="1"/>
  <c r="BL3" i="1"/>
  <c r="BJ3" i="1"/>
  <c r="BI3" i="1"/>
  <c r="BH3" i="1"/>
  <c r="BG3" i="1"/>
  <c r="BF3" i="1"/>
  <c r="BS2" i="1"/>
  <c r="BP2" i="1"/>
  <c r="BO2" i="1"/>
  <c r="BN2" i="1"/>
  <c r="BM2" i="1"/>
  <c r="BK2" i="1"/>
  <c r="BR2" i="1"/>
  <c r="BL2" i="1"/>
  <c r="BJ2" i="1"/>
  <c r="BI2" i="1"/>
  <c r="BH2" i="1"/>
  <c r="BG2" i="1"/>
  <c r="BF2" i="1"/>
  <c r="BQ2" i="1"/>
  <c r="BE2" i="1"/>
  <c r="BP22" i="1"/>
  <c r="BO22" i="1"/>
  <c r="BN22" i="1"/>
  <c r="BM22" i="1"/>
  <c r="BK22" i="1"/>
  <c r="BL22" i="1"/>
  <c r="BJ22" i="1"/>
  <c r="BI22" i="1"/>
  <c r="BH22" i="1"/>
  <c r="BG22" i="1"/>
  <c r="BF22" i="1"/>
  <c r="BE22" i="1"/>
  <c r="BS15" i="1"/>
  <c r="BP15" i="1"/>
  <c r="BO15" i="1"/>
  <c r="BM15" i="1"/>
  <c r="BK15" i="1"/>
  <c r="BN15" i="1"/>
  <c r="BQ15" i="1"/>
  <c r="BL15" i="1"/>
  <c r="BJ15" i="1"/>
  <c r="BH15" i="1"/>
  <c r="BG15" i="1"/>
  <c r="BF15" i="1"/>
  <c r="BR15" i="1"/>
  <c r="BS14" i="1"/>
  <c r="BP14" i="1"/>
  <c r="BO14" i="1"/>
  <c r="BN14" i="1"/>
  <c r="BM14" i="1"/>
  <c r="BK14" i="1"/>
  <c r="BR14" i="1"/>
  <c r="BL14" i="1"/>
  <c r="BJ14" i="1"/>
  <c r="BH14" i="1"/>
  <c r="BG14" i="1"/>
  <c r="BF14" i="1"/>
  <c r="BQ14" i="1"/>
  <c r="BS13" i="1"/>
  <c r="BN13" i="1"/>
  <c r="BP13" i="1"/>
  <c r="BM13" i="1"/>
  <c r="BK13" i="1"/>
  <c r="BR13" i="1"/>
  <c r="BL13" i="1"/>
  <c r="BJ13" i="1"/>
  <c r="BO13" i="1"/>
  <c r="BI13" i="1"/>
  <c r="BH13" i="1"/>
  <c r="BG13" i="1"/>
  <c r="BF13" i="1"/>
  <c r="BQ13" i="1"/>
  <c r="BE13" i="1"/>
  <c r="BS12" i="1"/>
  <c r="BP12" i="1"/>
  <c r="BO12" i="1"/>
  <c r="BN12" i="1"/>
  <c r="BM12" i="1"/>
  <c r="BK12" i="1"/>
  <c r="BR12" i="1"/>
  <c r="BL12" i="1"/>
  <c r="BJ12" i="1"/>
  <c r="BI12" i="1"/>
  <c r="BH12" i="1"/>
  <c r="BG12" i="1"/>
  <c r="BF12" i="1"/>
  <c r="BQ12" i="1"/>
  <c r="BE12" i="1"/>
  <c r="BS11" i="1"/>
  <c r="BP11" i="1"/>
  <c r="BO11" i="1"/>
  <c r="BN11" i="1"/>
  <c r="BM11" i="1"/>
  <c r="BK11" i="1"/>
  <c r="BQ11" i="1"/>
  <c r="BE11" i="1"/>
  <c r="BL11" i="1"/>
  <c r="BJ11" i="1"/>
  <c r="BR11" i="1"/>
  <c r="BH11" i="1"/>
  <c r="BG11" i="1"/>
  <c r="BF11" i="1"/>
  <c r="BI11" i="1"/>
  <c r="BS10" i="1"/>
  <c r="BP10" i="1"/>
  <c r="BO10" i="1"/>
  <c r="BN10" i="1"/>
  <c r="BM10" i="1"/>
  <c r="BK10" i="1"/>
  <c r="BR10" i="1"/>
  <c r="BL10" i="1"/>
  <c r="BJ10" i="1"/>
  <c r="BH10" i="1"/>
  <c r="BG10" i="1"/>
  <c r="BF10" i="1"/>
  <c r="BQ10" i="1"/>
  <c r="BS9" i="1"/>
  <c r="BP9" i="1"/>
  <c r="BO9" i="1"/>
  <c r="BN9" i="1"/>
  <c r="BM9" i="1"/>
  <c r="BK9" i="1"/>
  <c r="BR9" i="1"/>
  <c r="BL9" i="1"/>
  <c r="BJ9" i="1"/>
  <c r="BI9" i="1"/>
  <c r="BH9" i="1"/>
  <c r="BG9" i="1"/>
  <c r="BF9" i="1"/>
  <c r="BQ9" i="1"/>
  <c r="BE9" i="1"/>
  <c r="BS8" i="1"/>
  <c r="BP8" i="1"/>
  <c r="BO8" i="1"/>
  <c r="BN8" i="1"/>
  <c r="BM8" i="1"/>
  <c r="BK8" i="1"/>
  <c r="BR8" i="1"/>
  <c r="BL8" i="1"/>
  <c r="BJ8" i="1"/>
  <c r="BI8" i="1"/>
  <c r="BH8" i="1"/>
  <c r="BG8" i="1"/>
  <c r="BF8" i="1"/>
  <c r="BQ8" i="1"/>
  <c r="BE8" i="1"/>
  <c r="BS7" i="1"/>
  <c r="BP7" i="1"/>
  <c r="BO7" i="1"/>
  <c r="BN7" i="1"/>
  <c r="BM7" i="1"/>
  <c r="BK7" i="1"/>
  <c r="BL7" i="1"/>
  <c r="BJ7" i="1"/>
  <c r="BQ7" i="1"/>
  <c r="BE7" i="1"/>
  <c r="BR7" i="1"/>
  <c r="BI7" i="1"/>
  <c r="BH7" i="1"/>
  <c r="BG7" i="1"/>
  <c r="BF7" i="1"/>
  <c r="BS6" i="1"/>
  <c r="BP6" i="1"/>
  <c r="BO6" i="1"/>
  <c r="BN6" i="1"/>
  <c r="BM6" i="1"/>
  <c r="BK6" i="1"/>
  <c r="BR6" i="1"/>
  <c r="BL6" i="1"/>
  <c r="BJ6" i="1"/>
  <c r="BI6" i="1"/>
  <c r="BH6" i="1"/>
  <c r="BG6" i="1"/>
  <c r="BF6" i="1"/>
  <c r="BQ6" i="1"/>
  <c r="BE6" i="1"/>
  <c r="BS5" i="1"/>
  <c r="BN5" i="1"/>
  <c r="BP5" i="1"/>
  <c r="BO5" i="1"/>
  <c r="BR5" i="1"/>
  <c r="BL5" i="1"/>
  <c r="BJ5" i="1"/>
  <c r="BK5" i="1"/>
  <c r="BI5" i="1"/>
  <c r="BH5" i="1"/>
  <c r="BG5" i="1"/>
  <c r="BF5" i="1"/>
  <c r="BM5" i="1"/>
  <c r="BQ5" i="1"/>
  <c r="BE5" i="1"/>
  <c r="CC16" i="1"/>
  <c r="CD16" i="1"/>
  <c r="BV16" i="1"/>
  <c r="CC21" i="1"/>
  <c r="BU21" i="1"/>
  <c r="CD21" i="1"/>
  <c r="BV21" i="1"/>
  <c r="BD21" i="1"/>
  <c r="BC21" i="1"/>
  <c r="CC19" i="1"/>
  <c r="BU19" i="1"/>
  <c r="CD19" i="1"/>
  <c r="BV19" i="1"/>
  <c r="BD19" i="1"/>
  <c r="BC19" i="1"/>
  <c r="CC18" i="1"/>
  <c r="BU18" i="1"/>
  <c r="CD18" i="1"/>
  <c r="BV18" i="1"/>
  <c r="BD18" i="1"/>
  <c r="BC18" i="1"/>
  <c r="CC17" i="1"/>
  <c r="BU17" i="1"/>
  <c r="CD17" i="1"/>
  <c r="BV17" i="1"/>
  <c r="BD17" i="1"/>
  <c r="BC17" i="1"/>
  <c r="CC3" i="1"/>
  <c r="CD3" i="1"/>
  <c r="BD3" i="1"/>
  <c r="BC3" i="1"/>
  <c r="CC2" i="1"/>
  <c r="BU2" i="1"/>
  <c r="BV2" i="1"/>
  <c r="CD2" i="1"/>
  <c r="BD2" i="1"/>
  <c r="BC2" i="1"/>
  <c r="CC22" i="1"/>
  <c r="CD22" i="1"/>
  <c r="BD22" i="1"/>
  <c r="BC22" i="1"/>
  <c r="CC15" i="1"/>
  <c r="BU15" i="1"/>
  <c r="BV15" i="1"/>
  <c r="CD15" i="1"/>
  <c r="BD15" i="1"/>
  <c r="BC15" i="1"/>
  <c r="CC14" i="1"/>
  <c r="BU14" i="1"/>
  <c r="CD14" i="1"/>
  <c r="BV14" i="1"/>
  <c r="BD14" i="1"/>
  <c r="BC14" i="1"/>
  <c r="BU13" i="1"/>
  <c r="BV13" i="1"/>
  <c r="BD13" i="1"/>
  <c r="BC13" i="1"/>
  <c r="CC12" i="1"/>
  <c r="BU12" i="1"/>
  <c r="CD12" i="1"/>
  <c r="BV12" i="1"/>
  <c r="BD12" i="1"/>
  <c r="BC12" i="1"/>
  <c r="CC11" i="1"/>
  <c r="BU11" i="1"/>
  <c r="CD11" i="1"/>
  <c r="BV11" i="1"/>
  <c r="BD11" i="1"/>
  <c r="BC11" i="1"/>
  <c r="CC10" i="1"/>
  <c r="BU10" i="1"/>
  <c r="CD10" i="1"/>
  <c r="BV10" i="1"/>
  <c r="BD10" i="1"/>
  <c r="BC10" i="1"/>
  <c r="CC9" i="1"/>
  <c r="BU9" i="1"/>
  <c r="CD9" i="1"/>
  <c r="BD9" i="1"/>
  <c r="BC9" i="1"/>
  <c r="CC8" i="1"/>
  <c r="BU8" i="1"/>
  <c r="CD8" i="1"/>
  <c r="BV8" i="1"/>
  <c r="BD8" i="1"/>
  <c r="BC8" i="1"/>
  <c r="CC7" i="1"/>
  <c r="CD7" i="1"/>
  <c r="BD7" i="1"/>
  <c r="BC7" i="1"/>
  <c r="CC6" i="1"/>
  <c r="BU6" i="1"/>
  <c r="CD6" i="1"/>
  <c r="BV6" i="1"/>
  <c r="BD6" i="1"/>
  <c r="BC6" i="1"/>
  <c r="BU5" i="1"/>
  <c r="BV5" i="1"/>
  <c r="BD5" i="1"/>
  <c r="BC5" i="1"/>
  <c r="CB2" i="1"/>
  <c r="CB11" i="1"/>
  <c r="BT11" i="1"/>
  <c r="CB8" i="1"/>
  <c r="CB7" i="1"/>
  <c r="CB6" i="1"/>
  <c r="BT20" i="1"/>
  <c r="BT5" i="1"/>
  <c r="CB15" i="1"/>
  <c r="BT15" i="1"/>
  <c r="CB14" i="1"/>
  <c r="BT14" i="1"/>
  <c r="BT13" i="1"/>
  <c r="BT12" i="1"/>
  <c r="CB12" i="1"/>
  <c r="CB10" i="1"/>
  <c r="BT10" i="1"/>
  <c r="CB9" i="1"/>
  <c r="CB21" i="1"/>
  <c r="BT21" i="1"/>
  <c r="CB16" i="1"/>
  <c r="BT16" i="1"/>
  <c r="CB19" i="1"/>
  <c r="BT19" i="1"/>
  <c r="CB18" i="1"/>
  <c r="BT18" i="1"/>
  <c r="CB17" i="1"/>
  <c r="BT17" i="1"/>
  <c r="CB3" i="1"/>
  <c r="CB22" i="1"/>
  <c r="BB15" i="1"/>
  <c r="BB14" i="1"/>
  <c r="BB13" i="1"/>
  <c r="BB12" i="1"/>
  <c r="BB11" i="1"/>
  <c r="BB10" i="1"/>
  <c r="BB9" i="1"/>
  <c r="BB8" i="1"/>
  <c r="BB7" i="1"/>
  <c r="BB6" i="1"/>
  <c r="BB5" i="1"/>
  <c r="BB21" i="1"/>
  <c r="BB19" i="1"/>
  <c r="BB18" i="1"/>
  <c r="BB17" i="1"/>
  <c r="BB3" i="1"/>
  <c r="BB2" i="1"/>
  <c r="BB22" i="1"/>
  <c r="BY16" i="1"/>
  <c r="AT16" i="1"/>
  <c r="AT20" i="1"/>
  <c r="BY21" i="1"/>
  <c r="BX21" i="1"/>
  <c r="BY17" i="1"/>
  <c r="BX17" i="1"/>
  <c r="BX9" i="1"/>
  <c r="BX12" i="1"/>
  <c r="BY12" i="1"/>
  <c r="BX8" i="1"/>
  <c r="BY8" i="1"/>
  <c r="BY13" i="1"/>
  <c r="BX13" i="1"/>
  <c r="BY5" i="1"/>
  <c r="BX5" i="1"/>
  <c r="BY19" i="1"/>
  <c r="BX19" i="1"/>
  <c r="BX15" i="1"/>
  <c r="BY15" i="1"/>
  <c r="BX11" i="1"/>
  <c r="BY11" i="1"/>
  <c r="BX18" i="1"/>
  <c r="BY18" i="1"/>
  <c r="BX14" i="1"/>
  <c r="BY14" i="1"/>
  <c r="BX10" i="1"/>
  <c r="BY10" i="1"/>
  <c r="AU20" i="1"/>
  <c r="BA16" i="1"/>
  <c r="AW4" i="1"/>
  <c r="AW19" i="1"/>
  <c r="AW22" i="1"/>
  <c r="AW13" i="1"/>
  <c r="AW9" i="1"/>
  <c r="AW5" i="1"/>
  <c r="K7" i="3"/>
  <c r="K9" i="3"/>
  <c r="K11" i="3"/>
  <c r="I11" i="3"/>
  <c r="K12" i="3"/>
  <c r="K2" i="3"/>
  <c r="K8" i="3"/>
  <c r="AW6" i="1"/>
  <c r="AW18" i="1"/>
  <c r="AW12" i="1"/>
  <c r="AW8" i="1"/>
  <c r="AW3" i="1"/>
  <c r="AW21" i="1"/>
  <c r="AW15" i="1"/>
  <c r="AW11" i="1"/>
  <c r="AW7" i="1"/>
  <c r="AW2" i="1"/>
  <c r="AW17" i="1"/>
  <c r="AW14" i="1"/>
  <c r="AW10" i="1"/>
  <c r="AN5" i="6"/>
  <c r="AN6" i="6" s="1"/>
  <c r="AN7" i="6" s="1"/>
  <c r="BO5" i="6"/>
  <c r="BS5" i="6"/>
  <c r="BW5" i="6"/>
  <c r="BQ5" i="6"/>
  <c r="BU5" i="6"/>
  <c r="BV5" i="6"/>
  <c r="BP5" i="6"/>
  <c r="BT5" i="6"/>
  <c r="BX5" i="6"/>
  <c r="BR5" i="6"/>
  <c r="AY20" i="1"/>
  <c r="AN16" i="1"/>
  <c r="AY16" i="1"/>
  <c r="BA4" i="1"/>
  <c r="AZ4" i="1" s="1"/>
  <c r="AS4" i="1"/>
  <c r="AS5" i="1" s="1"/>
  <c r="AS6" i="1" s="1"/>
  <c r="AS7" i="1" s="1"/>
  <c r="AS8" i="1" s="1"/>
  <c r="AS9" i="1" s="1"/>
  <c r="AS10" i="1" s="1"/>
  <c r="AS11" i="1" s="1"/>
  <c r="AS12" i="1" s="1"/>
  <c r="AS13" i="1" s="1"/>
  <c r="AS14" i="1" s="1"/>
  <c r="AS15" i="1" s="1"/>
  <c r="AS16" i="1" s="1"/>
  <c r="AS17" i="1" s="1"/>
  <c r="AS18" i="1" s="1"/>
  <c r="AS19" i="1" s="1"/>
  <c r="AS20" i="1" s="1"/>
  <c r="AS21" i="1" s="1"/>
  <c r="AS22" i="1" s="1"/>
  <c r="AS23" i="1" s="1"/>
  <c r="AS24" i="1" s="1"/>
  <c r="AS25" i="1" s="1"/>
  <c r="AS26" i="1" s="1"/>
  <c r="AS27" i="1" s="1"/>
  <c r="AS28" i="1" s="1"/>
  <c r="AS29" i="1" s="1"/>
  <c r="AS30" i="1" s="1"/>
  <c r="AS31" i="1" s="1"/>
  <c r="AS32" i="1" s="1"/>
  <c r="AS33" i="1" s="1"/>
  <c r="AS34" i="1" s="1"/>
  <c r="AS35" i="1" s="1"/>
  <c r="AS36" i="1" s="1"/>
  <c r="AS37" i="1" s="1"/>
  <c r="AS38" i="1" s="1"/>
  <c r="AS39" i="1" s="1"/>
  <c r="AS40" i="1" s="1"/>
  <c r="AS41" i="1" s="1"/>
  <c r="AS42" i="1" s="1"/>
  <c r="AS43" i="1" s="1"/>
  <c r="AS44" i="1" s="1"/>
  <c r="AS45" i="1" s="1"/>
  <c r="AS46" i="1" s="1"/>
  <c r="AS47" i="1" s="1"/>
  <c r="AS48" i="1" s="1"/>
  <c r="AS49" i="1" s="1"/>
  <c r="AS50" i="1" s="1"/>
  <c r="AS51" i="1" s="1"/>
  <c r="AS52" i="1" s="1"/>
  <c r="AS53" i="1" s="1"/>
  <c r="AS54" i="1" s="1"/>
  <c r="AS55" i="1" s="1"/>
  <c r="AS56" i="1" s="1"/>
  <c r="AS57" i="1" s="1"/>
  <c r="AS58" i="1" s="1"/>
  <c r="AS59" i="1" s="1"/>
  <c r="AS60" i="1" s="1"/>
  <c r="AS61" i="1" s="1"/>
  <c r="AS62" i="1" s="1"/>
  <c r="AS63" i="1" s="1"/>
  <c r="AS64" i="1" s="1"/>
  <c r="AS65" i="1" s="1"/>
  <c r="AS66" i="1" s="1"/>
  <c r="AS67" i="1" s="1"/>
  <c r="AS68" i="1" s="1"/>
  <c r="AS69" i="1" s="1"/>
  <c r="AS70" i="1" s="1"/>
  <c r="AS71" i="1" s="1"/>
  <c r="AS72" i="1" s="1"/>
  <c r="AS73" i="1" s="1"/>
  <c r="AS74" i="1" s="1"/>
  <c r="AS75" i="1" s="1"/>
  <c r="AS76" i="1" s="1"/>
  <c r="AS77" i="1" s="1"/>
  <c r="AS78" i="1" s="1"/>
  <c r="AS79" i="1" s="1"/>
  <c r="AS80" i="1" s="1"/>
  <c r="AS81" i="1" s="1"/>
  <c r="AS82" i="1" s="1"/>
  <c r="AS83" i="1" s="1"/>
  <c r="AS84" i="1" s="1"/>
  <c r="AS85" i="1" s="1"/>
  <c r="AS86" i="1" s="1"/>
  <c r="AS87" i="1" s="1"/>
  <c r="AS88" i="1" s="1"/>
  <c r="AS89" i="1" s="1"/>
  <c r="AS90" i="1" s="1"/>
  <c r="AS91" i="1" s="1"/>
  <c r="AS92" i="1" s="1"/>
  <c r="AS93" i="1" s="1"/>
  <c r="AS94" i="1" s="1"/>
  <c r="AS95" i="1" s="1"/>
  <c r="AS96" i="1" s="1"/>
  <c r="AS97" i="1" s="1"/>
  <c r="AL20" i="1"/>
  <c r="AU16" i="1"/>
  <c r="AX20" i="1"/>
  <c r="AM20" i="1"/>
  <c r="AV16" i="1"/>
  <c r="AM16" i="1"/>
  <c r="AN20" i="1"/>
  <c r="AV20" i="1"/>
  <c r="BA20" i="1"/>
  <c r="AX16" i="1"/>
  <c r="AZ16" i="1" s="1"/>
  <c r="N16" i="1"/>
  <c r="AL16" i="1" s="1"/>
  <c r="BK4" i="1" l="1"/>
  <c r="BS16" i="1"/>
  <c r="BP16" i="1"/>
  <c r="BO16" i="1"/>
  <c r="BN16" i="1"/>
  <c r="BM16" i="1"/>
  <c r="BK16" i="1"/>
  <c r="BR16" i="1"/>
  <c r="BL16" i="1"/>
  <c r="BJ16" i="1"/>
  <c r="BI16" i="1"/>
  <c r="BH16" i="1"/>
  <c r="BG16" i="1"/>
  <c r="BF16" i="1"/>
  <c r="BQ16" i="1"/>
  <c r="BE16" i="1"/>
  <c r="BF4" i="1"/>
  <c r="BJ4" i="1"/>
  <c r="BM4" i="1"/>
  <c r="BI4" i="1"/>
  <c r="BI20" i="1"/>
  <c r="BE20" i="1"/>
  <c r="BE4" i="1"/>
  <c r="BG4" i="1"/>
  <c r="BL4" i="1"/>
  <c r="BO4" i="1"/>
  <c r="BN4" i="1"/>
  <c r="BS4" i="1"/>
  <c r="BS20" i="1"/>
  <c r="BP20" i="1"/>
  <c r="BO20" i="1"/>
  <c r="BM20" i="1"/>
  <c r="BK20" i="1"/>
  <c r="BR20" i="1"/>
  <c r="BL20" i="1"/>
  <c r="BJ20" i="1"/>
  <c r="BN20" i="1"/>
  <c r="BH20" i="1"/>
  <c r="BG20" i="1"/>
  <c r="BF20" i="1"/>
  <c r="BQ20" i="1"/>
  <c r="BQ4" i="1"/>
  <c r="BH4" i="1"/>
  <c r="BR4" i="1"/>
  <c r="BP4" i="1"/>
  <c r="CC20" i="1"/>
  <c r="CD20" i="1"/>
  <c r="BC20" i="1"/>
  <c r="BD20" i="1"/>
  <c r="BD4" i="1"/>
  <c r="BV4" i="1"/>
  <c r="BU4" i="1"/>
  <c r="BV20" i="1"/>
  <c r="CC4" i="1"/>
  <c r="BC16" i="1"/>
  <c r="BD16" i="1"/>
  <c r="BC4" i="1"/>
  <c r="CD4" i="1"/>
  <c r="BU16" i="1"/>
  <c r="BU20" i="1"/>
  <c r="CB20" i="1"/>
  <c r="BT4" i="1"/>
  <c r="BT2" i="1"/>
  <c r="CB4" i="1"/>
  <c r="BT6" i="1"/>
  <c r="BB16" i="1"/>
  <c r="BB4" i="1"/>
  <c r="BB20" i="1"/>
  <c r="AW20" i="1"/>
  <c r="BY4" i="1"/>
  <c r="BX20" i="1"/>
  <c r="BY20" i="1"/>
  <c r="BX4" i="1"/>
  <c r="BX16" i="1"/>
  <c r="K3" i="3"/>
  <c r="I12" i="3"/>
  <c r="I13" i="3"/>
  <c r="K4" i="3"/>
  <c r="AW16" i="1"/>
  <c r="BX7" i="6"/>
  <c r="BR7" i="6"/>
  <c r="BW7" i="6"/>
  <c r="BT7" i="6"/>
  <c r="BU7" i="6"/>
  <c r="BS7" i="6"/>
  <c r="BP7" i="6"/>
  <c r="BQ7" i="6"/>
  <c r="BO7" i="6"/>
  <c r="BV7" i="6"/>
  <c r="BV4" i="6"/>
  <c r="BX4" i="6"/>
  <c r="BS6" i="6"/>
  <c r="BP6" i="6"/>
  <c r="BW4" i="6"/>
  <c r="BR4" i="6"/>
  <c r="BT4" i="6"/>
  <c r="BU6" i="6"/>
  <c r="BO6" i="6"/>
  <c r="BV6" i="6"/>
  <c r="BS4" i="6"/>
  <c r="BU4" i="6"/>
  <c r="BP4" i="6"/>
  <c r="BQ6" i="6"/>
  <c r="BX6" i="6"/>
  <c r="BR6" i="6"/>
  <c r="BO4" i="6"/>
  <c r="BQ4" i="6"/>
  <c r="BW6" i="6"/>
  <c r="BT6" i="6"/>
  <c r="BW3" i="6"/>
  <c r="BV2" i="6"/>
  <c r="BU3" i="6"/>
  <c r="BO2" i="6"/>
  <c r="BP3" i="6"/>
  <c r="BR3" i="6"/>
  <c r="BX2" i="6"/>
  <c r="BT2" i="6"/>
  <c r="BS2" i="6"/>
  <c r="BV3" i="6"/>
  <c r="BT3" i="6"/>
  <c r="BO3" i="6"/>
  <c r="BP2" i="6"/>
  <c r="BQ2" i="6"/>
  <c r="BW2" i="6"/>
  <c r="BS3" i="6"/>
  <c r="BX3" i="6"/>
  <c r="BQ3" i="6"/>
  <c r="BR2" i="6"/>
  <c r="BU2" i="6"/>
  <c r="S3" i="3" l="1"/>
  <c r="I2" i="3" s="1"/>
  <c r="I5" i="3" l="1"/>
  <c r="AB18" i="2"/>
  <c r="I10" i="3" l="1"/>
  <c r="S21" i="2" l="1"/>
  <c r="S19" i="2" s="1"/>
  <c r="O17" i="2"/>
  <c r="P17" i="2"/>
  <c r="S17" i="2"/>
  <c r="V17" i="2" l="1"/>
  <c r="U17" i="2"/>
  <c r="T17" i="2"/>
  <c r="R17" i="2"/>
  <c r="Q17" i="2"/>
  <c r="U15" i="2"/>
  <c r="T15" i="2"/>
  <c r="S15" i="2"/>
  <c r="R15" i="2"/>
  <c r="Q15" i="2"/>
  <c r="P15" i="2"/>
  <c r="O15" i="2"/>
  <c r="T13" i="2"/>
  <c r="S13" i="2"/>
  <c r="R13" i="2"/>
  <c r="Q13" i="2"/>
  <c r="P13" i="2"/>
  <c r="O13" i="2"/>
  <c r="S11" i="2"/>
  <c r="R11" i="2"/>
  <c r="Q11" i="2"/>
  <c r="P11" i="2"/>
  <c r="O11" i="2"/>
  <c r="R9" i="2"/>
  <c r="Q9" i="2"/>
  <c r="P9" i="2"/>
  <c r="O9" i="2"/>
  <c r="Q7" i="2"/>
  <c r="P7" i="2"/>
  <c r="O7" i="2"/>
  <c r="AK10" i="2"/>
  <c r="AJ10" i="2"/>
  <c r="AI10" i="2"/>
  <c r="AH10" i="2"/>
  <c r="AG10" i="2"/>
  <c r="AF10" i="2"/>
  <c r="AE10" i="2"/>
  <c r="AD10" i="2"/>
  <c r="AJ9" i="2"/>
  <c r="AI9" i="2"/>
  <c r="AH9" i="2"/>
  <c r="AG9" i="2"/>
  <c r="AF9" i="2"/>
  <c r="AE9" i="2"/>
  <c r="AD9" i="2"/>
  <c r="AI8" i="2"/>
  <c r="AH8" i="2"/>
  <c r="AG8" i="2"/>
  <c r="AF8" i="2"/>
  <c r="AE8" i="2"/>
  <c r="AD8" i="2"/>
  <c r="AH7" i="2"/>
  <c r="AG7" i="2"/>
  <c r="AF7" i="2"/>
  <c r="AE7" i="2"/>
  <c r="AD7" i="2"/>
  <c r="AG6" i="2"/>
  <c r="AF6" i="2"/>
  <c r="AE6" i="2"/>
  <c r="AD6" i="2"/>
  <c r="AF5" i="2"/>
  <c r="AE5" i="2"/>
  <c r="AD5" i="2"/>
  <c r="AE4" i="2"/>
  <c r="AD4" i="2"/>
  <c r="P5" i="2" l="1"/>
  <c r="O5" i="2"/>
  <c r="P2" i="2"/>
  <c r="O2" i="2"/>
  <c r="O3" i="3" l="1"/>
  <c r="I3" i="3"/>
  <c r="I4" i="3" l="1"/>
  <c r="O4" i="3"/>
  <c r="O2" i="3"/>
  <c r="M4" i="3"/>
  <c r="M2" i="3"/>
  <c r="I9" i="3"/>
  <c r="I7" i="3"/>
  <c r="I8" i="3"/>
</calcChain>
</file>

<file path=xl/sharedStrings.xml><?xml version="1.0" encoding="utf-8"?>
<sst xmlns="http://schemas.openxmlformats.org/spreadsheetml/2006/main" count="1391" uniqueCount="443">
  <si>
    <t>Instrument</t>
  </si>
  <si>
    <t>No</t>
  </si>
  <si>
    <t>Entry Date</t>
  </si>
  <si>
    <t>Setup</t>
  </si>
  <si>
    <t>Buy/Sell</t>
  </si>
  <si>
    <t>Quantity</t>
  </si>
  <si>
    <t>Entry Price</t>
  </si>
  <si>
    <t>Exit Price</t>
  </si>
  <si>
    <t>Highest Price</t>
  </si>
  <si>
    <t>Lowest Price</t>
  </si>
  <si>
    <t>Potential Price</t>
  </si>
  <si>
    <t>TP Price</t>
  </si>
  <si>
    <t>SL Price</t>
  </si>
  <si>
    <t>TP Hit</t>
  </si>
  <si>
    <t>Secotor</t>
  </si>
  <si>
    <t>SPX</t>
  </si>
  <si>
    <t>VPA</t>
  </si>
  <si>
    <t>Price Behaviour</t>
  </si>
  <si>
    <t>SETUP</t>
  </si>
  <si>
    <t>BO</t>
  </si>
  <si>
    <t>BUY/SELL</t>
  </si>
  <si>
    <t>TP HIT</t>
  </si>
  <si>
    <t>BUY</t>
  </si>
  <si>
    <t>SELL</t>
  </si>
  <si>
    <t>PRICE BEHAVIOUR</t>
  </si>
  <si>
    <t>Fast Reversal</t>
  </si>
  <si>
    <t>Strong BO</t>
  </si>
  <si>
    <t>Stuck and Slow</t>
  </si>
  <si>
    <t>Moderate Move</t>
  </si>
  <si>
    <t>Good</t>
  </si>
  <si>
    <t>Bad</t>
  </si>
  <si>
    <t>Medium</t>
  </si>
  <si>
    <t>NONE</t>
  </si>
  <si>
    <t>SECTOR</t>
  </si>
  <si>
    <t>Healthcare</t>
  </si>
  <si>
    <t>Technology</t>
  </si>
  <si>
    <t>Basic Materials</t>
  </si>
  <si>
    <t>Industial Goods</t>
  </si>
  <si>
    <t>Consumer Goods</t>
  </si>
  <si>
    <t>Services</t>
  </si>
  <si>
    <t>Financial</t>
  </si>
  <si>
    <t>Leading Sector</t>
  </si>
  <si>
    <t>2% Above</t>
  </si>
  <si>
    <t>1.5%-2%</t>
  </si>
  <si>
    <t>1%-1.5%</t>
  </si>
  <si>
    <t>0.8%-1%</t>
  </si>
  <si>
    <t>0.6%-0.8%</t>
  </si>
  <si>
    <t>0.4%-0.6%</t>
  </si>
  <si>
    <t>0.2%-0.4%</t>
  </si>
  <si>
    <t>0%-0.2%</t>
  </si>
  <si>
    <t>(-0.2%)-0%</t>
  </si>
  <si>
    <t>(-0.4%)-(-0.2%)</t>
  </si>
  <si>
    <t>(-0.6%)-(-0.4%)</t>
  </si>
  <si>
    <t>(-0.8%)-(-0.6%)</t>
  </si>
  <si>
    <t>(-1%)-(-0.8%)</t>
  </si>
  <si>
    <t>(-1.5%)-(-1%)</t>
  </si>
  <si>
    <t>(-2%)-(-1.5%)</t>
  </si>
  <si>
    <t>Entry Time</t>
  </si>
  <si>
    <t>Exit Time</t>
  </si>
  <si>
    <t>ENTRY TIME</t>
  </si>
  <si>
    <t>&lt;16:01</t>
  </si>
  <si>
    <t>&gt;9:29</t>
  </si>
  <si>
    <t>Price Before BE</t>
  </si>
  <si>
    <t>Supportive</t>
  </si>
  <si>
    <t>Outcome</t>
  </si>
  <si>
    <t>RRR Planned</t>
  </si>
  <si>
    <t>RRR Realized</t>
  </si>
  <si>
    <t>Gain/Loss</t>
  </si>
  <si>
    <t>Net Gain/Loss</t>
  </si>
  <si>
    <t>Time</t>
  </si>
  <si>
    <t>RRR Before BE</t>
  </si>
  <si>
    <t>RRR Potential</t>
  </si>
  <si>
    <t>Picture</t>
  </si>
  <si>
    <t>NASDAQ</t>
  </si>
  <si>
    <t>NYSE</t>
  </si>
  <si>
    <t>Comissions</t>
  </si>
  <si>
    <t>RRR in-trade</t>
  </si>
  <si>
    <t>Notes:</t>
  </si>
  <si>
    <t>*RRR Potential are relevant only with a WINNER</t>
  </si>
  <si>
    <t>VWAP</t>
  </si>
  <si>
    <t>At vwap</t>
  </si>
  <si>
    <t>Beyond vwap</t>
  </si>
  <si>
    <t>Away from vwap</t>
  </si>
  <si>
    <t>Action</t>
  </si>
  <si>
    <t>Amount</t>
  </si>
  <si>
    <t>Date</t>
  </si>
  <si>
    <t>Weekly</t>
  </si>
  <si>
    <t>Daily</t>
  </si>
  <si>
    <t>Gain:</t>
  </si>
  <si>
    <t>Expectancy:</t>
  </si>
  <si>
    <t>Balance:</t>
  </si>
  <si>
    <t>Win R:</t>
  </si>
  <si>
    <t>Below -2%</t>
  </si>
  <si>
    <t>BO (FBO)</t>
  </si>
  <si>
    <t>Comments</t>
  </si>
  <si>
    <t>Amount:</t>
  </si>
  <si>
    <t>Sum Gain</t>
  </si>
  <si>
    <t>תוויות שורה</t>
  </si>
  <si>
    <t>סכום כולל</t>
  </si>
  <si>
    <t>סכום של Sum Gain</t>
  </si>
  <si>
    <t>Monday</t>
  </si>
  <si>
    <t>Tuesday</t>
  </si>
  <si>
    <t>Wednesday</t>
  </si>
  <si>
    <t>Thursday</t>
  </si>
  <si>
    <t>Friday</t>
  </si>
  <si>
    <t>Saturday</t>
  </si>
  <si>
    <t>Sunday</t>
  </si>
  <si>
    <t>Exact Match</t>
  </si>
  <si>
    <t>RRR 4</t>
  </si>
  <si>
    <t>RRR with BE at 1R</t>
  </si>
  <si>
    <t>RRR with BE at 1.5R</t>
  </si>
  <si>
    <t>RRR 4 with BE at 1R</t>
  </si>
  <si>
    <t>RRR 4 with BE at 1.5R</t>
  </si>
  <si>
    <t>סכום של RRR Realized</t>
  </si>
  <si>
    <t>Intended Entry</t>
  </si>
  <si>
    <t>RRR Closing Price</t>
  </si>
  <si>
    <t>RRR 4 with BE at 3R</t>
  </si>
  <si>
    <t>Hard RRR Potential</t>
  </si>
  <si>
    <t>Missed RRR</t>
  </si>
  <si>
    <t>*RRR before BE needs to be at least 1 RRR. And if Target hit then write also FALSE.</t>
  </si>
  <si>
    <t>*SL is moved to BE only if the price exceeds the 1R, 1.5R or 3R Benchmark. Exp the rules do not apply if BE RRR is at 3, it needs to be any number above 3 (3.000001).</t>
  </si>
  <si>
    <t>Starting Balance</t>
  </si>
  <si>
    <t>Trading Error (LCI)</t>
  </si>
  <si>
    <t>RRR 5</t>
  </si>
  <si>
    <t>RRR 5 with BE at 1R</t>
  </si>
  <si>
    <t>RRR 5 with BE at 1.5R</t>
  </si>
  <si>
    <t>* Pattern resistance Price needs to be within the 1.5-0 R or 1-0 R .</t>
  </si>
  <si>
    <t>*Fast Reversal Price target 1, 1.5, 2</t>
  </si>
  <si>
    <t>*with Bad VPA consider using 1R or 1.5R or 2R.</t>
  </si>
  <si>
    <t>*with Medium need to check also .</t>
  </si>
  <si>
    <t>Pattern SL</t>
  </si>
  <si>
    <t>Back to BE</t>
  </si>
  <si>
    <t>High Risk</t>
  </si>
  <si>
    <t>1) Fast reversal close to original SL.</t>
  </si>
  <si>
    <t>*High Risk on needs to be determined only during critical times:</t>
  </si>
  <si>
    <t>2) When price breaks pattern resistance after it fall from the 3R or more.</t>
  </si>
  <si>
    <t>RRR 4 1R Fast Reversal at 0</t>
  </si>
  <si>
    <t>RRR 4 1R Fast Reversal at 1</t>
  </si>
  <si>
    <t>RRR 4 1R Fast Reversal at 1.5</t>
  </si>
  <si>
    <t>RRR 4 1R Fast Reversal at 2</t>
  </si>
  <si>
    <t>RRR 4 1.5R Fast Reversal at 0</t>
  </si>
  <si>
    <t>RRR 4 1.5R Fast Reversal at 1</t>
  </si>
  <si>
    <t>עמודה2</t>
  </si>
  <si>
    <t>RRR 4 1.5R Fast Reversal at 2</t>
  </si>
  <si>
    <t>RRR 4 1.5R Fast Reversal at 1.5</t>
  </si>
  <si>
    <t>RRR 4 R1 with SL at pattern break</t>
  </si>
  <si>
    <t>RRR 4 R1.5 with SL at pattern break</t>
  </si>
  <si>
    <t>ממוצע של Hard RRR Potential</t>
  </si>
  <si>
    <t>Negative RRR in-trade</t>
  </si>
  <si>
    <t>ממוצע של Negative RRR in-trade</t>
  </si>
  <si>
    <t>ספירה של No</t>
  </si>
  <si>
    <t>Missed RRR on Exit</t>
  </si>
  <si>
    <t>Missed RRR on Entry</t>
  </si>
  <si>
    <t>D</t>
  </si>
  <si>
    <t>Support and Resistance</t>
  </si>
  <si>
    <t>Quick SL</t>
  </si>
  <si>
    <t>Interday</t>
  </si>
  <si>
    <t>High/Low</t>
  </si>
  <si>
    <t>Hour and Lower</t>
  </si>
  <si>
    <t>Pre Market</t>
  </si>
  <si>
    <t>*Confluence relevant also with SandR on different time frames.</t>
  </si>
  <si>
    <t>Madaz Says that if price get his SL and hovers around that number with out recovers then sell the position.</t>
  </si>
  <si>
    <t>YECO</t>
  </si>
  <si>
    <t>C</t>
  </si>
  <si>
    <t>ALQA</t>
  </si>
  <si>
    <t>* QUICK SL is only if price exceeded 1R and then reversed to SL, all within the 5 minutes.</t>
  </si>
  <si>
    <t>H</t>
  </si>
  <si>
    <t>Catalyst</t>
  </si>
  <si>
    <t>D2</t>
  </si>
  <si>
    <t>L</t>
  </si>
  <si>
    <t>AGEN</t>
  </si>
  <si>
    <t>INPX</t>
  </si>
  <si>
    <t>MXWL</t>
  </si>
  <si>
    <t>DOVA</t>
  </si>
  <si>
    <t>ADIL</t>
  </si>
  <si>
    <t>QTM</t>
  </si>
  <si>
    <t>28/21/2018</t>
  </si>
  <si>
    <t>Guidelines:</t>
  </si>
  <si>
    <t>*Strong BO only if price exceeds 1.5 R</t>
  </si>
  <si>
    <t>Possible entries, lower resistance of the patten (CS), at the TL retest of the pattern.</t>
  </si>
  <si>
    <t>* Fast Reversal if the trade closes  below 1R.</t>
  </si>
  <si>
    <t>CCCL</t>
  </si>
  <si>
    <t>CCCL -1.png</t>
  </si>
  <si>
    <t>PRAN</t>
  </si>
  <si>
    <t>pran -1.png</t>
  </si>
  <si>
    <t>Avoid pre matured patterns and patterns with no flag poles</t>
  </si>
  <si>
    <t>MRT</t>
  </si>
  <si>
    <t>MRT -1.png</t>
  </si>
  <si>
    <t>Retest Price</t>
  </si>
  <si>
    <t>*Move SL to beyond TL retest.</t>
  </si>
  <si>
    <t>LOSER</t>
  </si>
  <si>
    <t>WINNER</t>
  </si>
  <si>
    <t>ממוצע של Time</t>
  </si>
  <si>
    <t>ממוצע של RRR in-trade</t>
  </si>
  <si>
    <t>FLKS</t>
  </si>
  <si>
    <t>RRR 4 1R Fast Reversal at 02</t>
  </si>
  <si>
    <t>RRR 4 1R Fast Reversal at 13</t>
  </si>
  <si>
    <t>RRR 4 1R Fast Reversal at 1.54</t>
  </si>
  <si>
    <t>RRR 4 1R Fast Reversal at 25</t>
  </si>
  <si>
    <t>RRR 4 1.5R Fast Reversal at 06</t>
  </si>
  <si>
    <t>RRR 4 1.5R Fast Reversal at 17</t>
  </si>
  <si>
    <t>RRR 4 1.5R Fast Reversal at 1.58</t>
  </si>
  <si>
    <t>RRR 4 1.5R Fast Reversal at 29</t>
  </si>
  <si>
    <t>RRR 4 R1 with SL at pattern break2</t>
  </si>
  <si>
    <t>RRR 4 R1.5 with SL at pattern break3</t>
  </si>
  <si>
    <t>AXSM</t>
  </si>
  <si>
    <t>AXSM_-1_.png</t>
  </si>
  <si>
    <t>MYND</t>
  </si>
  <si>
    <t>mynd_-1.png</t>
  </si>
  <si>
    <t>MAXR</t>
  </si>
  <si>
    <t>RHE</t>
  </si>
  <si>
    <t>MAXR_-1_001.png</t>
  </si>
  <si>
    <t>RHE_-1.png</t>
  </si>
  <si>
    <t>inpx_+3_0011.png</t>
  </si>
  <si>
    <t>FTK</t>
  </si>
  <si>
    <t>APHA</t>
  </si>
  <si>
    <t>ftk -1.jpg</t>
  </si>
  <si>
    <t>apha -1.jpg</t>
  </si>
  <si>
    <t>Avoid gappers, look for a max gap of 5% and the gappers with high percentages short.</t>
  </si>
  <si>
    <t>Percent Gain</t>
  </si>
  <si>
    <t>UXIN</t>
  </si>
  <si>
    <t>INSG</t>
  </si>
  <si>
    <t>TYME</t>
  </si>
  <si>
    <t>TYME_+3.png</t>
  </si>
  <si>
    <t>UXIN_+3.png</t>
  </si>
  <si>
    <t>INSG.png</t>
  </si>
  <si>
    <t>CENX</t>
  </si>
  <si>
    <t>CENX_-.png</t>
  </si>
  <si>
    <t>CRMD</t>
  </si>
  <si>
    <t>CRMD_-1.png</t>
  </si>
  <si>
    <t>BSTI</t>
  </si>
  <si>
    <t>BSTI_-1.png</t>
  </si>
  <si>
    <t>CORV</t>
  </si>
  <si>
    <t>CORV +3.png</t>
  </si>
  <si>
    <t>TLR</t>
  </si>
  <si>
    <t>Fundamentals</t>
  </si>
  <si>
    <t>corv_+_TLR.png</t>
  </si>
  <si>
    <t>Stocks on news that gap high fall and then break vwap on strong volume to the up side may signal a new momentum for long</t>
  </si>
  <si>
    <t>PCG</t>
  </si>
  <si>
    <t>pcg_-1.png</t>
  </si>
  <si>
    <t>SLM</t>
  </si>
  <si>
    <t>slm_-3.png</t>
  </si>
  <si>
    <t>RAND</t>
  </si>
  <si>
    <t>rand_+3.png</t>
  </si>
  <si>
    <t>ESV</t>
  </si>
  <si>
    <t>ESV_-1.png</t>
  </si>
  <si>
    <t>TELL</t>
  </si>
  <si>
    <t>tell_-1.png</t>
  </si>
  <si>
    <t>29/012019</t>
  </si>
  <si>
    <t>Gappers that do not pullback are still valid</t>
  </si>
  <si>
    <t>After price price the TL, many times it retests it,
 can exit with better price</t>
  </si>
  <si>
    <t>BTX</t>
  </si>
  <si>
    <t>YES</t>
  </si>
  <si>
    <t>BTX_-1.png</t>
  </si>
  <si>
    <t>CODX</t>
  </si>
  <si>
    <t>codx -1.jpg</t>
  </si>
  <si>
    <t>RMBS</t>
  </si>
  <si>
    <t>RMBS -1.png</t>
  </si>
  <si>
    <t>NBEV</t>
  </si>
  <si>
    <t>nbev -1.png</t>
  </si>
  <si>
    <t>EGO</t>
  </si>
  <si>
    <t>EGO_.png</t>
  </si>
  <si>
    <t>BOT</t>
  </si>
  <si>
    <t>qtm_-1.png</t>
  </si>
  <si>
    <t>ADIL_+3.png</t>
  </si>
  <si>
    <t>dova_+3.png</t>
  </si>
  <si>
    <t>mxwl_+.png</t>
  </si>
  <si>
    <t>inpx_+3.png</t>
  </si>
  <si>
    <t>AGEN_-1.png</t>
  </si>
  <si>
    <t>alqa_-2.png</t>
  </si>
  <si>
    <t>YECO_+3.png</t>
  </si>
  <si>
    <t>FLKS_-1.png</t>
  </si>
  <si>
    <t>Winner RRR:</t>
  </si>
  <si>
    <t>Loser RRR:</t>
  </si>
  <si>
    <t>RRR Expectancy:</t>
  </si>
  <si>
    <t>Overview</t>
  </si>
  <si>
    <t>Avoid Stocks with low volume and low prices (below 1$) even thought there is a catalyst.</t>
  </si>
  <si>
    <t>CLDX</t>
  </si>
  <si>
    <t>BW</t>
  </si>
  <si>
    <t>bw_-1.png</t>
  </si>
  <si>
    <t>INSY</t>
  </si>
  <si>
    <t>TRVN</t>
  </si>
  <si>
    <t>insy -1.png</t>
  </si>
  <si>
    <t>trvn +3.png</t>
  </si>
  <si>
    <t>TPNL</t>
  </si>
  <si>
    <t>TPNL +3.png</t>
  </si>
  <si>
    <t>סכום של Negative RRR in-trade</t>
  </si>
  <si>
    <t>Column1</t>
  </si>
  <si>
    <t>SPI</t>
  </si>
  <si>
    <t>spi -1.png</t>
  </si>
  <si>
    <t>Look to exit trades with an opposite candle long wick doji with high volume at the bo of the pattern</t>
  </si>
  <si>
    <t>Volume Exit</t>
  </si>
  <si>
    <t>TL Exit</t>
  </si>
  <si>
    <t xml:space="preserve"> R1.5 with Volume Exit</t>
  </si>
  <si>
    <t>R1 with Volume Exit</t>
  </si>
  <si>
    <t>סכום של  with Volume Exit</t>
  </si>
  <si>
    <t>סכום של R1 with Volume Exit</t>
  </si>
  <si>
    <t>סכום של  R1.5 with Volume Exit</t>
  </si>
  <si>
    <t>TL Exit BE</t>
  </si>
  <si>
    <t>Volume Exit BE</t>
  </si>
  <si>
    <t>CLD -1.png</t>
  </si>
  <si>
    <t>CLD</t>
  </si>
  <si>
    <t>WORX</t>
  </si>
  <si>
    <t>Hard RRR Before BE</t>
  </si>
  <si>
    <t>wonx -1.png</t>
  </si>
  <si>
    <t>APDN</t>
  </si>
  <si>
    <t>APDN -1.png</t>
  </si>
  <si>
    <t>cccl_-1.png</t>
  </si>
  <si>
    <t>Look at Mirror BO that consolidates after the initial impulse and not after the second impulse</t>
  </si>
  <si>
    <t>Wick Exit</t>
  </si>
  <si>
    <t>SNAP</t>
  </si>
  <si>
    <t>SNAP_+3.png</t>
  </si>
  <si>
    <t>CVE</t>
  </si>
  <si>
    <t>CVE_+3.png</t>
  </si>
  <si>
    <t>*High volume Exit can't be within the first candles near the launch.</t>
  </si>
  <si>
    <t>*Doji rejection can't be if the candles body is high</t>
  </si>
  <si>
    <t>IVC</t>
  </si>
  <si>
    <t>ivc+3.png</t>
  </si>
  <si>
    <t>SPWR</t>
  </si>
  <si>
    <t>SPWR -1.png</t>
  </si>
  <si>
    <t>SKYS</t>
  </si>
  <si>
    <t>Utilities</t>
  </si>
  <si>
    <t>SKYS +3.png</t>
  </si>
  <si>
    <t>ECA</t>
  </si>
  <si>
    <t>eca +3.png</t>
  </si>
  <si>
    <t>INSY -11.png</t>
  </si>
  <si>
    <t>RIOT</t>
  </si>
  <si>
    <t>RIOT +3.jpg</t>
  </si>
  <si>
    <t>PVG</t>
  </si>
  <si>
    <t>PVG +3.jpg</t>
  </si>
  <si>
    <t>סכום של RRR 5 with BE at 1R</t>
  </si>
  <si>
    <t>סכום של RRR 5</t>
  </si>
  <si>
    <t>Cancel retest price if there is vwap, vwap often acts as support., KNDI example.</t>
  </si>
  <si>
    <t>KNDI</t>
  </si>
  <si>
    <t>KNDI_-1.png</t>
  </si>
  <si>
    <t>LKSD</t>
  </si>
  <si>
    <t>lksd_+3.png</t>
  </si>
  <si>
    <t>ADIL_+3_001.png</t>
  </si>
  <si>
    <t>Consider small SL for AT, larger RRR.</t>
  </si>
  <si>
    <t>Volume Exit RRR Reach</t>
  </si>
  <si>
    <t>TL Exit RRR Reach</t>
  </si>
  <si>
    <t>OR</t>
  </si>
  <si>
    <t>or_-1.png</t>
  </si>
  <si>
    <t>CRK</t>
  </si>
  <si>
    <t>CRK_-1_.png</t>
  </si>
  <si>
    <t>RRR 5 Wick Exit</t>
  </si>
  <si>
    <t>RRR 5  with Volume Exit</t>
  </si>
  <si>
    <t>RRR 5 R1 with Volume Exit</t>
  </si>
  <si>
    <t>RRR 5 1R Wick Exit</t>
  </si>
  <si>
    <t>RRR 5 1.5R Wick Exit</t>
  </si>
  <si>
    <t>סכום של RRR 5  with Volume Exit</t>
  </si>
  <si>
    <t>סכום של RRR 5 R1 with Volume Exit</t>
  </si>
  <si>
    <t>סכום של RRR 5 Wick Exit</t>
  </si>
  <si>
    <t>סכום של RRR 5 1R Wick Exit</t>
  </si>
  <si>
    <t>סכום של RRR 5 1.5R Wick Exit</t>
  </si>
  <si>
    <t>RRR 5 R1.5 with Volume Exit</t>
  </si>
  <si>
    <t>סכום של RRR 5 R1.5 with Volume Exit</t>
  </si>
  <si>
    <t>INFN</t>
  </si>
  <si>
    <t>infn -1.png</t>
  </si>
  <si>
    <t>TXMD</t>
  </si>
  <si>
    <t>TXMD -1.png</t>
  </si>
  <si>
    <t>CIFS</t>
  </si>
  <si>
    <t>cifs_+3.png</t>
  </si>
  <si>
    <t>ATEC</t>
  </si>
  <si>
    <t>atec_+3.png</t>
  </si>
  <si>
    <t>PPDF</t>
  </si>
  <si>
    <t>PPDF__-1.png</t>
  </si>
  <si>
    <t>GSM</t>
  </si>
  <si>
    <t>GSM_-1.png</t>
  </si>
  <si>
    <t>ACB</t>
  </si>
  <si>
    <t>ACB_-1.png</t>
  </si>
  <si>
    <t>MDR</t>
  </si>
  <si>
    <t>MDR_+3.png</t>
  </si>
  <si>
    <t>Look to Exit trades with engulfing and peircing pattern, look in notebook.</t>
  </si>
  <si>
    <t>VNET</t>
  </si>
  <si>
    <t xml:space="preserve">CPE </t>
  </si>
  <si>
    <t>vnet -1.jpg</t>
  </si>
  <si>
    <t>CPE -1.png</t>
  </si>
  <si>
    <t>when shorting a bo best to short it closer to the top, after TL broken.</t>
  </si>
  <si>
    <t>TGTX</t>
  </si>
  <si>
    <t>tgtx -1.jpg</t>
  </si>
  <si>
    <t>SQBG</t>
  </si>
  <si>
    <t>sqbg -1.png</t>
  </si>
  <si>
    <t>RKDA</t>
  </si>
  <si>
    <t>rkda +3.jpg</t>
  </si>
  <si>
    <t>BPTH</t>
  </si>
  <si>
    <t>SSY</t>
  </si>
  <si>
    <t>SSY_-1.png</t>
  </si>
  <si>
    <t>BPTH_+3.png</t>
  </si>
  <si>
    <t>STKL</t>
  </si>
  <si>
    <t>STKL_-1.png</t>
  </si>
  <si>
    <t>CIFS_-1.png</t>
  </si>
  <si>
    <t>DBVT</t>
  </si>
  <si>
    <t>DBVT_-1.png</t>
  </si>
  <si>
    <t>DSS</t>
  </si>
  <si>
    <t>dss_-1.png</t>
  </si>
  <si>
    <t>BPTH +33.jpg</t>
  </si>
  <si>
    <t>SEEL</t>
  </si>
  <si>
    <t>seel_-1.png</t>
  </si>
  <si>
    <t>BPTH_+3_001.png</t>
  </si>
  <si>
    <t>TNXP</t>
  </si>
  <si>
    <t>TNXP_+3.png</t>
  </si>
  <si>
    <t>TROV</t>
  </si>
  <si>
    <t>TROV_+3.png</t>
  </si>
  <si>
    <t>MCRB</t>
  </si>
  <si>
    <t>AXGT</t>
  </si>
  <si>
    <t>YTRA</t>
  </si>
  <si>
    <t>mcrb_+3.png</t>
  </si>
  <si>
    <t>AXGT_+3.png</t>
  </si>
  <si>
    <t>Conglomerates</t>
  </si>
  <si>
    <t>ytra_-1.png</t>
  </si>
  <si>
    <t xml:space="preserve">RRR 5 with BE at 1.5R </t>
  </si>
  <si>
    <t>RRR 5 R1.5 with SL at pattern break</t>
  </si>
  <si>
    <t>RRR 5 R1 with SL at pattern break</t>
  </si>
  <si>
    <t>RRR 5  with SL at pattern break</t>
  </si>
  <si>
    <t>RRR 5 1.5R Fast Reversal at 2</t>
  </si>
  <si>
    <t>RRR 5 1.5R Fast Reversal at 1.5</t>
  </si>
  <si>
    <t>RRR 5 1.5R Fast Reversal at 1</t>
  </si>
  <si>
    <t>RRR 5 1.5R Fast Reversal at 0</t>
  </si>
  <si>
    <t>RRR 5 1R Fast Reversal at 2</t>
  </si>
  <si>
    <t>RRR 5 1R Fast Reversal at 1.5</t>
  </si>
  <si>
    <t>RRR 5 1R Fast Reversal at 1</t>
  </si>
  <si>
    <t>RRR 5 1R Fast Reversal at 0</t>
  </si>
  <si>
    <t>RRR 5  Fast Reversal at 2</t>
  </si>
  <si>
    <t>RRR 5 Fast Reversal at 1.5</t>
  </si>
  <si>
    <t>RRR 5 Fast Reversal at 1</t>
  </si>
  <si>
    <t>RRR 5  Fast Reversal at 0</t>
  </si>
  <si>
    <t xml:space="preserve">סכום של RRR 5 with BE at 1.5R </t>
  </si>
  <si>
    <t>Float</t>
  </si>
  <si>
    <t>(פריטים מרובים)</t>
  </si>
  <si>
    <t>Pattern</t>
  </si>
  <si>
    <t>ST</t>
  </si>
  <si>
    <t>P</t>
  </si>
  <si>
    <t>DT</t>
  </si>
  <si>
    <t>F</t>
  </si>
  <si>
    <t>AT</t>
  </si>
  <si>
    <t>R</t>
  </si>
  <si>
    <t>RRR Difference</t>
  </si>
  <si>
    <t>Potential Price Before BE</t>
  </si>
  <si>
    <t>RRR Wick Exit</t>
  </si>
  <si>
    <t>RRR Volume Exit</t>
  </si>
  <si>
    <t>RRR Joint Wick and Volume Exit</t>
  </si>
  <si>
    <t>Sector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</si>
</sst>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d/m/yyyy;@"/>
    <numFmt numFmtId="166" formatCode="_-[$$-409]* #,##0.00_ ;_-[$$-409]* \-#,##0.00\ ;_-[$$-409]* &quot;-&quot;??_ ;_-@_ "/>
    <numFmt numFmtId="167" formatCode="0.0000"/>
  </numFmts>
  <fonts count="10" x14ac:knownFonts="1">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b/>
      <sz val="16"/>
      <name val="Calibri"/>
      <family val="2"/>
      <scheme val="minor"/>
    </font>
    <font>
      <b/>
      <sz val="14"/>
      <color theme="8" tint="-0.249977111117893"/>
      <name val="Calibri"/>
      <family val="2"/>
      <scheme val="minor"/>
    </font>
    <font>
      <sz val="11"/>
      <color theme="0"/>
      <name val="Calibri"/>
      <family val="2"/>
      <scheme val="minor"/>
    </font>
    <font>
      <i/>
      <sz val="11"/>
      <color theme="1"/>
      <name val="Calibri"/>
      <family val="2"/>
      <scheme val="minor"/>
    </font>
  </fonts>
  <fills count="7">
    <fill>
      <patternFill patternType="none"/>
    </fill>
    <fill>
      <patternFill patternType="gray125"/>
    </fill>
    <fill>
      <patternFill patternType="solid">
        <fgColor theme="8" tint="0.79998168889431442"/>
        <bgColor theme="8" tint="0.79998168889431442"/>
      </patternFill>
    </fill>
    <fill>
      <patternFill patternType="solid">
        <fgColor theme="5"/>
        <bgColor indexed="64"/>
      </patternFill>
    </fill>
    <fill>
      <patternFill patternType="solid">
        <fgColor theme="5" tint="0.79998168889431442"/>
        <bgColor theme="5" tint="0.79998168889431442"/>
      </patternFill>
    </fill>
    <fill>
      <patternFill patternType="solid">
        <fgColor theme="8" tint="0.59999389629810485"/>
        <bgColor theme="8" tint="0.59999389629810485"/>
      </patternFill>
    </fill>
    <fill>
      <patternFill patternType="solid">
        <fgColor theme="9"/>
        <bgColor theme="9"/>
      </patternFill>
    </fill>
  </fills>
  <borders count="16">
    <border>
      <left/>
      <right/>
      <top/>
      <bottom/>
      <diagonal/>
    </border>
    <border>
      <left/>
      <right/>
      <top style="thin">
        <color theme="5" tint="0.39997558519241921"/>
      </top>
      <bottom style="thin">
        <color theme="5" tint="0.39997558519241921"/>
      </bottom>
      <diagonal/>
    </border>
    <border>
      <left/>
      <right/>
      <top style="thin">
        <color theme="5" tint="0.39997558519241921"/>
      </top>
      <bottom/>
      <diagonal/>
    </border>
    <border>
      <left style="thin">
        <color theme="5" tint="0.39997558519241921"/>
      </left>
      <right/>
      <top style="thin">
        <color theme="5" tint="0.39997558519241921"/>
      </top>
      <bottom/>
      <diagonal/>
    </border>
    <border>
      <left/>
      <right style="thin">
        <color theme="5" tint="0.39997558519241921"/>
      </right>
      <top style="thin">
        <color theme="5" tint="0.39997558519241921"/>
      </top>
      <bottom/>
      <diagonal/>
    </border>
    <border>
      <left/>
      <right/>
      <top/>
      <bottom style="thin">
        <color theme="5" tint="0.39997558519241921"/>
      </bottom>
      <diagonal/>
    </border>
    <border>
      <left/>
      <right style="thin">
        <color theme="5" tint="0.39997558519241921"/>
      </right>
      <top/>
      <bottom style="thin">
        <color theme="5" tint="0.39997558519241921"/>
      </bottom>
      <diagonal/>
    </border>
    <border>
      <left style="thin">
        <color theme="5" tint="0.39997558519241921"/>
      </left>
      <right/>
      <top/>
      <bottom style="thin">
        <color theme="5" tint="0.39997558519241921"/>
      </bottom>
      <diagonal/>
    </border>
    <border>
      <left style="thin">
        <color theme="5" tint="0.39997558519241921"/>
      </left>
      <right/>
      <top/>
      <bottom/>
      <diagonal/>
    </border>
    <border>
      <left style="medium">
        <color indexed="64"/>
      </left>
      <right/>
      <top/>
      <bottom/>
      <diagonal/>
    </border>
    <border>
      <left/>
      <right style="thick">
        <color indexed="64"/>
      </right>
      <top/>
      <bottom/>
      <diagonal/>
    </border>
    <border>
      <left style="thick">
        <color indexed="64"/>
      </left>
      <right style="thick">
        <color indexed="64"/>
      </right>
      <top/>
      <bottom/>
      <diagonal/>
    </border>
    <border>
      <left style="thick">
        <color indexed="64"/>
      </left>
      <right/>
      <top/>
      <bottom/>
      <diagonal/>
    </border>
    <border>
      <left style="thick">
        <color indexed="64"/>
      </left>
      <right style="thin">
        <color indexed="64"/>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100">
    <xf numFmtId="0" fontId="0" fillId="0" borderId="0" xfId="0"/>
    <xf numFmtId="164" fontId="0" fillId="0" borderId="0" xfId="0" applyNumberFormat="1"/>
    <xf numFmtId="165" fontId="0" fillId="0" borderId="0" xfId="0" applyNumberFormat="1"/>
    <xf numFmtId="0" fontId="1" fillId="0" borderId="0" xfId="1"/>
    <xf numFmtId="21" fontId="0" fillId="0" borderId="0" xfId="0" applyNumberFormat="1"/>
    <xf numFmtId="0" fontId="0" fillId="0" borderId="0" xfId="0" applyNumberFormat="1"/>
    <xf numFmtId="165" fontId="0" fillId="2" borderId="0" xfId="0" applyNumberFormat="1" applyFill="1"/>
    <xf numFmtId="0" fontId="3" fillId="0" borderId="0" xfId="0" applyFont="1"/>
    <xf numFmtId="0" fontId="5" fillId="0" borderId="0" xfId="0" applyFont="1"/>
    <xf numFmtId="0" fontId="1" fillId="0" borderId="0" xfId="1" applyNumberFormat="1"/>
    <xf numFmtId="0" fontId="6" fillId="3" borderId="0" xfId="0" applyFont="1" applyFill="1"/>
    <xf numFmtId="0" fontId="6" fillId="3" borderId="1" xfId="0" applyFont="1" applyFill="1" applyBorder="1"/>
    <xf numFmtId="14" fontId="0" fillId="0" borderId="0" xfId="0" applyNumberFormat="1"/>
    <xf numFmtId="0" fontId="7" fillId="0" borderId="0" xfId="0" applyFont="1"/>
    <xf numFmtId="166" fontId="7" fillId="0" borderId="0" xfId="0" applyNumberFormat="1" applyFont="1"/>
    <xf numFmtId="0" fontId="6" fillId="3" borderId="8" xfId="0" applyFont="1" applyFill="1" applyBorder="1" applyAlignment="1">
      <alignment horizontal="center"/>
    </xf>
    <xf numFmtId="0" fontId="6" fillId="3" borderId="0" xfId="0" applyFont="1" applyFill="1" applyBorder="1" applyAlignment="1">
      <alignment horizontal="center"/>
    </xf>
    <xf numFmtId="1" fontId="0" fillId="0" borderId="0" xfId="0" applyNumberFormat="1"/>
    <xf numFmtId="0" fontId="0" fillId="0" borderId="0" xfId="0" pivotButton="1"/>
    <xf numFmtId="9" fontId="7" fillId="0" borderId="0" xfId="2" applyFont="1"/>
    <xf numFmtId="0" fontId="0" fillId="0" borderId="0" xfId="0" applyAlignment="1">
      <alignment horizontal="left"/>
    </xf>
    <xf numFmtId="167" fontId="0" fillId="0" borderId="0" xfId="0" applyNumberFormat="1"/>
    <xf numFmtId="0" fontId="0" fillId="0" borderId="9" xfId="0" applyNumberFormat="1" applyBorder="1"/>
    <xf numFmtId="0" fontId="0" fillId="0" borderId="0" xfId="0" applyBorder="1"/>
    <xf numFmtId="0" fontId="0" fillId="0" borderId="0" xfId="0" applyNumberFormat="1" applyBorder="1"/>
    <xf numFmtId="167" fontId="0" fillId="0" borderId="0" xfId="0" applyNumberFormat="1" applyBorder="1"/>
    <xf numFmtId="0" fontId="1" fillId="0" borderId="10" xfId="1" applyBorder="1"/>
    <xf numFmtId="0" fontId="0" fillId="0" borderId="10" xfId="0" applyBorder="1"/>
    <xf numFmtId="0" fontId="0" fillId="0" borderId="11" xfId="0" applyBorder="1"/>
    <xf numFmtId="0" fontId="0" fillId="0" borderId="11" xfId="0" applyNumberFormat="1" applyBorder="1"/>
    <xf numFmtId="0" fontId="7" fillId="0" borderId="0" xfId="0" applyNumberFormat="1" applyFont="1"/>
    <xf numFmtId="0" fontId="0" fillId="0" borderId="0" xfId="0" applyFont="1"/>
    <xf numFmtId="0" fontId="0" fillId="0" borderId="10" xfId="0" applyNumberFormat="1" applyBorder="1"/>
    <xf numFmtId="165" fontId="0" fillId="0" borderId="0" xfId="0" applyNumberFormat="1" applyAlignment="1">
      <alignment horizontal="right"/>
    </xf>
    <xf numFmtId="0" fontId="0" fillId="0" borderId="12" xfId="0" applyNumberFormat="1" applyBorder="1"/>
    <xf numFmtId="0" fontId="0" fillId="0" borderId="0" xfId="0" applyAlignment="1">
      <alignment horizontal="left" indent="1"/>
    </xf>
    <xf numFmtId="165" fontId="0" fillId="5" borderId="0" xfId="0" applyNumberFormat="1" applyFill="1"/>
    <xf numFmtId="0" fontId="8" fillId="6" borderId="0" xfId="0" applyFont="1" applyFill="1"/>
    <xf numFmtId="0" fontId="8" fillId="6" borderId="10" xfId="0" applyFont="1" applyFill="1" applyBorder="1"/>
    <xf numFmtId="0" fontId="8" fillId="6" borderId="0" xfId="0" applyFont="1" applyFill="1" applyBorder="1"/>
    <xf numFmtId="0" fontId="8" fillId="6" borderId="12" xfId="0" applyFont="1" applyFill="1" applyBorder="1"/>
    <xf numFmtId="0" fontId="0" fillId="5" borderId="0" xfId="0" applyNumberFormat="1" applyFill="1"/>
    <xf numFmtId="0" fontId="0" fillId="5" borderId="10" xfId="0" applyNumberFormat="1" applyFill="1" applyBorder="1"/>
    <xf numFmtId="0" fontId="0" fillId="5" borderId="0" xfId="0" applyNumberFormat="1" applyFill="1" applyBorder="1"/>
    <xf numFmtId="0" fontId="0" fillId="5" borderId="12" xfId="0" applyNumberFormat="1" applyFill="1" applyBorder="1"/>
    <xf numFmtId="0" fontId="0" fillId="2" borderId="0" xfId="0" applyNumberFormat="1" applyFill="1"/>
    <xf numFmtId="0" fontId="0" fillId="2" borderId="10" xfId="0" applyNumberFormat="1" applyFill="1" applyBorder="1"/>
    <xf numFmtId="0" fontId="0" fillId="2" borderId="0" xfId="0" applyNumberFormat="1" applyFill="1" applyBorder="1"/>
    <xf numFmtId="0" fontId="0" fillId="2" borderId="12" xfId="0" applyNumberFormat="1" applyFill="1" applyBorder="1"/>
    <xf numFmtId="167" fontId="0" fillId="5" borderId="0" xfId="0" applyNumberFormat="1" applyFill="1" applyAlignment="1">
      <alignment horizontal="right" vertical="top"/>
    </xf>
    <xf numFmtId="167" fontId="0" fillId="2" borderId="0" xfId="0" applyNumberFormat="1" applyFill="1" applyAlignment="1">
      <alignment horizontal="right" vertical="top"/>
    </xf>
    <xf numFmtId="0" fontId="8" fillId="6" borderId="11" xfId="0" applyFont="1" applyFill="1" applyBorder="1"/>
    <xf numFmtId="0" fontId="0" fillId="5" borderId="11" xfId="0" applyFill="1" applyBorder="1"/>
    <xf numFmtId="0" fontId="0" fillId="2" borderId="11" xfId="0" applyFill="1" applyBorder="1"/>
    <xf numFmtId="167" fontId="0" fillId="5" borderId="0" xfId="0" applyNumberFormat="1" applyFill="1"/>
    <xf numFmtId="167" fontId="0" fillId="2" borderId="0" xfId="0" applyNumberFormat="1" applyFill="1"/>
    <xf numFmtId="0" fontId="0" fillId="5" borderId="0" xfId="0" applyFill="1"/>
    <xf numFmtId="0" fontId="0" fillId="2" borderId="0" xfId="0" applyFill="1"/>
    <xf numFmtId="21" fontId="8" fillId="6" borderId="0" xfId="0" applyNumberFormat="1" applyFont="1" applyFill="1"/>
    <xf numFmtId="21" fontId="0" fillId="5" borderId="0" xfId="0" applyNumberFormat="1" applyFill="1"/>
    <xf numFmtId="21" fontId="0" fillId="2" borderId="0" xfId="0" applyNumberFormat="1" applyFill="1"/>
    <xf numFmtId="0" fontId="0" fillId="5" borderId="0" xfId="0" applyFill="1" applyBorder="1"/>
    <xf numFmtId="0" fontId="0" fillId="2" borderId="0" xfId="0" applyFill="1" applyBorder="1"/>
    <xf numFmtId="164" fontId="8" fillId="6" borderId="0" xfId="0" applyNumberFormat="1" applyFont="1" applyFill="1"/>
    <xf numFmtId="164" fontId="0" fillId="5" borderId="0" xfId="0" applyNumberFormat="1" applyFill="1"/>
    <xf numFmtId="164" fontId="0" fillId="2" borderId="0" xfId="0" applyNumberFormat="1" applyFill="1"/>
    <xf numFmtId="165" fontId="8" fillId="6" borderId="0" xfId="0" applyNumberFormat="1" applyFont="1" applyFill="1"/>
    <xf numFmtId="0" fontId="1" fillId="5" borderId="10" xfId="1" applyFill="1" applyBorder="1"/>
    <xf numFmtId="0" fontId="1" fillId="2" borderId="10" xfId="1" applyFill="1" applyBorder="1"/>
    <xf numFmtId="20" fontId="0" fillId="0" borderId="0" xfId="0" applyNumberFormat="1"/>
    <xf numFmtId="0" fontId="1" fillId="0" borderId="0" xfId="1" applyNumberFormat="1" applyFill="1"/>
    <xf numFmtId="0" fontId="2" fillId="0" borderId="0" xfId="1" applyNumberFormat="1" applyFont="1" applyBorder="1"/>
    <xf numFmtId="167" fontId="2" fillId="0" borderId="0" xfId="1" applyNumberFormat="1" applyFont="1" applyBorder="1"/>
    <xf numFmtId="0" fontId="1" fillId="0" borderId="0" xfId="1" applyNumberFormat="1" applyBorder="1"/>
    <xf numFmtId="167" fontId="1" fillId="0" borderId="0" xfId="1" applyNumberFormat="1" applyBorder="1"/>
    <xf numFmtId="2" fontId="7" fillId="0" borderId="0" xfId="0" applyNumberFormat="1" applyFont="1"/>
    <xf numFmtId="0" fontId="0" fillId="0" borderId="13" xfId="0" applyBorder="1"/>
    <xf numFmtId="0" fontId="0" fillId="0" borderId="13" xfId="0" applyNumberFormat="1" applyBorder="1"/>
    <xf numFmtId="0" fontId="0" fillId="0" borderId="0" xfId="0" applyFill="1" applyBorder="1" applyAlignment="1"/>
    <xf numFmtId="0" fontId="0" fillId="0" borderId="14" xfId="0" applyFill="1" applyBorder="1" applyAlignment="1"/>
    <xf numFmtId="0" fontId="9" fillId="0" borderId="15" xfId="0" applyFont="1" applyFill="1" applyBorder="1" applyAlignment="1">
      <alignment horizontal="centerContinuous"/>
    </xf>
    <xf numFmtId="0" fontId="0" fillId="0" borderId="12" xfId="0" applyBorder="1"/>
    <xf numFmtId="165" fontId="0" fillId="2" borderId="3" xfId="0" applyNumberFormat="1" applyFont="1" applyFill="1" applyBorder="1" applyAlignment="1">
      <alignment horizontal="center" vertical="top"/>
    </xf>
    <xf numFmtId="165" fontId="0" fillId="2" borderId="7" xfId="0" applyNumberFormat="1" applyFont="1" applyFill="1" applyBorder="1" applyAlignment="1">
      <alignment horizontal="center" vertical="top"/>
    </xf>
    <xf numFmtId="0" fontId="0" fillId="4" borderId="2" xfId="0" applyFont="1" applyFill="1" applyBorder="1" applyAlignment="1">
      <alignment vertical="top" wrapText="1"/>
    </xf>
    <xf numFmtId="0" fontId="0" fillId="4" borderId="4" xfId="0" applyFont="1" applyFill="1" applyBorder="1" applyAlignment="1">
      <alignment vertical="top" wrapText="1"/>
    </xf>
    <xf numFmtId="0" fontId="0" fillId="4" borderId="5" xfId="0" applyFont="1" applyFill="1" applyBorder="1" applyAlignment="1">
      <alignment vertical="top" wrapText="1"/>
    </xf>
    <xf numFmtId="0" fontId="0" fillId="4" borderId="6" xfId="0" applyFont="1" applyFill="1" applyBorder="1" applyAlignment="1">
      <alignment vertical="top" wrapText="1"/>
    </xf>
    <xf numFmtId="0" fontId="4" fillId="3" borderId="0" xfId="0" applyFont="1" applyFill="1" applyAlignment="1">
      <alignment horizontal="center"/>
    </xf>
    <xf numFmtId="0" fontId="6" fillId="3" borderId="1" xfId="0" applyFont="1" applyFill="1" applyBorder="1" applyAlignment="1">
      <alignment horizontal="center"/>
    </xf>
    <xf numFmtId="0" fontId="6" fillId="3" borderId="8" xfId="0" applyFont="1" applyFill="1" applyBorder="1" applyAlignment="1">
      <alignment horizontal="center" vertical="center"/>
    </xf>
    <xf numFmtId="0" fontId="6" fillId="3" borderId="0" xfId="0" applyFont="1" applyFill="1" applyBorder="1" applyAlignment="1">
      <alignment horizontal="center" vertical="center"/>
    </xf>
    <xf numFmtId="0" fontId="0" fillId="4" borderId="2" xfId="0" applyFont="1" applyFill="1" applyBorder="1" applyAlignment="1">
      <alignment horizontal="left" vertical="top" wrapText="1"/>
    </xf>
    <xf numFmtId="0" fontId="0" fillId="4" borderId="4" xfId="0" applyFont="1" applyFill="1" applyBorder="1" applyAlignment="1">
      <alignment horizontal="left" vertical="top" wrapText="1"/>
    </xf>
    <xf numFmtId="0" fontId="0" fillId="4" borderId="5" xfId="0" applyFont="1" applyFill="1" applyBorder="1" applyAlignment="1">
      <alignment horizontal="left" vertical="top" wrapText="1"/>
    </xf>
    <xf numFmtId="0" fontId="0" fillId="4" borderId="6" xfId="0" applyFont="1" applyFill="1" applyBorder="1" applyAlignment="1">
      <alignment horizontal="left" vertical="top" wrapText="1"/>
    </xf>
    <xf numFmtId="0" fontId="0" fillId="4" borderId="2" xfId="0" applyFont="1" applyFill="1" applyBorder="1" applyAlignment="1">
      <alignment vertical="top"/>
    </xf>
    <xf numFmtId="0" fontId="0" fillId="4" borderId="4" xfId="0" applyFont="1" applyFill="1" applyBorder="1" applyAlignment="1">
      <alignment vertical="top"/>
    </xf>
    <xf numFmtId="0" fontId="0" fillId="4" borderId="5" xfId="0" applyFont="1" applyFill="1" applyBorder="1" applyAlignment="1">
      <alignment vertical="top"/>
    </xf>
    <xf numFmtId="0" fontId="0" fillId="4" borderId="6" xfId="0" applyFont="1" applyFill="1" applyBorder="1" applyAlignment="1">
      <alignment vertical="top"/>
    </xf>
  </cellXfs>
  <cellStyles count="3">
    <cellStyle name="Normal" xfId="0" builtinId="0"/>
    <cellStyle name="Percent" xfId="2" builtinId="5"/>
    <cellStyle name="היפר-קישור" xfId="1" builtinId="8"/>
  </cellStyles>
  <dxfs count="9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0.0000"/>
    </dxf>
    <dxf>
      <numFmt numFmtId="0" formatCode="General"/>
    </dxf>
    <dxf>
      <numFmt numFmtId="167" formatCode="0.0000"/>
    </dxf>
    <dxf>
      <numFmt numFmtId="167" formatCode="0.0000"/>
    </dxf>
    <dxf>
      <numFmt numFmtId="167" formatCode="0.0000"/>
    </dxf>
    <dxf>
      <numFmt numFmtId="0" formatCode="General"/>
    </dxf>
    <dxf>
      <numFmt numFmtId="0" formatCode="General"/>
    </dxf>
    <dxf>
      <numFmt numFmtId="167" formatCode="0.0000"/>
    </dxf>
    <dxf>
      <numFmt numFmtId="0" formatCode="General"/>
    </dxf>
    <dxf>
      <numFmt numFmtId="26" formatCode="h:mm:ss"/>
    </dxf>
    <dxf>
      <numFmt numFmtId="0" formatCode="General"/>
    </dxf>
    <dxf>
      <numFmt numFmtId="0" formatCode="General"/>
    </dxf>
    <dxf>
      <numFmt numFmtId="167" formatCode="0.0000"/>
    </dxf>
    <dxf>
      <numFmt numFmtId="167" formatCode="0.0000"/>
    </dxf>
    <dxf>
      <numFmt numFmtId="0" formatCode="General"/>
    </dxf>
    <dxf>
      <border outline="0">
        <right style="thick">
          <color indexed="64"/>
        </right>
      </border>
    </dxf>
    <dxf>
      <font>
        <b val="0"/>
        <i val="0"/>
        <strike val="0"/>
        <condense val="0"/>
        <extend val="0"/>
        <outline val="0"/>
        <shadow val="0"/>
        <u val="none"/>
        <vertAlign val="baseline"/>
        <sz val="11"/>
        <color theme="0"/>
        <name val="Calibri"/>
        <family val="2"/>
        <scheme val="minor"/>
      </font>
      <fill>
        <patternFill patternType="solid">
          <fgColor theme="9"/>
          <bgColor theme="9"/>
        </patternFill>
      </fill>
    </dxf>
    <dxf>
      <numFmt numFmtId="0" formatCode="General"/>
      <border diagonalUp="0" diagonalDown="0">
        <left style="thick">
          <color indexed="64"/>
        </left>
        <right/>
        <top/>
        <bottom/>
        <vertical/>
        <horizontal/>
      </border>
    </dxf>
    <dxf>
      <numFmt numFmtId="0" formatCode="General"/>
      <border diagonalUp="0" diagonalDown="0">
        <left style="thick">
          <color indexed="64"/>
        </left>
        <right/>
        <top/>
        <bottom/>
        <vertical/>
        <horizontal/>
      </border>
    </dxf>
    <dxf>
      <numFmt numFmtId="0" formatCode="General"/>
      <border diagonalUp="0" diagonalDown="0">
        <left style="thick">
          <color indexed="64"/>
        </left>
        <right/>
        <top/>
        <bottom/>
        <vertical/>
        <horizontal/>
      </border>
    </dxf>
    <dxf>
      <numFmt numFmtId="0" formatCode="General"/>
      <border diagonalUp="0" diagonalDown="0">
        <left/>
        <right style="thick">
          <color indexed="64"/>
        </right>
        <top/>
        <bottom/>
        <vertical/>
        <horizontal/>
      </border>
    </dxf>
    <dxf>
      <numFmt numFmtId="0" formatCode="General"/>
      <border diagonalUp="0" diagonalDown="0">
        <left style="thick">
          <color indexed="64"/>
        </left>
        <right/>
        <top/>
        <bottom/>
        <vertical/>
        <horizontal/>
      </border>
    </dxf>
    <dxf>
      <numFmt numFmtId="0" formatCode="General"/>
      <border diagonalUp="0" diagonalDown="0">
        <left style="thick">
          <color indexed="64"/>
        </left>
        <right/>
        <top/>
        <bottom/>
        <vertical/>
        <horizontal/>
      </border>
    </dxf>
    <dxf>
      <numFmt numFmtId="0" formatCode="General"/>
    </dxf>
    <dxf>
      <numFmt numFmtId="0" formatCode="General"/>
    </dxf>
    <dxf>
      <numFmt numFmtId="0" formatCode="General"/>
      <border diagonalUp="0" diagonalDown="0">
        <left style="thick">
          <color indexed="64"/>
        </left>
        <right/>
        <top/>
        <bottom/>
        <vertical/>
        <horizontal/>
      </border>
    </dxf>
    <dxf>
      <numFmt numFmtId="0" formatCode="General"/>
      <border diagonalUp="0" diagonalDown="0">
        <left/>
        <right style="thick">
          <color indexed="64"/>
        </right>
        <top/>
        <bottom/>
        <vertical/>
        <horizontal/>
      </border>
    </dxf>
    <dxf>
      <numFmt numFmtId="0" formatCode="General"/>
      <border diagonalUp="0" diagonalDown="0">
        <left style="thick">
          <color indexed="64"/>
        </left>
        <right/>
        <top/>
        <bottom/>
        <vertical/>
        <horizontal/>
      </border>
    </dxf>
    <dxf>
      <numFmt numFmtId="0" formatCode="General"/>
      <border diagonalUp="0" diagonalDown="0">
        <left style="thick">
          <color indexed="64"/>
        </left>
        <right style="thin">
          <color indexed="64"/>
        </right>
        <top/>
        <bottom/>
        <vertical/>
        <horizontal/>
      </border>
    </dxf>
    <dxf>
      <numFmt numFmtId="0" formatCode="General"/>
      <border diagonalUp="0" diagonalDown="0">
        <left/>
        <right style="thick">
          <color indexed="64"/>
        </right>
        <top/>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border diagonalUp="0" diagonalDown="0">
        <left/>
        <right style="thick">
          <color indexed="64"/>
        </right>
        <top/>
        <bottom/>
        <vertical/>
        <horizontal/>
      </border>
    </dxf>
    <dxf>
      <numFmt numFmtId="0" formatCode="General"/>
    </dxf>
    <dxf>
      <numFmt numFmtId="0" formatCode="General"/>
    </dxf>
    <dxf>
      <numFmt numFmtId="0" formatCode="General"/>
      <border diagonalUp="0" diagonalDown="0">
        <left style="thick">
          <color indexed="64"/>
        </left>
        <right style="thick">
          <color indexed="64"/>
        </right>
        <top/>
        <bottom/>
        <vertical/>
        <horizontal/>
      </border>
    </dxf>
    <dxf>
      <numFmt numFmtId="167" formatCode="0.0000"/>
    </dxf>
    <dxf>
      <numFmt numFmtId="167" formatCode="0.0000"/>
    </dxf>
    <dxf>
      <numFmt numFmtId="167" formatCode="0.0000"/>
    </dxf>
    <dxf>
      <numFmt numFmtId="167" formatCode="0.0000"/>
    </dxf>
    <dxf>
      <numFmt numFmtId="0" formatCode="General"/>
    </dxf>
    <dxf>
      <numFmt numFmtId="0" formatCode="General"/>
    </dxf>
    <dxf>
      <numFmt numFmtId="0" formatCode="General"/>
    </dxf>
    <dxf>
      <numFmt numFmtId="0" formatCode="General"/>
    </dxf>
    <dxf>
      <numFmt numFmtId="167" formatCode="0.0000"/>
    </dxf>
    <dxf>
      <numFmt numFmtId="26" formatCode="h:mm:ss"/>
    </dxf>
    <dxf>
      <numFmt numFmtId="0" formatCode="General"/>
    </dxf>
    <dxf>
      <numFmt numFmtId="0" formatCode="General"/>
    </dxf>
    <dxf>
      <numFmt numFmtId="167" formatCode="0.0000"/>
    </dxf>
    <dxf>
      <numFmt numFmtId="0" formatCode="General"/>
    </dxf>
    <dxf>
      <numFmt numFmtId="0" formatCode="General"/>
      <border diagonalUp="0" diagonalDown="0">
        <left style="medium">
          <color indexed="64"/>
        </left>
        <right/>
        <top/>
        <bottom/>
        <vertical/>
        <horizontal/>
      </border>
    </dxf>
    <dxf>
      <border diagonalUp="0" diagonalDown="0">
        <left/>
        <right style="thick">
          <color indexed="64"/>
        </right>
        <top/>
        <bottom/>
        <vertical/>
        <horizontal/>
      </border>
    </dxf>
    <dxf>
      <numFmt numFmtId="1" formatCode="0"/>
    </dxf>
    <dxf>
      <numFmt numFmtId="0" formatCode="General"/>
    </dxf>
    <dxf>
      <numFmt numFmtId="0" formatCode="General"/>
    </dxf>
    <dxf>
      <numFmt numFmtId="164" formatCode="h:mm;@"/>
    </dxf>
    <dxf>
      <numFmt numFmtId="164" formatCode="h:mm;@"/>
    </dxf>
    <dxf>
      <numFmt numFmtId="165" formatCode="d/m/yyyy;@"/>
    </dxf>
    <dxf>
      <font>
        <b val="0"/>
        <i val="0"/>
        <strike val="0"/>
        <condense val="0"/>
        <extend val="0"/>
        <outline val="0"/>
        <shadow val="0"/>
        <u val="none"/>
        <vertAlign val="baseline"/>
        <sz val="11"/>
        <color theme="1"/>
        <name val="Calibri"/>
        <family val="2"/>
        <scheme val="minor"/>
      </font>
    </dxf>
    <dxf>
      <numFmt numFmtId="165" formatCode="d/m/yyyy;@"/>
      <fill>
        <patternFill patternType="solid">
          <fgColor theme="8" tint="0.79998168889431442"/>
          <bgColor theme="8" tint="0.79998168889431442"/>
        </patternFill>
      </fill>
    </dxf>
    <dxf>
      <numFmt numFmtId="165" formatCode="d/m/yyyy;@"/>
      <fill>
        <patternFill patternType="solid">
          <fgColor theme="8" tint="0.79998168889431442"/>
          <bgColor theme="8" tint="0.79998168889431442"/>
        </patternFill>
      </fill>
    </dxf>
    <dxf>
      <font>
        <b/>
        <i val="0"/>
        <strike val="0"/>
        <condense val="0"/>
        <extend val="0"/>
        <outline val="0"/>
        <shadow val="0"/>
        <u val="none"/>
        <vertAlign val="baseline"/>
        <sz val="16"/>
        <color theme="1"/>
        <name val="Calibri"/>
        <family val="2"/>
        <scheme val="minor"/>
      </font>
      <fill>
        <patternFill patternType="solid">
          <fgColor indexed="64"/>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pivotSource>
    <c:name>[Live day trading 2 fixed.xlsx]Notes!PivotTable3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solidFill>
            <a:schemeClr val="accent1"/>
          </a:solidFill>
          <a:ln w="28575" cap="rnd">
            <a:solidFill>
              <a:schemeClr val="accent2"/>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2"/>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2"/>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1"/>
              </a:solidFill>
            </a:ln>
            <a:effectLst/>
          </c:spPr>
        </c:marker>
      </c:pivotFmt>
      <c:pivotFmt>
        <c:idx val="4"/>
        <c:spPr>
          <a:ln w="28575" cap="rnd">
            <a:solidFill>
              <a:schemeClr val="accent2"/>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solidFill>
            <a:round/>
          </a:ln>
          <a:effectLst/>
        </c:spPr>
        <c:marker>
          <c:symbol val="circle"/>
          <c:size val="5"/>
          <c:spPr>
            <a:solidFill>
              <a:schemeClr val="accent2"/>
            </a:solidFill>
            <a:ln w="9525">
              <a:solidFill>
                <a:schemeClr val="accent1"/>
              </a:solidFill>
            </a:ln>
            <a:effectLst/>
          </c:spPr>
        </c:marker>
      </c:pivotFmt>
      <c:pivotFmt>
        <c:idx val="6"/>
        <c:spPr>
          <a:ln w="28575" cap="rnd">
            <a:solidFill>
              <a:schemeClr val="accent2"/>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Notes!$AA$4</c:f>
              <c:strCache>
                <c:ptCount val="1"/>
                <c:pt idx="0">
                  <c:v>סה"כ</c:v>
                </c:pt>
              </c:strCache>
            </c:strRef>
          </c:tx>
          <c:spPr>
            <a:ln w="28575" cap="rnd">
              <a:solidFill>
                <a:schemeClr val="accent2"/>
              </a:solidFill>
              <a:round/>
            </a:ln>
            <a:effectLst/>
          </c:spPr>
          <c:marker>
            <c:symbol val="circle"/>
            <c:size val="5"/>
            <c:spPr>
              <a:solidFill>
                <a:schemeClr val="accent1"/>
              </a:solidFill>
              <a:ln w="9525">
                <a:solidFill>
                  <a:schemeClr val="accent1"/>
                </a:solidFill>
              </a:ln>
              <a:effectLst/>
            </c:spPr>
          </c:marker>
          <c:dPt>
            <c:idx val="6"/>
            <c:marker>
              <c:symbol val="circle"/>
              <c:size val="5"/>
              <c:spPr>
                <a:solidFill>
                  <a:schemeClr val="accent1"/>
                </a:solidFill>
                <a:ln w="9525">
                  <a:solidFill>
                    <a:schemeClr val="accent1"/>
                  </a:solidFill>
                </a:ln>
                <a:effectLst/>
              </c:spPr>
            </c:marker>
            <c:bubble3D val="0"/>
            <c:spPr>
              <a:ln w="28575" cap="rnd">
                <a:solidFill>
                  <a:schemeClr val="accent2"/>
                </a:solidFill>
                <a:round/>
              </a:ln>
              <a:effectLst/>
            </c:spPr>
            <c:extLst>
              <c:ext xmlns:c16="http://schemas.microsoft.com/office/drawing/2014/chart" uri="{C3380CC4-5D6E-409C-BE32-E72D297353CC}">
                <c16:uniqueId val="{00000000-43FA-42DE-B75C-372091D237DA}"/>
              </c:ext>
            </c:extLst>
          </c:dPt>
          <c:cat>
            <c:strRef>
              <c:f>Notes!$Z$5:$Z$101</c:f>
              <c:strCache>
                <c:ptCount val="9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strCache>
            </c:strRef>
          </c:cat>
          <c:val>
            <c:numRef>
              <c:f>Notes!$AA$5:$AA$101</c:f>
              <c:numCache>
                <c:formatCode>General</c:formatCode>
                <c:ptCount val="96"/>
                <c:pt idx="0">
                  <c:v>51.96</c:v>
                </c:pt>
                <c:pt idx="1">
                  <c:v>111.84</c:v>
                </c:pt>
                <c:pt idx="2">
                  <c:v>67.28</c:v>
                </c:pt>
                <c:pt idx="3">
                  <c:v>25.310000000000002</c:v>
                </c:pt>
                <c:pt idx="4">
                  <c:v>81.91</c:v>
                </c:pt>
                <c:pt idx="5">
                  <c:v>136.84</c:v>
                </c:pt>
                <c:pt idx="6">
                  <c:v>181.78</c:v>
                </c:pt>
                <c:pt idx="7">
                  <c:v>146.76</c:v>
                </c:pt>
                <c:pt idx="8">
                  <c:v>126.16999999999999</c:v>
                </c:pt>
                <c:pt idx="9">
                  <c:v>80.389999999999986</c:v>
                </c:pt>
                <c:pt idx="10">
                  <c:v>34.529999999999987</c:v>
                </c:pt>
                <c:pt idx="11">
                  <c:v>-10.38000000000001</c:v>
                </c:pt>
                <c:pt idx="12">
                  <c:v>-45.190000000000012</c:v>
                </c:pt>
                <c:pt idx="13">
                  <c:v>-61.820000000000007</c:v>
                </c:pt>
                <c:pt idx="14">
                  <c:v>-99.52000000000001</c:v>
                </c:pt>
                <c:pt idx="15">
                  <c:v>-148.04000000000002</c:v>
                </c:pt>
                <c:pt idx="16">
                  <c:v>-173.76000000000002</c:v>
                </c:pt>
                <c:pt idx="17">
                  <c:v>-196.91000000000003</c:v>
                </c:pt>
                <c:pt idx="18">
                  <c:v>-208.12000000000003</c:v>
                </c:pt>
                <c:pt idx="19">
                  <c:v>-228.39000000000004</c:v>
                </c:pt>
                <c:pt idx="20">
                  <c:v>-241.25400000000005</c:v>
                </c:pt>
                <c:pt idx="21">
                  <c:v>-196.29400000000004</c:v>
                </c:pt>
                <c:pt idx="22">
                  <c:v>-223.90400000000005</c:v>
                </c:pt>
                <c:pt idx="23">
                  <c:v>-241.36400000000006</c:v>
                </c:pt>
                <c:pt idx="24">
                  <c:v>-255.40400000000005</c:v>
                </c:pt>
                <c:pt idx="25">
                  <c:v>-240.25400000000005</c:v>
                </c:pt>
                <c:pt idx="26">
                  <c:v>-260.99400000000003</c:v>
                </c:pt>
                <c:pt idx="27">
                  <c:v>-239.16400000000004</c:v>
                </c:pt>
                <c:pt idx="28">
                  <c:v>-265.09400000000005</c:v>
                </c:pt>
                <c:pt idx="29">
                  <c:v>-288.72400000000005</c:v>
                </c:pt>
                <c:pt idx="30">
                  <c:v>-306.80400000000003</c:v>
                </c:pt>
                <c:pt idx="31">
                  <c:v>-278.83400000000006</c:v>
                </c:pt>
                <c:pt idx="32">
                  <c:v>-251.37400000000005</c:v>
                </c:pt>
                <c:pt idx="33">
                  <c:v>-268.91400000000004</c:v>
                </c:pt>
                <c:pt idx="34">
                  <c:v>-285.96400000000006</c:v>
                </c:pt>
                <c:pt idx="35">
                  <c:v>-307.98400000000004</c:v>
                </c:pt>
                <c:pt idx="36">
                  <c:v>-329.79400000000004</c:v>
                </c:pt>
                <c:pt idx="37">
                  <c:v>-346.76400000000001</c:v>
                </c:pt>
                <c:pt idx="38">
                  <c:v>-362.80400000000003</c:v>
                </c:pt>
                <c:pt idx="39">
                  <c:v>-338.85400000000004</c:v>
                </c:pt>
                <c:pt idx="40">
                  <c:v>-353.42400000000004</c:v>
                </c:pt>
                <c:pt idx="41">
                  <c:v>-334.88400000000001</c:v>
                </c:pt>
                <c:pt idx="42">
                  <c:v>-356.154</c:v>
                </c:pt>
                <c:pt idx="43">
                  <c:v>-370.024</c:v>
                </c:pt>
                <c:pt idx="44">
                  <c:v>-346.06400000000002</c:v>
                </c:pt>
                <c:pt idx="45">
                  <c:v>-320.09400000000005</c:v>
                </c:pt>
                <c:pt idx="46">
                  <c:v>-334.01400000000007</c:v>
                </c:pt>
                <c:pt idx="47">
                  <c:v>-347.37400000000008</c:v>
                </c:pt>
                <c:pt idx="48">
                  <c:v>-363.63400000000007</c:v>
                </c:pt>
                <c:pt idx="49">
                  <c:v>-374.94400000000007</c:v>
                </c:pt>
                <c:pt idx="50">
                  <c:v>-352.01400000000007</c:v>
                </c:pt>
                <c:pt idx="51">
                  <c:v>-376.68400000000008</c:v>
                </c:pt>
                <c:pt idx="52">
                  <c:v>-351.0440000000001</c:v>
                </c:pt>
                <c:pt idx="53">
                  <c:v>-324.06400000000008</c:v>
                </c:pt>
                <c:pt idx="54">
                  <c:v>-349.17400000000009</c:v>
                </c:pt>
                <c:pt idx="55">
                  <c:v>-321.20400000000006</c:v>
                </c:pt>
                <c:pt idx="56">
                  <c:v>-296.78400000000005</c:v>
                </c:pt>
                <c:pt idx="57">
                  <c:v>-319.78400000000005</c:v>
                </c:pt>
                <c:pt idx="58">
                  <c:v>-343.78400000000005</c:v>
                </c:pt>
                <c:pt idx="59">
                  <c:v>-315.94400000000007</c:v>
                </c:pt>
                <c:pt idx="60">
                  <c:v>-291.94400000000007</c:v>
                </c:pt>
                <c:pt idx="61">
                  <c:v>-314.4140000000001</c:v>
                </c:pt>
                <c:pt idx="62">
                  <c:v>-284.93400000000008</c:v>
                </c:pt>
                <c:pt idx="63">
                  <c:v>-295.52400000000006</c:v>
                </c:pt>
                <c:pt idx="64">
                  <c:v>-267.54400000000004</c:v>
                </c:pt>
                <c:pt idx="65">
                  <c:v>-290.58400000000006</c:v>
                </c:pt>
                <c:pt idx="66">
                  <c:v>-310.04400000000004</c:v>
                </c:pt>
                <c:pt idx="67">
                  <c:v>-331.33400000000006</c:v>
                </c:pt>
                <c:pt idx="68">
                  <c:v>-355.95400000000006</c:v>
                </c:pt>
                <c:pt idx="69">
                  <c:v>-330.25400000000008</c:v>
                </c:pt>
                <c:pt idx="70">
                  <c:v>-305.17400000000009</c:v>
                </c:pt>
                <c:pt idx="71">
                  <c:v>-331.78400000000011</c:v>
                </c:pt>
                <c:pt idx="72">
                  <c:v>-356.82400000000013</c:v>
                </c:pt>
                <c:pt idx="73">
                  <c:v>-377.30400000000014</c:v>
                </c:pt>
                <c:pt idx="74">
                  <c:v>-354.40400000000017</c:v>
                </c:pt>
                <c:pt idx="75">
                  <c:v>-375.85400000000016</c:v>
                </c:pt>
                <c:pt idx="76">
                  <c:v>-404.53400000000016</c:v>
                </c:pt>
                <c:pt idx="77">
                  <c:v>-424.20400000000018</c:v>
                </c:pt>
                <c:pt idx="78">
                  <c:v>-437.91400000000016</c:v>
                </c:pt>
                <c:pt idx="79">
                  <c:v>-458.23400000000015</c:v>
                </c:pt>
                <c:pt idx="80">
                  <c:v>-433.19400000000013</c:v>
                </c:pt>
                <c:pt idx="81">
                  <c:v>-405.71400000000011</c:v>
                </c:pt>
                <c:pt idx="82">
                  <c:v>-432.75400000000013</c:v>
                </c:pt>
                <c:pt idx="83">
                  <c:v>-405.73400000000015</c:v>
                </c:pt>
                <c:pt idx="84">
                  <c:v>-432.38400000000013</c:v>
                </c:pt>
                <c:pt idx="85">
                  <c:v>-454.14400000000012</c:v>
                </c:pt>
                <c:pt idx="86">
                  <c:v>-477.12400000000014</c:v>
                </c:pt>
                <c:pt idx="87">
                  <c:v>-498.80400000000014</c:v>
                </c:pt>
                <c:pt idx="88">
                  <c:v>-470.46400000000017</c:v>
                </c:pt>
                <c:pt idx="89">
                  <c:v>-491.00400000000019</c:v>
                </c:pt>
                <c:pt idx="90">
                  <c:v>-463.60400000000021</c:v>
                </c:pt>
                <c:pt idx="91">
                  <c:v>-442.52400000000023</c:v>
                </c:pt>
                <c:pt idx="92">
                  <c:v>-415.03400000000022</c:v>
                </c:pt>
                <c:pt idx="93">
                  <c:v>-392.42400000000021</c:v>
                </c:pt>
                <c:pt idx="94">
                  <c:v>-362.46400000000023</c:v>
                </c:pt>
                <c:pt idx="95">
                  <c:v>-372.7440000000002</c:v>
                </c:pt>
              </c:numCache>
            </c:numRef>
          </c:val>
          <c:smooth val="0"/>
          <c:extLst>
            <c:ext xmlns:c16="http://schemas.microsoft.com/office/drawing/2014/chart" uri="{C3380CC4-5D6E-409C-BE32-E72D297353CC}">
              <c16:uniqueId val="{00000001-43FA-42DE-B75C-372091D237DA}"/>
            </c:ext>
          </c:extLst>
        </c:ser>
        <c:dLbls>
          <c:showLegendKey val="0"/>
          <c:showVal val="0"/>
          <c:showCatName val="0"/>
          <c:showSerName val="0"/>
          <c:showPercent val="0"/>
          <c:showBubbleSize val="0"/>
        </c:dLbls>
        <c:marker val="1"/>
        <c:smooth val="0"/>
        <c:axId val="612969464"/>
        <c:axId val="612969136"/>
      </c:lineChart>
      <c:catAx>
        <c:axId val="61296946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900" b="0" i="0" u="none" strike="noStrike" kern="1200" baseline="0">
                <a:solidFill>
                  <a:schemeClr val="tx1"/>
                </a:solidFill>
                <a:latin typeface="+mn-lt"/>
                <a:ea typeface="+mn-ea"/>
                <a:cs typeface="+mn-cs"/>
              </a:defRPr>
            </a:pPr>
            <a:endParaRPr lang="en-IL"/>
          </a:p>
        </c:txPr>
        <c:crossAx val="612969136"/>
        <c:crosses val="autoZero"/>
        <c:auto val="1"/>
        <c:lblAlgn val="ctr"/>
        <c:lblOffset val="100"/>
        <c:noMultiLvlLbl val="0"/>
      </c:catAx>
      <c:valAx>
        <c:axId val="612969136"/>
        <c:scaling>
          <c:orientation val="minMax"/>
        </c:scaling>
        <c:delete val="0"/>
        <c:axPos val="l"/>
        <c:majorGridlines>
          <c:spPr>
            <a:ln w="9525" cap="flat" cmpd="sng" algn="ctr">
              <a:solidFill>
                <a:schemeClr val="bg2">
                  <a:lumMod val="9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IL"/>
          </a:p>
        </c:txPr>
        <c:crossAx val="612969464"/>
        <c:crosses val="autoZero"/>
        <c:crossBetween val="between"/>
        <c:maj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nchor="b" anchorCtr="0"/>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pivotSource>
    <c:name>[Live day trading 2 fixed.xlsx]Notes!PivotTable3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ln w="28575" cap="rnd">
            <a:solidFill>
              <a:schemeClr val="accent2"/>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circle"/>
          <c:size val="5"/>
          <c:spPr>
            <a:solidFill>
              <a:schemeClr val="accent2"/>
            </a:solidFill>
            <a:ln w="9525">
              <a:solidFill>
                <a:schemeClr val="accent1"/>
              </a:solidFill>
            </a:ln>
            <a:effectLst/>
          </c:spPr>
        </c:marker>
      </c:pivotFmt>
      <c:pivotFmt>
        <c:idx val="2"/>
        <c:spPr>
          <a:ln w="28575" cap="rnd">
            <a:solidFill>
              <a:schemeClr val="accent2"/>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10110535283539333"/>
          <c:y val="0.24309540421371378"/>
          <c:w val="0.88150275256072752"/>
          <c:h val="0.70205749597755973"/>
        </c:manualLayout>
      </c:layout>
      <c:lineChart>
        <c:grouping val="standard"/>
        <c:varyColors val="0"/>
        <c:ser>
          <c:idx val="0"/>
          <c:order val="0"/>
          <c:tx>
            <c:strRef>
              <c:f>Notes!$AA$4</c:f>
              <c:strCache>
                <c:ptCount val="1"/>
                <c:pt idx="0">
                  <c:v>סה"כ</c:v>
                </c:pt>
              </c:strCache>
            </c:strRef>
          </c:tx>
          <c:spPr>
            <a:ln w="28575" cap="rnd">
              <a:solidFill>
                <a:schemeClr val="accent2"/>
              </a:solidFill>
              <a:round/>
            </a:ln>
            <a:effectLst/>
          </c:spPr>
          <c:marker>
            <c:symbol val="circle"/>
            <c:size val="5"/>
            <c:spPr>
              <a:solidFill>
                <a:schemeClr val="accent1"/>
              </a:solidFill>
              <a:ln w="9525">
                <a:solidFill>
                  <a:schemeClr val="accent1"/>
                </a:solidFill>
              </a:ln>
              <a:effectLst/>
            </c:spPr>
          </c:marker>
          <c:dPt>
            <c:idx val="6"/>
            <c:marker>
              <c:symbol val="circle"/>
              <c:size val="5"/>
              <c:spPr>
                <a:solidFill>
                  <a:schemeClr val="accent1"/>
                </a:solidFill>
                <a:ln w="9525">
                  <a:solidFill>
                    <a:schemeClr val="accent1"/>
                  </a:solidFill>
                </a:ln>
                <a:effectLst/>
              </c:spPr>
            </c:marker>
            <c:bubble3D val="0"/>
            <c:spPr>
              <a:ln w="28575" cap="rnd">
                <a:solidFill>
                  <a:schemeClr val="accent2"/>
                </a:solidFill>
                <a:round/>
              </a:ln>
              <a:effectLst/>
            </c:spPr>
            <c:extLst>
              <c:ext xmlns:c16="http://schemas.microsoft.com/office/drawing/2014/chart" uri="{C3380CC4-5D6E-409C-BE32-E72D297353CC}">
                <c16:uniqueId val="{00000001-BD6E-49AE-A955-12719828741F}"/>
              </c:ext>
            </c:extLst>
          </c:dPt>
          <c:cat>
            <c:strRef>
              <c:f>Notes!$Z$5:$Z$101</c:f>
              <c:strCache>
                <c:ptCount val="9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strCache>
            </c:strRef>
          </c:cat>
          <c:val>
            <c:numRef>
              <c:f>Notes!$AA$5:$AA$101</c:f>
              <c:numCache>
                <c:formatCode>General</c:formatCode>
                <c:ptCount val="96"/>
                <c:pt idx="0">
                  <c:v>51.96</c:v>
                </c:pt>
                <c:pt idx="1">
                  <c:v>111.84</c:v>
                </c:pt>
                <c:pt idx="2">
                  <c:v>67.28</c:v>
                </c:pt>
                <c:pt idx="3">
                  <c:v>25.310000000000002</c:v>
                </c:pt>
                <c:pt idx="4">
                  <c:v>81.91</c:v>
                </c:pt>
                <c:pt idx="5">
                  <c:v>136.84</c:v>
                </c:pt>
                <c:pt idx="6">
                  <c:v>181.78</c:v>
                </c:pt>
                <c:pt idx="7">
                  <c:v>146.76</c:v>
                </c:pt>
                <c:pt idx="8">
                  <c:v>126.16999999999999</c:v>
                </c:pt>
                <c:pt idx="9">
                  <c:v>80.389999999999986</c:v>
                </c:pt>
                <c:pt idx="10">
                  <c:v>34.529999999999987</c:v>
                </c:pt>
                <c:pt idx="11">
                  <c:v>-10.38000000000001</c:v>
                </c:pt>
                <c:pt idx="12">
                  <c:v>-45.190000000000012</c:v>
                </c:pt>
                <c:pt idx="13">
                  <c:v>-61.820000000000007</c:v>
                </c:pt>
                <c:pt idx="14">
                  <c:v>-99.52000000000001</c:v>
                </c:pt>
                <c:pt idx="15">
                  <c:v>-148.04000000000002</c:v>
                </c:pt>
                <c:pt idx="16">
                  <c:v>-173.76000000000002</c:v>
                </c:pt>
                <c:pt idx="17">
                  <c:v>-196.91000000000003</c:v>
                </c:pt>
                <c:pt idx="18">
                  <c:v>-208.12000000000003</c:v>
                </c:pt>
                <c:pt idx="19">
                  <c:v>-228.39000000000004</c:v>
                </c:pt>
                <c:pt idx="20">
                  <c:v>-241.25400000000005</c:v>
                </c:pt>
                <c:pt idx="21">
                  <c:v>-196.29400000000004</c:v>
                </c:pt>
                <c:pt idx="22">
                  <c:v>-223.90400000000005</c:v>
                </c:pt>
                <c:pt idx="23">
                  <c:v>-241.36400000000006</c:v>
                </c:pt>
                <c:pt idx="24">
                  <c:v>-255.40400000000005</c:v>
                </c:pt>
                <c:pt idx="25">
                  <c:v>-240.25400000000005</c:v>
                </c:pt>
                <c:pt idx="26">
                  <c:v>-260.99400000000003</c:v>
                </c:pt>
                <c:pt idx="27">
                  <c:v>-239.16400000000004</c:v>
                </c:pt>
                <c:pt idx="28">
                  <c:v>-265.09400000000005</c:v>
                </c:pt>
                <c:pt idx="29">
                  <c:v>-288.72400000000005</c:v>
                </c:pt>
                <c:pt idx="30">
                  <c:v>-306.80400000000003</c:v>
                </c:pt>
                <c:pt idx="31">
                  <c:v>-278.83400000000006</c:v>
                </c:pt>
                <c:pt idx="32">
                  <c:v>-251.37400000000005</c:v>
                </c:pt>
                <c:pt idx="33">
                  <c:v>-268.91400000000004</c:v>
                </c:pt>
                <c:pt idx="34">
                  <c:v>-285.96400000000006</c:v>
                </c:pt>
                <c:pt idx="35">
                  <c:v>-307.98400000000004</c:v>
                </c:pt>
                <c:pt idx="36">
                  <c:v>-329.79400000000004</c:v>
                </c:pt>
                <c:pt idx="37">
                  <c:v>-346.76400000000001</c:v>
                </c:pt>
                <c:pt idx="38">
                  <c:v>-362.80400000000003</c:v>
                </c:pt>
                <c:pt idx="39">
                  <c:v>-338.85400000000004</c:v>
                </c:pt>
                <c:pt idx="40">
                  <c:v>-353.42400000000004</c:v>
                </c:pt>
                <c:pt idx="41">
                  <c:v>-334.88400000000001</c:v>
                </c:pt>
                <c:pt idx="42">
                  <c:v>-356.154</c:v>
                </c:pt>
                <c:pt idx="43">
                  <c:v>-370.024</c:v>
                </c:pt>
                <c:pt idx="44">
                  <c:v>-346.06400000000002</c:v>
                </c:pt>
                <c:pt idx="45">
                  <c:v>-320.09400000000005</c:v>
                </c:pt>
                <c:pt idx="46">
                  <c:v>-334.01400000000007</c:v>
                </c:pt>
                <c:pt idx="47">
                  <c:v>-347.37400000000008</c:v>
                </c:pt>
                <c:pt idx="48">
                  <c:v>-363.63400000000007</c:v>
                </c:pt>
                <c:pt idx="49">
                  <c:v>-374.94400000000007</c:v>
                </c:pt>
                <c:pt idx="50">
                  <c:v>-352.01400000000007</c:v>
                </c:pt>
                <c:pt idx="51">
                  <c:v>-376.68400000000008</c:v>
                </c:pt>
                <c:pt idx="52">
                  <c:v>-351.0440000000001</c:v>
                </c:pt>
                <c:pt idx="53">
                  <c:v>-324.06400000000008</c:v>
                </c:pt>
                <c:pt idx="54">
                  <c:v>-349.17400000000009</c:v>
                </c:pt>
                <c:pt idx="55">
                  <c:v>-321.20400000000006</c:v>
                </c:pt>
                <c:pt idx="56">
                  <c:v>-296.78400000000005</c:v>
                </c:pt>
                <c:pt idx="57">
                  <c:v>-319.78400000000005</c:v>
                </c:pt>
                <c:pt idx="58">
                  <c:v>-343.78400000000005</c:v>
                </c:pt>
                <c:pt idx="59">
                  <c:v>-315.94400000000007</c:v>
                </c:pt>
                <c:pt idx="60">
                  <c:v>-291.94400000000007</c:v>
                </c:pt>
                <c:pt idx="61">
                  <c:v>-314.4140000000001</c:v>
                </c:pt>
                <c:pt idx="62">
                  <c:v>-284.93400000000008</c:v>
                </c:pt>
                <c:pt idx="63">
                  <c:v>-295.52400000000006</c:v>
                </c:pt>
                <c:pt idx="64">
                  <c:v>-267.54400000000004</c:v>
                </c:pt>
                <c:pt idx="65">
                  <c:v>-290.58400000000006</c:v>
                </c:pt>
                <c:pt idx="66">
                  <c:v>-310.04400000000004</c:v>
                </c:pt>
                <c:pt idx="67">
                  <c:v>-331.33400000000006</c:v>
                </c:pt>
                <c:pt idx="68">
                  <c:v>-355.95400000000006</c:v>
                </c:pt>
                <c:pt idx="69">
                  <c:v>-330.25400000000008</c:v>
                </c:pt>
                <c:pt idx="70">
                  <c:v>-305.17400000000009</c:v>
                </c:pt>
                <c:pt idx="71">
                  <c:v>-331.78400000000011</c:v>
                </c:pt>
                <c:pt idx="72">
                  <c:v>-356.82400000000013</c:v>
                </c:pt>
                <c:pt idx="73">
                  <c:v>-377.30400000000014</c:v>
                </c:pt>
                <c:pt idx="74">
                  <c:v>-354.40400000000017</c:v>
                </c:pt>
                <c:pt idx="75">
                  <c:v>-375.85400000000016</c:v>
                </c:pt>
                <c:pt idx="76">
                  <c:v>-404.53400000000016</c:v>
                </c:pt>
                <c:pt idx="77">
                  <c:v>-424.20400000000018</c:v>
                </c:pt>
                <c:pt idx="78">
                  <c:v>-437.91400000000016</c:v>
                </c:pt>
                <c:pt idx="79">
                  <c:v>-458.23400000000015</c:v>
                </c:pt>
                <c:pt idx="80">
                  <c:v>-433.19400000000013</c:v>
                </c:pt>
                <c:pt idx="81">
                  <c:v>-405.71400000000011</c:v>
                </c:pt>
                <c:pt idx="82">
                  <c:v>-432.75400000000013</c:v>
                </c:pt>
                <c:pt idx="83">
                  <c:v>-405.73400000000015</c:v>
                </c:pt>
                <c:pt idx="84">
                  <c:v>-432.38400000000013</c:v>
                </c:pt>
                <c:pt idx="85">
                  <c:v>-454.14400000000012</c:v>
                </c:pt>
                <c:pt idx="86">
                  <c:v>-477.12400000000014</c:v>
                </c:pt>
                <c:pt idx="87">
                  <c:v>-498.80400000000014</c:v>
                </c:pt>
                <c:pt idx="88">
                  <c:v>-470.46400000000017</c:v>
                </c:pt>
                <c:pt idx="89">
                  <c:v>-491.00400000000019</c:v>
                </c:pt>
                <c:pt idx="90">
                  <c:v>-463.60400000000021</c:v>
                </c:pt>
                <c:pt idx="91">
                  <c:v>-442.52400000000023</c:v>
                </c:pt>
                <c:pt idx="92">
                  <c:v>-415.03400000000022</c:v>
                </c:pt>
                <c:pt idx="93">
                  <c:v>-392.42400000000021</c:v>
                </c:pt>
                <c:pt idx="94">
                  <c:v>-362.46400000000023</c:v>
                </c:pt>
                <c:pt idx="95">
                  <c:v>-372.7440000000002</c:v>
                </c:pt>
              </c:numCache>
            </c:numRef>
          </c:val>
          <c:smooth val="0"/>
          <c:extLst>
            <c:ext xmlns:c16="http://schemas.microsoft.com/office/drawing/2014/chart" uri="{C3380CC4-5D6E-409C-BE32-E72D297353CC}">
              <c16:uniqueId val="{00000000-BD6E-49AE-A955-12719828741F}"/>
            </c:ext>
          </c:extLst>
        </c:ser>
        <c:dLbls>
          <c:showLegendKey val="0"/>
          <c:showVal val="0"/>
          <c:showCatName val="0"/>
          <c:showSerName val="0"/>
          <c:showPercent val="0"/>
          <c:showBubbleSize val="0"/>
        </c:dLbls>
        <c:marker val="1"/>
        <c:smooth val="0"/>
        <c:axId val="612969464"/>
        <c:axId val="612969136"/>
      </c:lineChart>
      <c:catAx>
        <c:axId val="61296946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900" b="0" i="0" u="none" strike="noStrike" kern="1200" baseline="0">
                <a:solidFill>
                  <a:schemeClr val="tx1"/>
                </a:solidFill>
                <a:latin typeface="+mn-lt"/>
                <a:ea typeface="+mn-ea"/>
                <a:cs typeface="+mn-cs"/>
              </a:defRPr>
            </a:pPr>
            <a:endParaRPr lang="en-IL"/>
          </a:p>
        </c:txPr>
        <c:crossAx val="612969136"/>
        <c:crosses val="autoZero"/>
        <c:auto val="1"/>
        <c:lblAlgn val="ctr"/>
        <c:lblOffset val="100"/>
        <c:noMultiLvlLbl val="0"/>
      </c:catAx>
      <c:valAx>
        <c:axId val="612969136"/>
        <c:scaling>
          <c:orientation val="minMax"/>
        </c:scaling>
        <c:delete val="0"/>
        <c:axPos val="l"/>
        <c:majorGridlines>
          <c:spPr>
            <a:ln w="9525" cap="flat" cmpd="sng" algn="ctr">
              <a:solidFill>
                <a:schemeClr val="bg2">
                  <a:lumMod val="9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IL"/>
          </a:p>
        </c:txPr>
        <c:crossAx val="612969464"/>
        <c:crosses val="autoZero"/>
        <c:crossBetween val="between"/>
        <c:maj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nchor="b" anchorCtr="0"/>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pivotSource>
    <c:name>[Live day trading 2 fixed.xlsx]lvl 2 Notes!PivotTable2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'lvl 2 Notes'!$C$10</c:f>
              <c:strCache>
                <c:ptCount val="1"/>
                <c:pt idx="0">
                  <c:v>סה"כ</c:v>
                </c:pt>
              </c:strCache>
            </c:strRef>
          </c:tx>
          <c:spPr>
            <a:solidFill>
              <a:schemeClr val="accent1"/>
            </a:solidFill>
            <a:ln>
              <a:noFill/>
            </a:ln>
            <a:effectLst/>
          </c:spPr>
          <c:invertIfNegative val="0"/>
          <c:cat>
            <c:strRef>
              <c:f>'lvl 2 Notes'!$B$11:$B$107</c:f>
              <c:strCache>
                <c:ptCount val="9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strCache>
            </c:strRef>
          </c:cat>
          <c:val>
            <c:numRef>
              <c:f>'lvl 2 Notes'!$C$11:$C$107</c:f>
              <c:numCache>
                <c:formatCode>General</c:formatCode>
                <c:ptCount val="96"/>
                <c:pt idx="0">
                  <c:v>-0.8000000000000036</c:v>
                </c:pt>
                <c:pt idx="1">
                  <c:v>0</c:v>
                </c:pt>
                <c:pt idx="2">
                  <c:v>-1.8000000000000036</c:v>
                </c:pt>
                <c:pt idx="3">
                  <c:v>-1.9666666666666559</c:v>
                </c:pt>
                <c:pt idx="4">
                  <c:v>0</c:v>
                </c:pt>
                <c:pt idx="5">
                  <c:v>-0.25000000000000555</c:v>
                </c:pt>
                <c:pt idx="6">
                  <c:v>-1.1666666666666643</c:v>
                </c:pt>
                <c:pt idx="7">
                  <c:v>-1.6499999999999988</c:v>
                </c:pt>
                <c:pt idx="8">
                  <c:v>-1.9</c:v>
                </c:pt>
                <c:pt idx="9">
                  <c:v>-2.0800000000000005</c:v>
                </c:pt>
                <c:pt idx="10">
                  <c:v>-1.8566666666666816</c:v>
                </c:pt>
                <c:pt idx="11">
                  <c:v>-2.1333333333332543</c:v>
                </c:pt>
                <c:pt idx="12">
                  <c:v>-1.6</c:v>
                </c:pt>
                <c:pt idx="13">
                  <c:v>-1.7799999999999978</c:v>
                </c:pt>
                <c:pt idx="14">
                  <c:v>-2.7461139896373106</c:v>
                </c:pt>
                <c:pt idx="15">
                  <c:v>-2.1724999999999977</c:v>
                </c:pt>
                <c:pt idx="16">
                  <c:v>-2.2000000000000055</c:v>
                </c:pt>
                <c:pt idx="17">
                  <c:v>-2</c:v>
                </c:pt>
                <c:pt idx="18">
                  <c:v>-1.4705882352941182</c:v>
                </c:pt>
                <c:pt idx="19">
                  <c:v>-1.7777777777777772</c:v>
                </c:pt>
                <c:pt idx="20">
                  <c:v>-0.88</c:v>
                </c:pt>
                <c:pt idx="21">
                  <c:v>-1.771428571428576</c:v>
                </c:pt>
                <c:pt idx="22">
                  <c:v>-2.3599999999999852</c:v>
                </c:pt>
                <c:pt idx="23">
                  <c:v>-1.5800000000000092</c:v>
                </c:pt>
                <c:pt idx="24">
                  <c:v>-1</c:v>
                </c:pt>
                <c:pt idx="25">
                  <c:v>3.9999999999995733E-2</c:v>
                </c:pt>
                <c:pt idx="26">
                  <c:v>-1.6666666666666765</c:v>
                </c:pt>
                <c:pt idx="27">
                  <c:v>-0.53333333333332944</c:v>
                </c:pt>
                <c:pt idx="28">
                  <c:v>-2.1799999999999686</c:v>
                </c:pt>
                <c:pt idx="29">
                  <c:v>-2.3200000000000016</c:v>
                </c:pt>
                <c:pt idx="30">
                  <c:v>-1.3999999999999928</c:v>
                </c:pt>
                <c:pt idx="31">
                  <c:v>-1</c:v>
                </c:pt>
                <c:pt idx="32">
                  <c:v>-1</c:v>
                </c:pt>
                <c:pt idx="33">
                  <c:v>-1.4500000000000266</c:v>
                </c:pt>
                <c:pt idx="34">
                  <c:v>-1.4999999999999645</c:v>
                </c:pt>
                <c:pt idx="35">
                  <c:v>-2</c:v>
                </c:pt>
                <c:pt idx="36">
                  <c:v>-2</c:v>
                </c:pt>
                <c:pt idx="37">
                  <c:v>-2</c:v>
                </c:pt>
                <c:pt idx="38">
                  <c:v>-1.4000000000000106</c:v>
                </c:pt>
                <c:pt idx="39">
                  <c:v>0</c:v>
                </c:pt>
                <c:pt idx="40">
                  <c:v>-1.2666666666666646</c:v>
                </c:pt>
                <c:pt idx="41">
                  <c:v>-0.35335689045936158</c:v>
                </c:pt>
                <c:pt idx="42">
                  <c:v>-2.1735537190082637</c:v>
                </c:pt>
                <c:pt idx="43">
                  <c:v>-1.1800000000000075</c:v>
                </c:pt>
                <c:pt idx="44">
                  <c:v>-0.66666666666666663</c:v>
                </c:pt>
                <c:pt idx="45">
                  <c:v>-0.40000000000000357</c:v>
                </c:pt>
                <c:pt idx="46">
                  <c:v>-1.6000000000000012</c:v>
                </c:pt>
                <c:pt idx="47">
                  <c:v>-1.1608391608391588</c:v>
                </c:pt>
                <c:pt idx="48">
                  <c:v>-1.8666666666666691</c:v>
                </c:pt>
                <c:pt idx="49">
                  <c:v>-0.87179487179487425</c:v>
                </c:pt>
                <c:pt idx="50">
                  <c:v>-0.33333333333337278</c:v>
                </c:pt>
                <c:pt idx="51">
                  <c:v>-1.7599999999999587</c:v>
                </c:pt>
                <c:pt idx="52">
                  <c:v>-1.4000000000000354</c:v>
                </c:pt>
                <c:pt idx="53">
                  <c:v>-1.0999999999999983</c:v>
                </c:pt>
                <c:pt idx="54">
                  <c:v>-2.2800000000000056</c:v>
                </c:pt>
                <c:pt idx="55">
                  <c:v>-1.6000000000000028</c:v>
                </c:pt>
                <c:pt idx="56">
                  <c:v>-0.93333333333333923</c:v>
                </c:pt>
                <c:pt idx="57">
                  <c:v>-2.3333333333333925</c:v>
                </c:pt>
                <c:pt idx="58">
                  <c:v>-2.1333333333333386</c:v>
                </c:pt>
                <c:pt idx="59">
                  <c:v>-1.7000000000000053</c:v>
                </c:pt>
                <c:pt idx="60">
                  <c:v>-1.6666666666666765</c:v>
                </c:pt>
                <c:pt idx="61">
                  <c:v>-2.0666666666666651</c:v>
                </c:pt>
                <c:pt idx="62">
                  <c:v>-0.4500000000000009</c:v>
                </c:pt>
                <c:pt idx="63">
                  <c:v>-0.8666666666666698</c:v>
                </c:pt>
                <c:pt idx="64">
                  <c:v>0</c:v>
                </c:pt>
                <c:pt idx="65">
                  <c:v>-2.3331389050912792</c:v>
                </c:pt>
                <c:pt idx="66">
                  <c:v>-2.0000000000000147</c:v>
                </c:pt>
                <c:pt idx="67">
                  <c:v>-2.1333333333333178</c:v>
                </c:pt>
                <c:pt idx="68">
                  <c:v>-2.1749999999999918</c:v>
                </c:pt>
                <c:pt idx="69">
                  <c:v>-0.25000000000000183</c:v>
                </c:pt>
                <c:pt idx="70">
                  <c:v>0</c:v>
                </c:pt>
                <c:pt idx="71">
                  <c:v>-2.2285714285714278</c:v>
                </c:pt>
                <c:pt idx="72">
                  <c:v>-2.2499999999999947</c:v>
                </c:pt>
                <c:pt idx="73">
                  <c:v>-1.9999999999999705</c:v>
                </c:pt>
                <c:pt idx="74">
                  <c:v>-0.16666666666669627</c:v>
                </c:pt>
                <c:pt idx="75">
                  <c:v>-2.1499999999999981</c:v>
                </c:pt>
                <c:pt idx="76">
                  <c:v>-2.6400000000000499</c:v>
                </c:pt>
                <c:pt idx="77">
                  <c:v>-1.7500000000000056</c:v>
                </c:pt>
                <c:pt idx="78">
                  <c:v>-0.85999999999999843</c:v>
                </c:pt>
                <c:pt idx="79">
                  <c:v>-1.966666666666663</c:v>
                </c:pt>
                <c:pt idx="80">
                  <c:v>-0.33333333333333137</c:v>
                </c:pt>
                <c:pt idx="81">
                  <c:v>-0.64000000000000057</c:v>
                </c:pt>
                <c:pt idx="82">
                  <c:v>-2.6666666666666665</c:v>
                </c:pt>
                <c:pt idx="83">
                  <c:v>-0.53333333333333255</c:v>
                </c:pt>
                <c:pt idx="84">
                  <c:v>-2.166666666666647</c:v>
                </c:pt>
                <c:pt idx="85">
                  <c:v>-2.3799999999999897</c:v>
                </c:pt>
                <c:pt idx="86">
                  <c:v>-2.0900000000000039</c:v>
                </c:pt>
                <c:pt idx="87">
                  <c:v>-1.9714285714285682</c:v>
                </c:pt>
                <c:pt idx="88">
                  <c:v>0</c:v>
                </c:pt>
                <c:pt idx="89">
                  <c:v>-1.8500000000000072</c:v>
                </c:pt>
                <c:pt idx="90">
                  <c:v>-1.7176470588235306</c:v>
                </c:pt>
                <c:pt idx="91">
                  <c:v>-0.28571428571428392</c:v>
                </c:pt>
                <c:pt idx="92">
                  <c:v>-0.30000000000000354</c:v>
                </c:pt>
                <c:pt idx="93">
                  <c:v>-0.69999999999999774</c:v>
                </c:pt>
                <c:pt idx="94">
                  <c:v>-1.2500000000000056</c:v>
                </c:pt>
                <c:pt idx="95">
                  <c:v>-0.83333333333333137</c:v>
                </c:pt>
              </c:numCache>
            </c:numRef>
          </c:val>
          <c:extLst>
            <c:ext xmlns:c16="http://schemas.microsoft.com/office/drawing/2014/chart" uri="{C3380CC4-5D6E-409C-BE32-E72D297353CC}">
              <c16:uniqueId val="{00000000-D023-4261-9FA8-6122CECB4998}"/>
            </c:ext>
          </c:extLst>
        </c:ser>
        <c:dLbls>
          <c:showLegendKey val="0"/>
          <c:showVal val="0"/>
          <c:showCatName val="0"/>
          <c:showSerName val="0"/>
          <c:showPercent val="0"/>
          <c:showBubbleSize val="0"/>
        </c:dLbls>
        <c:gapWidth val="219"/>
        <c:overlap val="-27"/>
        <c:axId val="282828720"/>
        <c:axId val="282829048"/>
      </c:barChart>
      <c:catAx>
        <c:axId val="28282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282829048"/>
        <c:crosses val="autoZero"/>
        <c:auto val="1"/>
        <c:lblAlgn val="ctr"/>
        <c:lblOffset val="100"/>
        <c:noMultiLvlLbl val="0"/>
      </c:catAx>
      <c:valAx>
        <c:axId val="282829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28282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545951</xdr:colOff>
      <xdr:row>14</xdr:row>
      <xdr:rowOff>114301</xdr:rowOff>
    </xdr:from>
    <xdr:to>
      <xdr:col>13</xdr:col>
      <xdr:colOff>1013460</xdr:colOff>
      <xdr:row>33</xdr:row>
      <xdr:rowOff>175260</xdr:rowOff>
    </xdr:to>
    <xdr:graphicFrame macro="">
      <xdr:nvGraphicFramePr>
        <xdr:cNvPr id="4" name="תרשים 3">
          <a:extLst>
            <a:ext uri="{FF2B5EF4-FFF2-40B4-BE49-F238E27FC236}">
              <a16:creationId xmlns:a16="http://schemas.microsoft.com/office/drawing/2014/main" id="{0AFA0A32-6716-4D8F-AB30-88FCDECCAE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99060</xdr:colOff>
      <xdr:row>24</xdr:row>
      <xdr:rowOff>38100</xdr:rowOff>
    </xdr:from>
    <xdr:to>
      <xdr:col>22</xdr:col>
      <xdr:colOff>708660</xdr:colOff>
      <xdr:row>48</xdr:row>
      <xdr:rowOff>91440</xdr:rowOff>
    </xdr:to>
    <xdr:graphicFrame macro="">
      <xdr:nvGraphicFramePr>
        <xdr:cNvPr id="2" name="תרשים 1">
          <a:extLst>
            <a:ext uri="{FF2B5EF4-FFF2-40B4-BE49-F238E27FC236}">
              <a16:creationId xmlns:a16="http://schemas.microsoft.com/office/drawing/2014/main" id="{2823F39E-9E1B-476B-8FA1-2241E11A9B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373380</xdr:colOff>
      <xdr:row>4</xdr:row>
      <xdr:rowOff>129540</xdr:rowOff>
    </xdr:from>
    <xdr:to>
      <xdr:col>11</xdr:col>
      <xdr:colOff>68580</xdr:colOff>
      <xdr:row>19</xdr:row>
      <xdr:rowOff>129540</xdr:rowOff>
    </xdr:to>
    <xdr:graphicFrame macro="">
      <xdr:nvGraphicFramePr>
        <xdr:cNvPr id="3" name="תרשים 2">
          <a:extLst>
            <a:ext uri="{FF2B5EF4-FFF2-40B4-BE49-F238E27FC236}">
              <a16:creationId xmlns:a16="http://schemas.microsoft.com/office/drawing/2014/main" id="{D76D9377-DE7B-40A1-A7F2-97FCF73788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ran nochumsohn" refreshedDate="43550.827504398148" createdVersion="6" refreshedVersion="6" minRefreshableVersion="3" recordCount="96" xr:uid="{100F9A84-A1C9-49C0-BB25-A0EBE6EFBC09}">
  <cacheSource type="worksheet">
    <worksheetSource name="TABLE1"/>
  </cacheSource>
  <cacheFields count="80">
    <cacheField name="Instrument" numFmtId="0">
      <sharedItems/>
    </cacheField>
    <cacheField name="No" numFmtId="0">
      <sharedItems containsSemiMixedTypes="0" containsString="0" containsNumber="1" minValue="0.1" maxValue="96" count="97">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0.1" u="1"/>
      </sharedItems>
    </cacheField>
    <cacheField name="Entry Date" numFmtId="165">
      <sharedItems containsDate="1" containsMixedTypes="1" minDate="2018-12-13T00:00:00" maxDate="2019-03-12T00:00:00"/>
    </cacheField>
    <cacheField name="Entry Time" numFmtId="164">
      <sharedItems containsSemiMixedTypes="0" containsNonDate="0" containsDate="1" containsString="0" minDate="1899-12-30T09:40:00" maxDate="1899-12-30T11:28:00"/>
    </cacheField>
    <cacheField name="Exit Time" numFmtId="164">
      <sharedItems containsSemiMixedTypes="0" containsNonDate="0" containsDate="1" containsString="0" minDate="1899-12-30T09:42:00" maxDate="1899-12-30T14:33:00"/>
    </cacheField>
    <cacheField name="Comissions" numFmtId="0">
      <sharedItems containsSemiMixedTypes="0" containsString="0" containsNumber="1" minValue="0" maxValue="6.15"/>
    </cacheField>
    <cacheField name="Gain/Loss" numFmtId="0">
      <sharedItems containsSemiMixedTypes="0" containsString="0" containsNumber="1" minValue="-43.45" maxValue="61.92"/>
    </cacheField>
    <cacheField name="Quantity" numFmtId="0">
      <sharedItems containsSemiMixedTypes="0" containsString="0" containsNumber="1" containsInteger="1" minValue="10" maxValue="600"/>
    </cacheField>
    <cacheField name="Setup" numFmtId="0">
      <sharedItems/>
    </cacheField>
    <cacheField name="Buy/Sell" numFmtId="0">
      <sharedItems/>
    </cacheField>
    <cacheField name="Intended Entry" numFmtId="0">
      <sharedItems containsSemiMixedTypes="0" containsString="0" containsNumber="1" minValue="0.629" maxValue="25.88"/>
    </cacheField>
    <cacheField name="Entry Price" numFmtId="0">
      <sharedItems containsSemiMixedTypes="0" containsString="0" containsNumber="1" minValue="0.63" maxValue="25.88"/>
    </cacheField>
    <cacheField name="SL Price" numFmtId="0">
      <sharedItems containsSemiMixedTypes="0" containsString="0" containsNumber="1" minValue="0.60950000000000004" maxValue="25.03"/>
    </cacheField>
    <cacheField name="TP Price" numFmtId="0">
      <sharedItems containsSemiMixedTypes="0" containsString="0" containsNumber="1" minValue="0.67600000000000005" maxValue="28.82"/>
    </cacheField>
    <cacheField name="Exit Price" numFmtId="0">
      <sharedItems containsSemiMixedTypes="0" containsString="0" containsNumber="1" minValue="0.61299999999999999" maxValue="28.82"/>
    </cacheField>
    <cacheField name="Highest Price" numFmtId="0">
      <sharedItems containsSemiMixedTypes="0" containsString="0" containsNumber="1" minValue="0.67889999999999995" maxValue="28.82"/>
    </cacheField>
    <cacheField name="Lowest Price" numFmtId="0">
      <sharedItems containsSemiMixedTypes="0" containsString="0" containsNumber="1" minValue="0.61299999999999999" maxValue="24.42"/>
    </cacheField>
    <cacheField name="Price Before BE" numFmtId="0">
      <sharedItems containsMixedTypes="1" containsNumber="1" minValue="0.67889999999999995" maxValue="27.73"/>
    </cacheField>
    <cacheField name="Potential Price" numFmtId="0">
      <sharedItems containsSemiMixedTypes="0" containsString="0" containsNumber="1" minValue="0.67889999999999995" maxValue="64"/>
    </cacheField>
    <cacheField name="Pattern SL" numFmtId="0">
      <sharedItems containsMixedTypes="1" containsNumber="1" minValue="1.29" maxValue="8.27"/>
    </cacheField>
    <cacheField name="Retest Price" numFmtId="0">
      <sharedItems containsMixedTypes="1" containsNumber="1" minValue="0.64500000000000002" maxValue="24.22"/>
    </cacheField>
    <cacheField name="TP Hit" numFmtId="0">
      <sharedItems/>
    </cacheField>
    <cacheField name="Back to BE" numFmtId="0">
      <sharedItems containsBlank="1"/>
    </cacheField>
    <cacheField name="Volume Exit" numFmtId="0">
      <sharedItems containsMixedTypes="1" containsNumber="1" minValue="0.62" maxValue="32.97"/>
    </cacheField>
    <cacheField name="Volume Exit RRR Reach" numFmtId="0">
      <sharedItems containsBlank="1" containsMixedTypes="1" containsNumber="1" containsInteger="1" minValue="4" maxValue="5"/>
    </cacheField>
    <cacheField name="Volume Exit BE" numFmtId="0">
      <sharedItems containsBlank="1" containsMixedTypes="1" containsNumber="1" minValue="1" maxValue="1.5"/>
    </cacheField>
    <cacheField name="TL Exit" numFmtId="0">
      <sharedItems containsMixedTypes="1" containsNumber="1" minValue="0.66" maxValue="32.97"/>
    </cacheField>
    <cacheField name="TL Exit RRR Reach" numFmtId="0">
      <sharedItems containsBlank="1" containsMixedTypes="1" containsNumber="1" containsInteger="1" minValue="4" maxValue="5"/>
    </cacheField>
    <cacheField name="TL Exit BE" numFmtId="0">
      <sharedItems containsBlank="1" containsMixedTypes="1" containsNumber="1" minValue="1" maxValue="1.5"/>
    </cacheField>
    <cacheField name="Wick Exit" numFmtId="0">
      <sharedItems containsMixedTypes="1" containsNumber="1" minValue="0.67" maxValue="11.12"/>
    </cacheField>
    <cacheField name="Price Behaviour" numFmtId="0">
      <sharedItems containsBlank="1" count="6">
        <s v="Strong BO"/>
        <s v="Quick SL"/>
        <s v="Fast Reversal"/>
        <s v="Moderate Move"/>
        <s v="Stuck and Slow"/>
        <m u="1"/>
      </sharedItems>
    </cacheField>
    <cacheField name="VPA" numFmtId="0">
      <sharedItems containsBlank="1" count="5">
        <s v="Good"/>
        <s v="NONE"/>
        <s v="Medium"/>
        <s v="Bad"/>
        <m u="1"/>
      </sharedItems>
    </cacheField>
    <cacheField name="Secotor" numFmtId="0">
      <sharedItems/>
    </cacheField>
    <cacheField name="Float" numFmtId="0">
      <sharedItems containsString="0" containsBlank="1" containsNumber="1" minValue="1.08" maxValue="1490" count="72">
        <m/>
        <n v="3.91"/>
        <n v="101"/>
        <n v="4.55"/>
        <n v="42.4"/>
        <n v="10.65"/>
        <n v="6.38"/>
        <n v="3.42"/>
        <n v="1.08"/>
        <n v="30.91"/>
        <n v="15"/>
        <n v="24.22"/>
        <n v="5.65"/>
        <n v="58.41"/>
        <n v="1.49"/>
        <n v="54"/>
        <n v="249"/>
        <n v="25"/>
        <n v="51.76"/>
        <n v="40"/>
        <n v="49.8"/>
        <n v="114"/>
        <n v="38"/>
        <n v="4.08"/>
        <n v="433"/>
        <n v="91"/>
        <n v="9.98"/>
        <n v="107"/>
        <n v="57"/>
        <n v="156"/>
        <n v="11.45"/>
        <n v="142"/>
        <n v="26.9"/>
        <n v="87.88"/>
        <n v="26"/>
        <n v="7.04"/>
        <n v="75.3"/>
        <n v="27"/>
        <n v="921"/>
        <n v="1002"/>
        <n v="35"/>
        <n v="61"/>
        <n v="6.03"/>
        <n v="1490"/>
        <n v="13.83"/>
        <n v="171"/>
        <n v="37.4"/>
        <n v="32.6"/>
        <n v="112"/>
        <n v="102"/>
        <n v="172"/>
        <n v="198"/>
        <n v="5.77"/>
        <n v="24.71"/>
        <n v="3.4"/>
        <n v="74"/>
        <n v="962"/>
        <n v="178"/>
        <n v="226"/>
        <n v="37.97"/>
        <n v="3.18"/>
        <n v="2.11"/>
        <n v="4.5199999999999996"/>
        <n v="85.7"/>
        <n v="23"/>
        <n v="12.61"/>
        <n v="2.54"/>
        <n v="5.98"/>
        <n v="3.78"/>
        <n v="33.869999999999997"/>
        <n v="76.11"/>
        <n v="33.9"/>
      </sharedItems>
    </cacheField>
    <cacheField name="SPX" numFmtId="0">
      <sharedItems containsBlank="1"/>
    </cacheField>
    <cacheField name="Catalyst" numFmtId="0">
      <sharedItems containsBlank="1"/>
    </cacheField>
    <cacheField name="Picture" numFmtId="0">
      <sharedItems containsBlank="1"/>
    </cacheField>
    <cacheField name="RRR Planned" numFmtId="0">
      <sharedItems containsSemiMixedTypes="0" containsString="0" containsNumber="1" minValue="2.3999999999999502" maxValue="3.7142857142856962"/>
    </cacheField>
    <cacheField name="RRR in-trade" numFmtId="0">
      <sharedItems containsSemiMixedTypes="0" containsString="0" containsNumber="1" minValue="-4.6666666666664379E-2" maxValue="3.4588235294117751"/>
    </cacheField>
    <cacheField name="Negative RRR in-trade" numFmtId="167">
      <sharedItems containsSemiMixedTypes="0" containsString="0" containsNumber="1" minValue="-2.7461139896373106" maxValue="3.9999999999995733E-2"/>
    </cacheField>
    <cacheField name="Outcome" numFmtId="0">
      <sharedItems count="2">
        <s v="WINNER"/>
        <s v="LOSER"/>
      </sharedItems>
    </cacheField>
    <cacheField name="Net Gain/Loss" numFmtId="0">
      <sharedItems containsSemiMixedTypes="0" containsString="0" containsNumber="1" minValue="-48.52" maxValue="59.88"/>
    </cacheField>
    <cacheField name="Time" numFmtId="21">
      <sharedItems containsSemiMixedTypes="0" containsNonDate="0" containsDate="1" containsString="0" minDate="1899-12-30T00:00:00" maxDate="1899-12-30T04:22:00" count="41">
        <d v="1899-12-30T00:03:00"/>
        <d v="1899-12-30T00:00:00"/>
        <d v="1899-12-30T00:08:00"/>
        <d v="1899-12-30T00:01:00"/>
        <d v="1899-12-30T01:00:00"/>
        <d v="1899-12-30T00:19:00"/>
        <d v="1899-12-30T03:26:00"/>
        <d v="1899-12-30T00:02:00"/>
        <d v="1899-12-30T00:14:00"/>
        <d v="1899-12-30T00:36:00"/>
        <d v="1899-12-30T00:06:00"/>
        <d v="1899-12-30T00:33:00"/>
        <d v="1899-12-30T00:13:00"/>
        <d v="1899-12-30T00:07:00"/>
        <d v="1899-12-30T02:54:00"/>
        <d v="1899-12-30T00:32:00"/>
        <d v="1899-12-30T00:05:00"/>
        <d v="1899-12-30T01:58:00"/>
        <d v="1899-12-30T00:20:00"/>
        <d v="1899-12-30T00:21:00"/>
        <d v="1899-12-30T00:12:00"/>
        <d v="1899-12-30T01:50:00"/>
        <d v="1899-12-30T00:17:00"/>
        <d v="1899-12-30T00:34:00"/>
        <d v="1899-12-30T00:10:00"/>
        <d v="1899-12-30T00:31:00"/>
        <d v="1899-12-30T00:30:00"/>
        <d v="1899-12-30T01:24:00"/>
        <d v="1899-12-30T00:09:00"/>
        <d v="1899-12-30T00:43:00"/>
        <d v="1899-12-30T00:50:00"/>
        <d v="1899-12-30T04:22:00"/>
        <d v="1899-12-30T00:24:00"/>
        <d v="1899-12-30T00:15:00"/>
        <d v="1899-12-30T00:27:00"/>
        <d v="1899-12-30T00:11:00"/>
        <d v="1899-12-30T00:29:00"/>
        <d v="1899-12-30T00:16:00"/>
        <d v="1899-12-30T00:18:00"/>
        <d v="1899-12-30T00:39:00"/>
        <d v="1899-12-30T00:04:00"/>
      </sharedItems>
      <fieldGroup par="79" base="42">
        <rangePr groupBy="minutes" startDate="1899-12-30T00:00:00" endDate="1899-12-30T04:22: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RRR Closing Price" numFmtId="167">
      <sharedItems containsMixedTypes="1" containsNumber="1" minValue="-2.1200999999999999" maxValue="-0.52"/>
    </cacheField>
    <cacheField name="Sum Gain" numFmtId="0">
      <sharedItems containsSemiMixedTypes="0" containsString="0" containsNumber="1" minValue="-498.80400000000014" maxValue="181.78"/>
    </cacheField>
    <cacheField name="Hard RRR Before BE" numFmtId="0">
      <sharedItems containsMixedTypes="1" containsNumber="1" minValue="-1.9666666666666559" maxValue="12.700000000000049"/>
    </cacheField>
    <cacheField name="Missed RRR on Entry" numFmtId="0">
      <sharedItems containsSemiMixedTypes="0" containsString="0" containsNumber="1" minValue="-0.4" maxValue="0.83333333333333171"/>
    </cacheField>
    <cacheField name="Missed RRR on Exit" numFmtId="0">
      <sharedItems containsSemiMixedTypes="0" containsString="0" containsNumber="1" minValue="-0.4599999999999978" maxValue="1.6666666666667258"/>
    </cacheField>
    <cacheField name="Missed RRR" numFmtId="167">
      <sharedItems containsSemiMixedTypes="0" containsString="0" containsNumber="1" minValue="-0.48000000000000004" maxValue="1.7305699481865349"/>
    </cacheField>
    <cacheField name="RRR Potential" numFmtId="167">
      <sharedItems containsSemiMixedTypes="0" containsString="0" containsNumber="1" minValue="-4.6699999999999998E-2" maxValue="44.847099999999998"/>
    </cacheField>
    <cacheField name="Hard RRR Potential" numFmtId="167">
      <sharedItems containsSemiMixedTypes="0" containsString="0" containsNumber="1" minValue="-0.33329999999999999" maxValue="44.847099999999998"/>
    </cacheField>
    <cacheField name="RRR Realized" numFmtId="0">
      <sharedItems containsSemiMixedTypes="0" containsString="0" containsNumber="1" minValue="-2.7305999999999999" maxValue="3.4588000000000001"/>
    </cacheField>
    <cacheField name="RRR 5" numFmtId="0">
      <sharedItems containsSemiMixedTypes="0" containsString="0" containsNumber="1" minValue="-2.7305999999999999" maxValue="5.1500000000000066"/>
    </cacheField>
    <cacheField name="RRR 5 with BE at 1R" numFmtId="0">
      <sharedItems containsSemiMixedTypes="0" containsString="0" containsNumber="1" minValue="-2.64" maxValue="5.1500000000000066"/>
    </cacheField>
    <cacheField name="RRR 5 with BE at 1.5R " numFmtId="0">
      <sharedItems containsSemiMixedTypes="0" containsString="0" containsNumber="1" minValue="-2.64" maxValue="5.1500000000000066"/>
    </cacheField>
    <cacheField name="RRR 5  Fast Reversal at 0" numFmtId="0">
      <sharedItems containsSemiMixedTypes="0" containsString="0" containsNumber="1" minValue="-2.7305999999999999" maxValue="5.1500000000000066"/>
    </cacheField>
    <cacheField name="RRR 5 Fast Reversal at 1" numFmtId="0">
      <sharedItems containsSemiMixedTypes="0" containsString="0" containsNumber="1" minValue="-2.7305999999999999" maxValue="5.1500000000000066"/>
    </cacheField>
    <cacheField name="RRR 5 Fast Reversal at 1.5" numFmtId="0">
      <sharedItems containsSemiMixedTypes="0" containsString="0" containsNumber="1" minValue="-2.7305999999999999" maxValue="5.1500000000000066"/>
    </cacheField>
    <cacheField name="RRR 5  Fast Reversal at 2" numFmtId="0">
      <sharedItems containsSemiMixedTypes="0" containsString="0" containsNumber="1" minValue="-2.7305999999999999" maxValue="5.1500000000000066"/>
    </cacheField>
    <cacheField name="RRR 5 1R Fast Reversal at 0" numFmtId="0">
      <sharedItems containsSemiMixedTypes="0" containsString="0" containsNumber="1" minValue="-2.64" maxValue="5.1500000000000066"/>
    </cacheField>
    <cacheField name="RRR 5 1R Fast Reversal at 1" numFmtId="0">
      <sharedItems containsSemiMixedTypes="0" containsString="0" containsNumber="1" minValue="-2.64" maxValue="5.1500000000000066"/>
    </cacheField>
    <cacheField name="RRR 5 1R Fast Reversal at 1.5" numFmtId="0">
      <sharedItems containsSemiMixedTypes="0" containsString="0" containsNumber="1" minValue="-2.64" maxValue="5.1500000000000066"/>
    </cacheField>
    <cacheField name="RRR 5 1R Fast Reversal at 2" numFmtId="0">
      <sharedItems containsSemiMixedTypes="0" containsString="0" containsNumber="1" minValue="-2.64" maxValue="5.1500000000000066"/>
    </cacheField>
    <cacheField name="RRR 5 1.5R Fast Reversal at 0" numFmtId="0">
      <sharedItems containsSemiMixedTypes="0" containsString="0" containsNumber="1" minValue="-2.64" maxValue="5.1500000000000066"/>
    </cacheField>
    <cacheField name="RRR 5 1.5R Fast Reversal at 1" numFmtId="0">
      <sharedItems containsSemiMixedTypes="0" containsString="0" containsNumber="1" minValue="-2.64" maxValue="5.1500000000000066"/>
    </cacheField>
    <cacheField name="RRR 5 1.5R Fast Reversal at 1.5" numFmtId="0">
      <sharedItems containsSemiMixedTypes="0" containsString="0" containsNumber="1" minValue="-2.64" maxValue="5.1500000000000066"/>
    </cacheField>
    <cacheField name="RRR 5 1.5R Fast Reversal at 2" numFmtId="0">
      <sharedItems containsSemiMixedTypes="0" containsString="0" containsNumber="1" minValue="-2.64" maxValue="5.1500000000000066"/>
    </cacheField>
    <cacheField name="RRR 5  with SL at pattern break" numFmtId="0">
      <sharedItems containsSemiMixedTypes="0" containsString="0" containsNumber="1" minValue="-2.7305999999999999" maxValue="5.1500000000000066"/>
    </cacheField>
    <cacheField name="RRR 5 R1 with SL at pattern break" numFmtId="0">
      <sharedItems containsSemiMixedTypes="0" containsString="0" containsNumber="1" minValue="-2.64" maxValue="5.1500000000000066"/>
    </cacheField>
    <cacheField name="RRR 5 R1.5 with SL at pattern break" numFmtId="0">
      <sharedItems containsSemiMixedTypes="0" containsString="0" containsNumber="1" minValue="-2.64" maxValue="5.1500000000000066"/>
    </cacheField>
    <cacheField name="RRR 5  with Volume Exit" numFmtId="0">
      <sharedItems containsSemiMixedTypes="0" containsString="0" containsNumber="1" minValue="-2.6667000000000001" maxValue="5.133333333333332"/>
    </cacheField>
    <cacheField name="RRR 5 R1 with Volume Exit" numFmtId="0">
      <sharedItems containsSemiMixedTypes="0" containsString="0" containsNumber="1" minValue="-2.64" maxValue="5.0952380952380976"/>
    </cacheField>
    <cacheField name="RRR 5 R1.5 with Volume Exit" numFmtId="0">
      <sharedItems containsSemiMixedTypes="0" containsString="0" containsNumber="1" minValue="-2.64" maxValue="5.0952380952380976"/>
    </cacheField>
    <cacheField name=" with Volume Exit" numFmtId="0">
      <sharedItems containsSemiMixedTypes="0" containsString="0" containsNumber="1" minValue="-2.6667000000000001" maxValue="10.200000000000044"/>
    </cacheField>
    <cacheField name="R1 with Volume Exit" numFmtId="0">
      <sharedItems containsSemiMixedTypes="0" containsString="0" containsNumber="1" minValue="-2.64" maxValue="10.200000000000044"/>
    </cacheField>
    <cacheField name=" R1.5 with Volume Exit" numFmtId="0">
      <sharedItems containsSemiMixedTypes="0" containsString="0" containsNumber="1" minValue="-2.64" maxValue="10.200000000000044"/>
    </cacheField>
    <cacheField name="RRR 5 Wick Exit" numFmtId="0">
      <sharedItems containsSemiMixedTypes="0" containsString="0" containsNumber="1" minValue="-2.6667000000000001" maxValue="5.1500000000000066"/>
    </cacheField>
    <cacheField name="RRR 5 1R Wick Exit" numFmtId="0">
      <sharedItems containsSemiMixedTypes="0" containsString="0" containsNumber="1" minValue="-2.64" maxValue="5.1500000000000066"/>
    </cacheField>
    <cacheField name="RRR 5 1.5R Wick Exit" numFmtId="0">
      <sharedItems containsSemiMixedTypes="0" containsString="0" containsNumber="1" minValue="-2.64" maxValue="5.1500000000000066"/>
    </cacheField>
    <cacheField name="שעות" numFmtId="0" databaseField="0">
      <fieldGroup base="42">
        <rangePr groupBy="hours" startDate="1899-12-30T00:00:00" endDate="1899-12-30T04:22:00"/>
        <groupItems count="26">
          <s v="&lt;00/01/1900"/>
          <s v="0"/>
          <s v="1"/>
          <s v="2"/>
          <s v="3"/>
          <s v="4"/>
          <s v="5"/>
          <s v="6"/>
          <s v="7"/>
          <s v="8"/>
          <s v="9"/>
          <s v="10"/>
          <s v="11"/>
          <s v="12"/>
          <s v="13"/>
          <s v="14"/>
          <s v="15"/>
          <s v="16"/>
          <s v="17"/>
          <s v="18"/>
          <s v="19"/>
          <s v="20"/>
          <s v="21"/>
          <s v="22"/>
          <s v="23"/>
          <s v="&gt;00/01/190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
  <r>
    <s v="YECO"/>
    <x v="0"/>
    <d v="2018-12-13T00:00:00"/>
    <d v="1899-12-30T09:56:00"/>
    <d v="1899-12-30T09:59:00"/>
    <n v="2.04"/>
    <n v="54"/>
    <n v="200"/>
    <s v="BO"/>
    <s v="BUY"/>
    <n v="5.3"/>
    <n v="5.32"/>
    <n v="5.2"/>
    <n v="5.6"/>
    <n v="5.6"/>
    <n v="5.6"/>
    <n v="5.24"/>
    <n v="6.57"/>
    <n v="6.58"/>
    <b v="0"/>
    <b v="0"/>
    <b v="1"/>
    <m/>
    <n v="6"/>
    <n v="5"/>
    <b v="0"/>
    <n v="5.9"/>
    <n v="5"/>
    <b v="0"/>
    <b v="0"/>
    <x v="0"/>
    <x v="0"/>
    <s v="Industial Goods"/>
    <x v="0"/>
    <s v="(-0.6%)-(-0.4%)"/>
    <s v="C"/>
    <s v="YECO_+3.png"/>
    <n v="3.0000000000000089"/>
    <n v="2.8000000000000034"/>
    <n v="-0.8000000000000036"/>
    <x v="0"/>
    <n v="51.96"/>
    <x v="0"/>
    <s v="FALSE"/>
    <n v="51.96"/>
    <n v="12.700000000000049"/>
    <n v="0.20000000000000528"/>
    <n v="0"/>
    <n v="0.20000000000000528"/>
    <n v="12.6"/>
    <n v="12.8"/>
    <n v="2.8"/>
    <n v="4.7999999999999945"/>
    <n v="4.7999999999999945"/>
    <n v="4.7999999999999945"/>
    <n v="4.7999999999999945"/>
    <n v="4.7999999999999945"/>
    <n v="4.7999999999999945"/>
    <n v="4.7999999999999945"/>
    <n v="4.7999999999999945"/>
    <n v="4.7999999999999945"/>
    <n v="4.7999999999999945"/>
    <n v="4.7999999999999945"/>
    <n v="4.7999999999999945"/>
    <n v="4.7999999999999945"/>
    <n v="4.7999999999999945"/>
    <n v="4.7999999999999945"/>
    <n v="4.7999999999999945"/>
    <n v="4.7999999999999945"/>
    <n v="4.7999999999999945"/>
    <n v="4.7999999999999945"/>
    <n v="4.7999999999999945"/>
    <n v="4.7999999999999945"/>
    <n v="6.8000000000000211"/>
    <n v="6.8000000000000211"/>
    <n v="6.8000000000000211"/>
    <n v="4.7999999999999945"/>
    <n v="4.7999999999999945"/>
    <n v="4.7999999999999945"/>
  </r>
  <r>
    <s v="YECO"/>
    <x v="1"/>
    <d v="2018-12-13T00:00:00"/>
    <d v="1899-12-30T10:11:00"/>
    <d v="1899-12-30T10:11:00"/>
    <n v="2.04"/>
    <n v="61.92"/>
    <n v="200"/>
    <s v="BO"/>
    <s v="BUY"/>
    <n v="6.12"/>
    <n v="6.11"/>
    <n v="6.02"/>
    <n v="6.42"/>
    <n v="6.42"/>
    <n v="6.42"/>
    <n v="6.11"/>
    <n v="6.57"/>
    <n v="6.58"/>
    <b v="0"/>
    <b v="0"/>
    <b v="1"/>
    <m/>
    <n v="6.4"/>
    <n v="4"/>
    <b v="0"/>
    <b v="0"/>
    <n v="4"/>
    <m/>
    <b v="0"/>
    <x v="0"/>
    <x v="0"/>
    <s v="Industial Goods"/>
    <x v="0"/>
    <s v="(-0.6%)-(-0.4%)"/>
    <s v="C"/>
    <s v="YECO_+3.png"/>
    <n v="2.9999999999999822"/>
    <n v="3.0999999999999797"/>
    <n v="0"/>
    <x v="0"/>
    <n v="59.88"/>
    <x v="1"/>
    <s v="FALSE"/>
    <n v="111.84"/>
    <n v="4.4999999999999778"/>
    <n v="-9.9999999999997313E-2"/>
    <n v="0"/>
    <n v="-9.9999999999997313E-2"/>
    <n v="4.7"/>
    <n v="4.5999999999999996"/>
    <n v="3.1"/>
    <n v="-0.90000000000000269"/>
    <n v="9.9999999999997313E-2"/>
    <n v="9.9999999999997313E-2"/>
    <n v="-0.90000000000000269"/>
    <n v="-0.90000000000000269"/>
    <n v="-0.90000000000000269"/>
    <n v="-0.90000000000000269"/>
    <n v="9.9999999999997313E-2"/>
    <n v="9.9999999999997313E-2"/>
    <n v="9.9999999999997313E-2"/>
    <n v="9.9999999999997313E-2"/>
    <n v="9.9999999999997313E-2"/>
    <n v="9.9999999999997313E-2"/>
    <n v="9.9999999999997313E-2"/>
    <n v="9.9999999999997313E-2"/>
    <n v="-0.90000000000000269"/>
    <n v="9.9999999999997313E-2"/>
    <n v="9.9999999999997313E-2"/>
    <n v="2.8999999999999848"/>
    <n v="2.8999999999999848"/>
    <n v="2.8999999999999848"/>
    <n v="2.8999999999999848"/>
    <n v="2.8999999999999848"/>
    <n v="2.8999999999999848"/>
    <n v="-0.90000000000000269"/>
    <n v="9.9999999999997313E-2"/>
    <n v="9.9999999999997313E-2"/>
  </r>
  <r>
    <s v="ALQA"/>
    <x v="2"/>
    <d v="2018-12-14T00:00:00"/>
    <d v="1899-12-30T10:21:00"/>
    <d v="1899-12-30T10:29:00"/>
    <n v="4.5599999999999996"/>
    <n v="-40"/>
    <n v="400"/>
    <s v="BO"/>
    <s v="BUY"/>
    <n v="3.26"/>
    <n v="3.25"/>
    <n v="3.21"/>
    <n v="3.4099999999999997"/>
    <n v="3.1599999999999997"/>
    <n v="3.31"/>
    <n v="3.16"/>
    <n v="3.31"/>
    <n v="3.31"/>
    <b v="0"/>
    <b v="0"/>
    <b v="0"/>
    <m/>
    <b v="0"/>
    <m/>
    <m/>
    <b v="0"/>
    <m/>
    <m/>
    <b v="0"/>
    <x v="1"/>
    <x v="1"/>
    <s v="Healthcare"/>
    <x v="1"/>
    <s v="(-1%)-(-0.8%)"/>
    <s v="H"/>
    <s v="alqa_-2.png"/>
    <n v="3.0000000000000089"/>
    <n v="1.2000000000000053"/>
    <n v="-1.8000000000000036"/>
    <x v="1"/>
    <n v="-44.56"/>
    <x v="2"/>
    <s v="FALSE"/>
    <n v="67.28"/>
    <n v="1.0000000000000089"/>
    <n v="-0.1999999999999964"/>
    <n v="1.0000000000000089"/>
    <n v="0.80000000000001248"/>
    <n v="1.2"/>
    <n v="1"/>
    <n v="-1.8"/>
    <n v="-1.8"/>
    <n v="0.1999999999999964"/>
    <n v="-1.8"/>
    <n v="-1.8"/>
    <n v="-1.8"/>
    <n v="-1.8"/>
    <n v="-1.8"/>
    <n v="0.1999999999999964"/>
    <n v="0.1999999999999964"/>
    <n v="0.1999999999999964"/>
    <n v="0.1999999999999964"/>
    <n v="-1.8"/>
    <n v="-1.8"/>
    <n v="-1.8"/>
    <n v="-1.8"/>
    <n v="-1.8"/>
    <n v="0.1999999999999964"/>
    <n v="-1.8"/>
    <n v="-1.8"/>
    <n v="0.1999999999999964"/>
    <n v="-1.8"/>
    <n v="-1.8"/>
    <n v="0.1999999999999964"/>
    <n v="-1.8"/>
    <n v="-1.8"/>
    <n v="0.1999999999999964"/>
    <n v="-1.8"/>
  </r>
  <r>
    <s v="AGEN"/>
    <x v="3"/>
    <d v="2018-12-20T00:00:00"/>
    <d v="1899-12-30T09:46:00"/>
    <d v="1899-12-30T09:47:00"/>
    <n v="6.09"/>
    <n v="-35.880000000000003"/>
    <n v="600"/>
    <s v="BO"/>
    <s v="SELL"/>
    <n v="2.5499999999999998"/>
    <n v="2.5499999999999998"/>
    <n v="2.58"/>
    <n v="2.46"/>
    <n v="2.609"/>
    <n v="2.609"/>
    <n v="2.5499999999999998"/>
    <n v="2.609"/>
    <n v="2.5499999999999998"/>
    <b v="0"/>
    <b v="0"/>
    <b v="0"/>
    <m/>
    <b v="0"/>
    <m/>
    <m/>
    <b v="0"/>
    <m/>
    <m/>
    <b v="0"/>
    <x v="2"/>
    <x v="1"/>
    <s v="Healthcare"/>
    <x v="2"/>
    <s v="(-1.5%)-(-1%)"/>
    <s v="C"/>
    <s v="AGEN_-1.png"/>
    <n v="2.9999999999999702"/>
    <n v="0"/>
    <n v="-1.9666666666666559"/>
    <x v="1"/>
    <n v="-41.97"/>
    <x v="3"/>
    <s v="FALSE"/>
    <n v="25.310000000000002"/>
    <n v="-1.9666666666666559"/>
    <n v="0"/>
    <n v="0.96666666666665579"/>
    <n v="0.96666666666665579"/>
    <n v="0"/>
    <n v="0"/>
    <n v="-1.9666999999999999"/>
    <n v="-1.9666999999999999"/>
    <n v="-1.9666999999999999"/>
    <n v="-1.9666999999999999"/>
    <n v="-1.9666999999999999"/>
    <n v="-1.9666999999999999"/>
    <n v="-1.9666999999999999"/>
    <n v="-1.9666999999999999"/>
    <n v="-1.9666999999999999"/>
    <n v="-1.9666999999999999"/>
    <n v="-1.9666999999999999"/>
    <n v="-1.9666999999999999"/>
    <n v="-1.9666999999999999"/>
    <n v="-1.9666999999999999"/>
    <n v="-1.9666999999999999"/>
    <n v="-1.9666999999999999"/>
    <n v="-1.9666999999999999"/>
    <n v="-1.9666999999999999"/>
    <n v="-1.9666999999999999"/>
    <n v="-1.9666999999999999"/>
    <n v="-1.9666999999999999"/>
    <n v="-1.9666999999999999"/>
    <n v="-1.9666999999999999"/>
    <n v="-1.9666999999999999"/>
    <n v="-1.9666999999999999"/>
    <n v="-1.9666999999999999"/>
    <n v="-1.9666999999999999"/>
    <n v="-1.9666999999999999"/>
  </r>
  <r>
    <s v="INPX"/>
    <x v="4"/>
    <d v="2018-12-20T00:00:00"/>
    <d v="1899-12-30T10:21:00"/>
    <d v="1899-12-30T10:21:00"/>
    <n v="2.04"/>
    <n v="58.64"/>
    <n v="200"/>
    <s v="BO"/>
    <s v="BUY"/>
    <n v="4.92"/>
    <n v="4.92"/>
    <n v="4.82"/>
    <n v="5.22"/>
    <n v="5.22"/>
    <n v="5.22"/>
    <n v="4.92"/>
    <n v="5.93"/>
    <n v="5.93"/>
    <b v="0"/>
    <b v="0"/>
    <b v="1"/>
    <m/>
    <n v="5.6"/>
    <n v="5"/>
    <b v="0"/>
    <n v="5.5"/>
    <n v="5"/>
    <b v="0"/>
    <b v="0"/>
    <x v="0"/>
    <x v="0"/>
    <s v="Technology"/>
    <x v="3"/>
    <s v="(-1.5%)-(-1%)"/>
    <s v="C"/>
    <s v="inpx_+3.png"/>
    <n v="3.0000000000000089"/>
    <n v="3.0000000000000089"/>
    <n v="0"/>
    <x v="0"/>
    <n v="56.6"/>
    <x v="1"/>
    <s v="FALSE"/>
    <n v="81.91"/>
    <n v="10.100000000000033"/>
    <n v="0"/>
    <n v="0"/>
    <n v="0"/>
    <n v="10.1"/>
    <n v="10.1"/>
    <n v="3"/>
    <n v="5"/>
    <n v="5"/>
    <n v="5"/>
    <n v="5"/>
    <n v="5"/>
    <n v="5"/>
    <n v="5"/>
    <n v="5"/>
    <n v="5"/>
    <n v="5"/>
    <n v="5"/>
    <n v="5"/>
    <n v="5"/>
    <n v="5"/>
    <n v="5"/>
    <n v="5"/>
    <n v="5"/>
    <n v="5"/>
    <n v="5"/>
    <n v="5"/>
    <n v="5"/>
    <n v="6.8000000000000211"/>
    <n v="6.8000000000000211"/>
    <n v="6.8000000000000211"/>
    <n v="5"/>
    <n v="5"/>
    <n v="5"/>
  </r>
  <r>
    <s v="MXWL"/>
    <x v="5"/>
    <d v="2018-12-20T00:00:00"/>
    <d v="1899-12-30T10:03:00"/>
    <d v="1899-12-30T11:03:00"/>
    <n v="5.07"/>
    <n v="60"/>
    <n v="500"/>
    <s v="BO"/>
    <s v="SELL"/>
    <n v="2.0699999999999998"/>
    <n v="2.0699999999999998"/>
    <n v="2.11"/>
    <n v="1.95"/>
    <n v="1.95"/>
    <n v="2.08"/>
    <n v="1.95"/>
    <n v="1.79"/>
    <n v="1.79"/>
    <b v="0"/>
    <b v="0"/>
    <b v="1"/>
    <m/>
    <n v="1.96"/>
    <b v="0"/>
    <b v="0"/>
    <n v="1.97"/>
    <b v="0"/>
    <b v="0"/>
    <b v="0"/>
    <x v="0"/>
    <x v="2"/>
    <s v="Technology"/>
    <x v="4"/>
    <s v="(-1.5%)-(-1%)"/>
    <s v="C"/>
    <s v="mxwl_+.png"/>
    <n v="2.9999999999999947"/>
    <n v="2.9999999999999947"/>
    <n v="-0.25000000000000555"/>
    <x v="0"/>
    <n v="54.93"/>
    <x v="4"/>
    <s v="FALSE"/>
    <n v="136.84"/>
    <n v="6.9999999999999893"/>
    <n v="0"/>
    <n v="0"/>
    <n v="0"/>
    <n v="7"/>
    <n v="7"/>
    <n v="3"/>
    <n v="5"/>
    <n v="5"/>
    <n v="5"/>
    <n v="5"/>
    <n v="5"/>
    <n v="5"/>
    <n v="5"/>
    <n v="5"/>
    <n v="5"/>
    <n v="5"/>
    <n v="5"/>
    <n v="5"/>
    <n v="5"/>
    <n v="5"/>
    <n v="5"/>
    <n v="5"/>
    <n v="5"/>
    <n v="5"/>
    <n v="2.7499999999999947"/>
    <n v="2.7499999999999947"/>
    <n v="2.7499999999999947"/>
    <n v="2.7499999999999947"/>
    <n v="2.7499999999999947"/>
    <n v="2.7499999999999947"/>
    <n v="5"/>
    <n v="5"/>
    <n v="5"/>
  </r>
  <r>
    <s v="DOVA"/>
    <x v="6"/>
    <d v="2018-12-21T00:00:00"/>
    <d v="1899-12-30T10:42:00"/>
    <d v="1899-12-30T11:01:00"/>
    <n v="3.06"/>
    <n v="48"/>
    <n v="300"/>
    <s v="BO"/>
    <s v="BUY"/>
    <n v="6.75"/>
    <n v="6.77"/>
    <n v="6.69"/>
    <n v="6.93"/>
    <n v="6.93"/>
    <n v="6.93"/>
    <n v="6.7"/>
    <n v="6.98"/>
    <n v="6.98"/>
    <b v="0"/>
    <b v="0"/>
    <b v="1"/>
    <m/>
    <n v="6.74"/>
    <b v="0"/>
    <n v="1.5"/>
    <n v="6.79"/>
    <b v="0"/>
    <n v="1.5"/>
    <b v="0"/>
    <x v="0"/>
    <x v="2"/>
    <s v="Healthcare"/>
    <x v="5"/>
    <m/>
    <s v="C"/>
    <s v="dova_+3.png"/>
    <n v="3.0000000000000147"/>
    <n v="2.6666666666666865"/>
    <n v="-1.1666666666666643"/>
    <x v="0"/>
    <n v="44.94"/>
    <x v="5"/>
    <s v="FALSE"/>
    <n v="181.78"/>
    <n v="3.8333333333333655"/>
    <n v="0.33333333333332837"/>
    <n v="0"/>
    <n v="0.33333333333332837"/>
    <n v="3.5"/>
    <n v="3.8332999999999999"/>
    <n v="2.6667000000000001"/>
    <n v="-1.3333333333333284"/>
    <n v="-0.33333333333332837"/>
    <n v="-0.33333333333332837"/>
    <n v="-1.3333333333333284"/>
    <n v="-1.3333333333333284"/>
    <n v="-1.3333333333333284"/>
    <n v="-1.3333333333333284"/>
    <n v="-0.33333333333332837"/>
    <n v="-0.33333333333332837"/>
    <n v="-0.33333333333332837"/>
    <n v="-0.33333333333332837"/>
    <n v="-0.33333333333332837"/>
    <n v="-0.33333333333332837"/>
    <n v="-0.33333333333332837"/>
    <n v="-0.33333333333332837"/>
    <n v="-1.3333333333333284"/>
    <n v="-0.33333333333332837"/>
    <n v="-0.33333333333332837"/>
    <n v="-0.49999999999999262"/>
    <n v="-0.33333333333332837"/>
    <n v="-0.33333333333332837"/>
    <n v="-0.49999999999999262"/>
    <n v="-0.33333333333332837"/>
    <n v="-0.33333333333332837"/>
    <n v="-1.3333333333333284"/>
    <n v="-0.33333333333332837"/>
    <n v="-0.33333333333332837"/>
  </r>
  <r>
    <s v="ADIL"/>
    <x v="7"/>
    <s v="23/21/2018"/>
    <d v="1899-12-30T10:40:00"/>
    <d v="1899-12-30T10:48:00"/>
    <n v="2.02"/>
    <n v="-33"/>
    <n v="100"/>
    <s v="BO"/>
    <s v="BUY"/>
    <n v="6.62"/>
    <n v="6.63"/>
    <n v="6.42"/>
    <n v="7.22"/>
    <n v="6.3"/>
    <n v="6.84"/>
    <n v="6.3"/>
    <n v="6.84"/>
    <n v="6.84"/>
    <b v="0"/>
    <b v="0"/>
    <b v="0"/>
    <m/>
    <b v="0"/>
    <b v="0"/>
    <m/>
    <b v="0"/>
    <m/>
    <m/>
    <b v="0"/>
    <x v="3"/>
    <x v="1"/>
    <s v="Healthcare"/>
    <x v="6"/>
    <s v="2% Above"/>
    <s v="C"/>
    <s v="ADIL_+3.png"/>
    <n v="2.9999999999999956"/>
    <n v="1.0499999999999989"/>
    <n v="-1.6499999999999988"/>
    <x v="1"/>
    <n v="-35.020000000000003"/>
    <x v="2"/>
    <s v="FALSE"/>
    <n v="146.76"/>
    <n v="1.0999999999999979"/>
    <n v="4.9999999999998934E-2"/>
    <n v="0.6"/>
    <n v="0.64999999999999891"/>
    <n v="1.05"/>
    <n v="1.1000000000000001"/>
    <n v="-1.65"/>
    <n v="-1.65"/>
    <n v="-4.9999999999998934E-2"/>
    <n v="-1.65"/>
    <n v="-1.65"/>
    <n v="-1.65"/>
    <n v="-1.65"/>
    <n v="-1.65"/>
    <n v="-4.9999999999998934E-2"/>
    <n v="-4.9999999999998934E-2"/>
    <n v="-4.9999999999998934E-2"/>
    <n v="-4.9999999999998934E-2"/>
    <n v="-1.65"/>
    <n v="-1.65"/>
    <n v="-1.65"/>
    <n v="-1.65"/>
    <n v="-1.65"/>
    <n v="-4.9999999999998934E-2"/>
    <n v="-1.65"/>
    <n v="-1.65"/>
    <n v="-4.9999999999998934E-2"/>
    <n v="-1.65"/>
    <n v="-1.65"/>
    <n v="-4.9999999999998934E-2"/>
    <n v="-1.65"/>
    <n v="-1.65"/>
    <n v="-4.9999999999998934E-2"/>
    <n v="-1.65"/>
  </r>
  <r>
    <s v="QTM"/>
    <x v="8"/>
    <s v="28/21/2018"/>
    <d v="1899-12-30T10:39:00"/>
    <d v="1899-12-30T14:05:00"/>
    <n v="3.04"/>
    <n v="-17.55"/>
    <n v="300"/>
    <s v="BO"/>
    <s v="SELL"/>
    <n v="1.93"/>
    <n v="1.9259999999999999"/>
    <n v="1.99"/>
    <n v="1.75"/>
    <n v="1.99"/>
    <n v="2.04"/>
    <n v="1.88"/>
    <n v="1.88"/>
    <n v="1.88"/>
    <b v="0"/>
    <b v="0"/>
    <b v="0"/>
    <b v="1"/>
    <b v="0"/>
    <m/>
    <m/>
    <b v="0"/>
    <m/>
    <m/>
    <b v="0"/>
    <x v="2"/>
    <x v="2"/>
    <s v="Technology"/>
    <x v="0"/>
    <m/>
    <s v="C"/>
    <s v="qtm_-1.png"/>
    <n v="2.9999999999999964"/>
    <n v="0.76666666666666672"/>
    <n v="-1.9"/>
    <x v="1"/>
    <n v="-20.59"/>
    <x v="6"/>
    <s v="FALSE"/>
    <n v="126.16999999999999"/>
    <n v="0.83333333333333337"/>
    <n v="6.6666666666666652E-2"/>
    <n v="0"/>
    <n v="6.6666666666666652E-2"/>
    <n v="0.76670000000000005"/>
    <n v="0.83330000000000004"/>
    <n v="-1.0667"/>
    <n v="-1.0667"/>
    <n v="-1.0667"/>
    <n v="-1.0667"/>
    <n v="-6.6666666666666652E-2"/>
    <n v="-1.0667"/>
    <n v="-1.0667"/>
    <n v="-1.0667"/>
    <n v="-6.6666666666666652E-2"/>
    <n v="-1.0667"/>
    <n v="-1.0667"/>
    <n v="-1.0667"/>
    <n v="-1.0667"/>
    <n v="-1.0667"/>
    <n v="-1.0667"/>
    <n v="-1.0667"/>
    <n v="-1.0667"/>
    <n v="-1.0667"/>
    <n v="-1.0667"/>
    <n v="-1.0667"/>
    <n v="-1.0667"/>
    <n v="-1.0667"/>
    <n v="-1.0667"/>
    <n v="-1.0667"/>
    <n v="-1.0667"/>
    <n v="-1.0667"/>
    <n v="-1.0667"/>
    <n v="-1.0667"/>
  </r>
  <r>
    <s v="CCCL"/>
    <x v="9"/>
    <d v="2019-01-02T00:00:00"/>
    <d v="1899-12-30T09:44:00"/>
    <d v="1899-12-30T09:45:00"/>
    <n v="4.0599999999999996"/>
    <n v="-41.72"/>
    <n v="400"/>
    <s v="BO"/>
    <s v="BUY"/>
    <n v="2.27"/>
    <n v="2.2639999999999998"/>
    <n v="2.2200000000000002"/>
    <n v="2.42"/>
    <n v="2.16"/>
    <n v="2.2999999999999998"/>
    <n v="2.16"/>
    <n v="2.2999999999999998"/>
    <n v="2.2999999999999998"/>
    <b v="0"/>
    <b v="0"/>
    <b v="0"/>
    <m/>
    <b v="0"/>
    <m/>
    <m/>
    <b v="0"/>
    <m/>
    <m/>
    <b v="0"/>
    <x v="2"/>
    <x v="1"/>
    <s v="Industial Goods"/>
    <x v="7"/>
    <m/>
    <s v="C"/>
    <s v="CCCL -1.png"/>
    <n v="3.0000000000000089"/>
    <n v="0.72000000000000319"/>
    <n v="-2.0800000000000005"/>
    <x v="1"/>
    <n v="-45.78"/>
    <x v="3"/>
    <s v="FALSE"/>
    <n v="80.389999999999986"/>
    <n v="0.5999999999999982"/>
    <n v="-0.12000000000000499"/>
    <n v="1.2000000000000053"/>
    <n v="1.0800000000000003"/>
    <n v="0.72"/>
    <n v="0.6"/>
    <n v="-2.08"/>
    <n v="-2.08"/>
    <n v="-2.08"/>
    <n v="-2.08"/>
    <n v="-2.08"/>
    <n v="-2.08"/>
    <n v="-2.08"/>
    <n v="-2.08"/>
    <n v="-2.08"/>
    <n v="-2.08"/>
    <n v="-2.08"/>
    <n v="-2.08"/>
    <n v="-2.08"/>
    <n v="-2.08"/>
    <n v="-2.08"/>
    <n v="-2.08"/>
    <n v="-2.08"/>
    <n v="-2.08"/>
    <n v="-2.08"/>
    <n v="-2.08"/>
    <n v="-2.08"/>
    <n v="-2.08"/>
    <n v="-2.08"/>
    <n v="-2.08"/>
    <n v="-2.08"/>
    <n v="-2.08"/>
    <n v="-2.08"/>
    <n v="-2.08"/>
  </r>
  <r>
    <s v="PRAN"/>
    <x v="10"/>
    <d v="2019-01-02T00:00:00"/>
    <d v="1899-12-30T09:54:00"/>
    <d v="1899-12-30T09:55:00"/>
    <n v="6.09"/>
    <n v="-39.770000000000003"/>
    <n v="600"/>
    <s v="BO"/>
    <s v="SELL"/>
    <n v="1.87"/>
    <n v="1.8733"/>
    <n v="1.9"/>
    <n v="1.78"/>
    <n v="1.929"/>
    <n v="1.929"/>
    <n v="1.85"/>
    <n v="1.85"/>
    <n v="1.85"/>
    <b v="0"/>
    <b v="0"/>
    <b v="0"/>
    <m/>
    <b v="0"/>
    <m/>
    <m/>
    <b v="0"/>
    <m/>
    <m/>
    <b v="0"/>
    <x v="2"/>
    <x v="1"/>
    <s v="Healthcare"/>
    <x v="8"/>
    <m/>
    <s v="C"/>
    <s v="pran -1.png"/>
    <n v="3.0000000000000222"/>
    <n v="0.77666666666666762"/>
    <n v="-1.8566666666666816"/>
    <x v="1"/>
    <n v="-45.86"/>
    <x v="3"/>
    <s v="FALSE"/>
    <n v="34.529999999999987"/>
    <n v="0.66666666666667163"/>
    <n v="-0.10999999999999599"/>
    <n v="1.0861423220973856"/>
    <n v="0.9761423220973896"/>
    <n v="0.77669999999999995"/>
    <n v="0.66669999999999996"/>
    <n v="-1.8567"/>
    <n v="-1.8567"/>
    <n v="-1.8567"/>
    <n v="-1.8567"/>
    <n v="-1.8567"/>
    <n v="-1.8567"/>
    <n v="-1.8567"/>
    <n v="-1.8567"/>
    <n v="-1.8567"/>
    <n v="-1.8567"/>
    <n v="-1.8567"/>
    <n v="-1.8567"/>
    <n v="-1.8567"/>
    <n v="-1.8567"/>
    <n v="-1.8567"/>
    <n v="-1.8567"/>
    <n v="-1.8567"/>
    <n v="-1.8567"/>
    <n v="-1.8567"/>
    <n v="-1.8567"/>
    <n v="-1.8567"/>
    <n v="-1.8567"/>
    <n v="-1.8567"/>
    <n v="-1.8567"/>
    <n v="-1.8567"/>
    <n v="-1.8567"/>
    <n v="-1.8567"/>
    <n v="-1.8567"/>
  </r>
  <r>
    <s v="MRT"/>
    <x v="11"/>
    <d v="2019-01-02T00:00:00"/>
    <d v="1899-12-30T10:10:00"/>
    <d v="1899-12-30T10:12:00"/>
    <n v="6.15"/>
    <n v="-38.76"/>
    <n v="600"/>
    <s v="BO"/>
    <s v="BUY"/>
    <n v="9.89"/>
    <n v="9.8840000000000003"/>
    <n v="9.86"/>
    <n v="9.98"/>
    <n v="9.82"/>
    <n v="9.9"/>
    <n v="9.82"/>
    <n v="9.9"/>
    <n v="9.9"/>
    <b v="0"/>
    <b v="0"/>
    <b v="0"/>
    <m/>
    <b v="0"/>
    <m/>
    <m/>
    <b v="0"/>
    <m/>
    <m/>
    <n v="9.8699999999999992"/>
    <x v="2"/>
    <x v="1"/>
    <s v="Services"/>
    <x v="9"/>
    <m/>
    <s v="H"/>
    <s v="MRT -1.png"/>
    <n v="2.9999999999998814"/>
    <n v="0.53333333333331356"/>
    <n v="-2.1333333333332543"/>
    <x v="1"/>
    <n v="-44.91"/>
    <x v="7"/>
    <s v="FALSE"/>
    <n v="-10.38000000000001"/>
    <n v="0.33333333333331361"/>
    <n v="-0.19999999999999996"/>
    <n v="1.3333333333332544"/>
    <n v="1.1333333333332545"/>
    <n v="0.5333"/>
    <n v="0.33329999999999999"/>
    <n v="-2.1333000000000002"/>
    <n v="-2.1333000000000002"/>
    <n v="-2.1333000000000002"/>
    <n v="-2.1333000000000002"/>
    <n v="-2.1333000000000002"/>
    <n v="-2.1333000000000002"/>
    <n v="-2.1333000000000002"/>
    <n v="-2.1333000000000002"/>
    <n v="-2.1333000000000002"/>
    <n v="-2.1333000000000002"/>
    <n v="-2.1333000000000002"/>
    <n v="-2.1333000000000002"/>
    <n v="-2.1333000000000002"/>
    <n v="-2.1333000000000002"/>
    <n v="-2.1333000000000002"/>
    <n v="-2.1333000000000002"/>
    <n v="-2.1333000000000002"/>
    <n v="-2.1333000000000002"/>
    <n v="-2.1333000000000002"/>
    <n v="-2.1333000000000002"/>
    <n v="-2.1333000000000002"/>
    <n v="-2.1333000000000002"/>
    <n v="-2.1333000000000002"/>
    <n v="-2.1333000000000002"/>
    <n v="-2.1333000000000002"/>
    <n v="-0.46666666666668638"/>
    <n v="-0.46666666666668638"/>
    <n v="-0.46666666666668638"/>
  </r>
  <r>
    <s v="PRAN"/>
    <x v="12"/>
    <d v="2019-01-02T00:00:00"/>
    <d v="1899-12-30T10:19:00"/>
    <d v="1899-12-30T10:27:00"/>
    <n v="4.0599999999999996"/>
    <n v="-30.75"/>
    <n v="400"/>
    <s v="BO"/>
    <s v="SELL"/>
    <n v="1.9"/>
    <n v="1.92"/>
    <n v="1.95"/>
    <n v="1.75"/>
    <n v="1.996"/>
    <n v="2"/>
    <n v="1.9"/>
    <n v="1.9"/>
    <n v="1.9"/>
    <b v="0"/>
    <b v="0"/>
    <b v="0"/>
    <b v="1"/>
    <b v="0"/>
    <m/>
    <m/>
    <b v="0"/>
    <m/>
    <m/>
    <b v="0"/>
    <x v="2"/>
    <x v="3"/>
    <s v="Healthcare"/>
    <x v="8"/>
    <m/>
    <s v="C"/>
    <s v="pran -1.png"/>
    <n v="2.9999999999999956"/>
    <n v="0.4"/>
    <n v="-1.6"/>
    <x v="1"/>
    <n v="-34.81"/>
    <x v="2"/>
    <s v="FALSE"/>
    <n v="-45.190000000000012"/>
    <n v="0"/>
    <n v="-0.4"/>
    <n v="1.5333333333333334"/>
    <n v="1.1333333333333333"/>
    <n v="0.4"/>
    <n v="0"/>
    <n v="-1.52"/>
    <n v="-1.52"/>
    <n v="-1.52"/>
    <n v="-1.52"/>
    <n v="0.4"/>
    <n v="-1.52"/>
    <n v="-1.52"/>
    <n v="-1.52"/>
    <n v="0.4"/>
    <n v="-1.52"/>
    <n v="-1.52"/>
    <n v="-1.52"/>
    <n v="-1.52"/>
    <n v="-1.52"/>
    <n v="-1.52"/>
    <n v="-1.52"/>
    <n v="-1.52"/>
    <n v="-1.52"/>
    <n v="-1.52"/>
    <n v="-1.52"/>
    <n v="-1.52"/>
    <n v="-1.52"/>
    <n v="-1.52"/>
    <n v="-1.52"/>
    <n v="-1.52"/>
    <n v="-1.52"/>
    <n v="-1.52"/>
    <n v="-1.52"/>
  </r>
  <r>
    <s v="CCCL"/>
    <x v="13"/>
    <d v="2019-01-04T00:00:00"/>
    <d v="1899-12-30T09:46:00"/>
    <d v="1899-12-30T09:54:00"/>
    <n v="4.0599999999999996"/>
    <n v="-12.57"/>
    <n v="400"/>
    <s v="BO"/>
    <s v="BUY"/>
    <n v="1.79"/>
    <n v="1.7889999999999999"/>
    <n v="1.74"/>
    <n v="1.94"/>
    <n v="1.7629999999999999"/>
    <n v="1.87"/>
    <n v="1.7"/>
    <n v="1.87"/>
    <n v="1.87"/>
    <b v="0"/>
    <n v="1.7629999999999999"/>
    <b v="0"/>
    <b v="1"/>
    <b v="0"/>
    <m/>
    <m/>
    <b v="0"/>
    <m/>
    <m/>
    <b v="0"/>
    <x v="2"/>
    <x v="1"/>
    <s v="Industial Goods"/>
    <x v="7"/>
    <m/>
    <s v="H"/>
    <s v="cccl_-1.png"/>
    <n v="2.9999999999999956"/>
    <n v="1.6200000000000023"/>
    <n v="-1.7799999999999978"/>
    <x v="1"/>
    <n v="-16.63"/>
    <x v="2"/>
    <n v="-0.52"/>
    <n v="-61.820000000000007"/>
    <n v="1.6"/>
    <n v="-2.0000000000002238E-2"/>
    <n v="-0.4599999999999978"/>
    <n v="-0.48000000000000004"/>
    <n v="1.62"/>
    <n v="1.6"/>
    <n v="-0.52"/>
    <n v="-0.52"/>
    <n v="2.0000000000002238E-2"/>
    <n v="2.0000000000002238E-2"/>
    <n v="2.0000000000002238E-2"/>
    <n v="-0.52"/>
    <n v="-0.52"/>
    <n v="-0.52"/>
    <n v="2.0000000000002238E-2"/>
    <n v="2.0000000000002238E-2"/>
    <n v="2.0000000000002238E-2"/>
    <n v="2.0000000000002238E-2"/>
    <n v="2.0000000000002238E-2"/>
    <n v="2.0000000000002238E-2"/>
    <n v="2.0000000000002238E-2"/>
    <n v="2.0000000000002238E-2"/>
    <n v="-0.52"/>
    <n v="2.0000000000002238E-2"/>
    <n v="2.0000000000002238E-2"/>
    <n v="-0.52"/>
    <n v="2.0000000000002238E-2"/>
    <n v="2.0000000000002238E-2"/>
    <n v="-0.52"/>
    <n v="2.0000000000002238E-2"/>
    <n v="2.0000000000002238E-2"/>
    <n v="-0.52"/>
    <n v="2.0000000000002238E-2"/>
    <n v="2.0000000000002238E-2"/>
  </r>
  <r>
    <s v="FLKS"/>
    <x v="14"/>
    <d v="2019-01-04T00:00:00"/>
    <d v="1899-12-30T10:00:00"/>
    <d v="1899-12-30T10:14:00"/>
    <n v="6.08"/>
    <n v="-31.62"/>
    <n v="600"/>
    <s v="BO"/>
    <s v="BUY"/>
    <n v="0.66930000000000001"/>
    <n v="0.67500000000000004"/>
    <n v="0.65"/>
    <n v="0.72719999999999996"/>
    <n v="0.62229999999999996"/>
    <n v="0.7"/>
    <n v="0.622"/>
    <n v="0.7"/>
    <n v="0.7"/>
    <b v="0"/>
    <b v="0"/>
    <b v="0"/>
    <m/>
    <n v="0.67"/>
    <b v="0"/>
    <n v="1"/>
    <n v="0.66"/>
    <b v="0"/>
    <n v="1"/>
    <n v="0.67"/>
    <x v="0"/>
    <x v="2"/>
    <s v="Healthcare"/>
    <x v="10"/>
    <m/>
    <s v="C"/>
    <s v="FLKS_-1.png"/>
    <n v="3"/>
    <n v="1.2953367875647632"/>
    <n v="-2.7461139896373106"/>
    <x v="1"/>
    <n v="-37.700000000000003"/>
    <x v="8"/>
    <s v="FALSE"/>
    <n v="-99.52000000000001"/>
    <n v="1.5906735751295324"/>
    <n v="0.295336787564769"/>
    <n v="1.4352331606217659"/>
    <n v="1.7305699481865349"/>
    <n v="1.2952999999999999"/>
    <n v="1.5907"/>
    <n v="-2.7305999999999999"/>
    <n v="-2.7305999999999999"/>
    <n v="-0.295336787564769"/>
    <n v="-0.295336787564769"/>
    <n v="-2.7305999999999999"/>
    <n v="-2.7305999999999999"/>
    <n v="-2.7305999999999999"/>
    <n v="-2.7305999999999999"/>
    <n v="-0.295336787564769"/>
    <n v="-0.295336787564769"/>
    <n v="-0.295336787564769"/>
    <n v="-0.295336787564769"/>
    <n v="-0.295336787564769"/>
    <n v="-0.295336787564769"/>
    <n v="-0.295336787564769"/>
    <n v="-0.295336787564769"/>
    <n v="-2.7305999999999999"/>
    <n v="-0.295336787564769"/>
    <n v="-0.295336787564769"/>
    <n v="-0.25906735751295379"/>
    <n v="-0.295336787564769"/>
    <n v="-0.25906735751295379"/>
    <n v="-0.25906735751295379"/>
    <n v="-0.295336787564769"/>
    <n v="-0.25906735751295379"/>
    <n v="-0.25906735751295379"/>
    <n v="-0.25906735751295379"/>
    <n v="-0.25906735751295379"/>
  </r>
  <r>
    <s v="CCCL"/>
    <x v="15"/>
    <d v="2019-01-04T00:00:00"/>
    <d v="1899-12-30T10:10:00"/>
    <d v="1899-12-30T10:29:00"/>
    <n v="5.07"/>
    <n v="-43.45"/>
    <n v="500"/>
    <s v="BO"/>
    <s v="BUY"/>
    <n v="1.83"/>
    <n v="1.8369"/>
    <n v="1.79"/>
    <n v="1.9500000000000002"/>
    <n v="1.75"/>
    <n v="1.9"/>
    <n v="1.75"/>
    <n v="1.9"/>
    <n v="1.9"/>
    <n v="1.84"/>
    <b v="0"/>
    <b v="0"/>
    <m/>
    <b v="0"/>
    <m/>
    <m/>
    <b v="0"/>
    <m/>
    <m/>
    <b v="0"/>
    <x v="0"/>
    <x v="0"/>
    <s v="Industial Goods"/>
    <x v="7"/>
    <m/>
    <s v="H"/>
    <s v="cccl_-1.png"/>
    <n v="3"/>
    <n v="1.577499999999997"/>
    <n v="-2.1724999999999977"/>
    <x v="1"/>
    <n v="-48.52"/>
    <x v="5"/>
    <s v="FALSE"/>
    <n v="-148.04000000000002"/>
    <n v="1.7499999999999944"/>
    <n v="0.17249999999999743"/>
    <n v="1"/>
    <n v="1.1724999999999974"/>
    <n v="1.5774999999999999"/>
    <n v="1.75"/>
    <n v="-2.1724999999999999"/>
    <n v="-2.1724999999999999"/>
    <n v="-0.17249999999999743"/>
    <n v="-0.17249999999999743"/>
    <n v="-2.1724999999999999"/>
    <n v="-2.1724999999999999"/>
    <n v="-2.1724999999999999"/>
    <n v="-2.1724999999999999"/>
    <n v="-0.17249999999999743"/>
    <n v="-0.17249999999999743"/>
    <n v="-0.17249999999999743"/>
    <n v="-0.17249999999999743"/>
    <n v="-0.17249999999999743"/>
    <n v="-0.17249999999999743"/>
    <n v="-0.17249999999999743"/>
    <n v="-0.17249999999999743"/>
    <n v="7.7500000000002497E-2"/>
    <n v="7.7500000000002497E-2"/>
    <n v="7.7500000000002497E-2"/>
    <n v="-2.1724999999999999"/>
    <n v="-0.17249999999999743"/>
    <n v="-0.17249999999999743"/>
    <n v="-2.1724999999999999"/>
    <n v="-0.17249999999999743"/>
    <n v="-0.17249999999999743"/>
    <n v="-2.1724999999999999"/>
    <n v="-0.17249999999999743"/>
    <n v="-0.17249999999999743"/>
  </r>
  <r>
    <s v="AXSM"/>
    <x v="16"/>
    <d v="2019-01-07T00:00:00"/>
    <d v="1899-12-30T09:48:00"/>
    <d v="1899-12-30T09:49:00"/>
    <n v="2.02"/>
    <n v="-23.7"/>
    <n v="100"/>
    <s v="BO"/>
    <s v="SELL"/>
    <n v="6.07"/>
    <n v="6.05"/>
    <n v="6.17"/>
    <n v="5.77"/>
    <n v="6.266"/>
    <n v="6.27"/>
    <n v="6.05"/>
    <n v="6.05"/>
    <n v="6.05"/>
    <b v="0"/>
    <b v="0"/>
    <b v="0"/>
    <m/>
    <b v="0"/>
    <m/>
    <m/>
    <b v="0"/>
    <m/>
    <m/>
    <b v="0"/>
    <x v="2"/>
    <x v="1"/>
    <s v="Healthcare"/>
    <x v="11"/>
    <m/>
    <s v="C"/>
    <s v="AXSM_-1_.png"/>
    <n v="3.0000000000000178"/>
    <n v="0"/>
    <n v="-2.2000000000000055"/>
    <x v="1"/>
    <n v="-25.72"/>
    <x v="3"/>
    <s v="FALSE"/>
    <n v="-173.76000000000002"/>
    <n v="0.20000000000000534"/>
    <n v="0.20000000000000528"/>
    <n v="0.8"/>
    <n v="1.0000000000000053"/>
    <n v="0"/>
    <n v="0.2"/>
    <n v="-2.16"/>
    <n v="-2.16"/>
    <n v="-2.16"/>
    <n v="-2.16"/>
    <n v="-2.16"/>
    <n v="-2.16"/>
    <n v="-2.16"/>
    <n v="-2.16"/>
    <n v="-2.16"/>
    <n v="-2.16"/>
    <n v="-2.16"/>
    <n v="-2.16"/>
    <n v="-2.16"/>
    <n v="-2.16"/>
    <n v="-2.16"/>
    <n v="-2.16"/>
    <n v="-2.16"/>
    <n v="-2.16"/>
    <n v="-2.16"/>
    <n v="-2.16"/>
    <n v="-2.16"/>
    <n v="-2.16"/>
    <n v="-2.16"/>
    <n v="-2.16"/>
    <n v="-2.16"/>
    <n v="-2.16"/>
    <n v="-2.16"/>
    <n v="-2.16"/>
  </r>
  <r>
    <s v="MYND"/>
    <x v="17"/>
    <d v="2019-01-07T00:00:00"/>
    <d v="1899-12-30T09:55:00"/>
    <d v="1899-12-30T09:56:00"/>
    <n v="3.04"/>
    <n v="-20.11"/>
    <n v="300"/>
    <s v="BO"/>
    <s v="SELL"/>
    <n v="1.1599999999999999"/>
    <n v="1.1599999999999999"/>
    <n v="1.19"/>
    <n v="1.07"/>
    <n v="1.21"/>
    <n v="1.22"/>
    <n v="1.1599999999999999"/>
    <n v="1.1599999999999999"/>
    <n v="1.1599999999999999"/>
    <b v="0"/>
    <b v="0"/>
    <b v="0"/>
    <m/>
    <b v="0"/>
    <m/>
    <m/>
    <b v="0"/>
    <m/>
    <m/>
    <b v="0"/>
    <x v="2"/>
    <x v="1"/>
    <s v="Healthcare"/>
    <x v="12"/>
    <m/>
    <s v="C"/>
    <s v="mynd_-1.png"/>
    <n v="2.9999999999999925"/>
    <n v="0"/>
    <n v="-2"/>
    <x v="1"/>
    <n v="-23.15"/>
    <x v="3"/>
    <s v="FALSE"/>
    <n v="-196.91000000000003"/>
    <n v="0"/>
    <n v="0"/>
    <n v="0.66666666666666663"/>
    <n v="0.66666666666666663"/>
    <n v="0"/>
    <n v="0"/>
    <n v="-1.6667000000000001"/>
    <n v="-1.6667000000000001"/>
    <n v="-1.6667000000000001"/>
    <n v="-1.6667000000000001"/>
    <n v="-1.6667000000000001"/>
    <n v="-1.6667000000000001"/>
    <n v="-1.6667000000000001"/>
    <n v="-1.6667000000000001"/>
    <n v="-1.6667000000000001"/>
    <n v="-1.6667000000000001"/>
    <n v="-1.6667000000000001"/>
    <n v="-1.6667000000000001"/>
    <n v="-1.6667000000000001"/>
    <n v="-1.6667000000000001"/>
    <n v="-1.6667000000000001"/>
    <n v="-1.6667000000000001"/>
    <n v="-1.6667000000000001"/>
    <n v="-1.6667000000000001"/>
    <n v="-1.6667000000000001"/>
    <n v="-1.6667000000000001"/>
    <n v="-1.6667000000000001"/>
    <n v="-1.6667000000000001"/>
    <n v="-1.6667000000000001"/>
    <n v="-1.6667000000000001"/>
    <n v="-1.6667000000000001"/>
    <n v="-1.6667000000000001"/>
    <n v="-1.6667000000000001"/>
    <n v="-1.6667000000000001"/>
  </r>
  <r>
    <s v="AXSM"/>
    <x v="18"/>
    <d v="2019-01-07T00:00:00"/>
    <d v="1899-12-30T09:52:00"/>
    <d v="1899-12-30T10:28:00"/>
    <n v="2.0099999999999998"/>
    <n v="-9.1999999999999993"/>
    <n v="50"/>
    <s v="BO"/>
    <s v="SELL"/>
    <n v="6.05"/>
    <n v="6.05"/>
    <n v="6.22"/>
    <n v="5.56"/>
    <n v="6.19"/>
    <n v="6.3"/>
    <n v="5.76"/>
    <n v="5.76"/>
    <n v="5.76"/>
    <b v="0"/>
    <b v="0"/>
    <b v="0"/>
    <b v="1"/>
    <n v="6.05"/>
    <b v="0"/>
    <n v="1.5"/>
    <b v="0"/>
    <m/>
    <m/>
    <b v="0"/>
    <x v="2"/>
    <x v="2"/>
    <s v="Healthcare"/>
    <x v="11"/>
    <m/>
    <s v="C"/>
    <s v="AXSM_-1_.png"/>
    <n v="2.8823529411764732"/>
    <n v="1.7058823529411773"/>
    <n v="-1.4705882352941182"/>
    <x v="1"/>
    <n v="-11.209999999999999"/>
    <x v="9"/>
    <s v="FALSE"/>
    <n v="-208.12000000000003"/>
    <n v="1.7058823529411773"/>
    <n v="0"/>
    <n v="-0.17647058823529044"/>
    <n v="-0.17647058823529044"/>
    <n v="1.7059"/>
    <n v="1.7059"/>
    <n v="-0.82350000000000001"/>
    <n v="-0.82350000000000001"/>
    <n v="0"/>
    <n v="0"/>
    <n v="0"/>
    <n v="-0.82350000000000001"/>
    <n v="-0.82350000000000001"/>
    <n v="-0.82350000000000001"/>
    <n v="0"/>
    <n v="0"/>
    <n v="0"/>
    <n v="0"/>
    <n v="0"/>
    <n v="0"/>
    <n v="0"/>
    <n v="0"/>
    <n v="-0.82350000000000001"/>
    <n v="0"/>
    <n v="0"/>
    <n v="0"/>
    <n v="0"/>
    <n v="0"/>
    <n v="0"/>
    <n v="0"/>
    <n v="0"/>
    <n v="-0.82350000000000001"/>
    <n v="0"/>
    <n v="0"/>
  </r>
  <r>
    <s v="MAXR"/>
    <x v="19"/>
    <d v="2019-01-08T00:00:00"/>
    <d v="1899-12-30T09:58:00"/>
    <d v="1899-12-30T10:04:00"/>
    <n v="2.0099999999999998"/>
    <n v="-18.260000000000002"/>
    <n v="50"/>
    <s v="BO"/>
    <s v="SELL"/>
    <n v="5.38"/>
    <n v="5.23"/>
    <n v="5.56"/>
    <n v="4.78"/>
    <n v="5.55"/>
    <n v="5.55"/>
    <n v="5.21"/>
    <n v="5.21"/>
    <n v="5.21"/>
    <b v="0"/>
    <n v="5.55"/>
    <b v="0"/>
    <m/>
    <b v="0"/>
    <m/>
    <m/>
    <b v="0"/>
    <m/>
    <m/>
    <b v="0"/>
    <x v="2"/>
    <x v="1"/>
    <s v="Technology"/>
    <x v="13"/>
    <m/>
    <s v="H"/>
    <s v="MAXR_-1_001.png"/>
    <n v="3.3333333333333366"/>
    <n v="0.11111111111111385"/>
    <n v="-1.7777777777777772"/>
    <x v="1"/>
    <n v="-20.270000000000003"/>
    <x v="10"/>
    <n v="-1.7778"/>
    <n v="-228.39000000000004"/>
    <n v="0.94444444444444553"/>
    <n v="0.83333333333333171"/>
    <n v="-3.0303030303029731E-2"/>
    <n v="0.80303030303030198"/>
    <n v="0.1111"/>
    <n v="0.94440000000000002"/>
    <n v="-1.7778"/>
    <n v="-1.7778"/>
    <n v="-1.7778"/>
    <n v="-1.7778"/>
    <n v="-1.7778"/>
    <n v="-1.7778"/>
    <n v="-1.7778"/>
    <n v="-1.7778"/>
    <n v="-1.7778"/>
    <n v="-1.7778"/>
    <n v="-1.7778"/>
    <n v="-1.7778"/>
    <n v="-1.7778"/>
    <n v="-1.7778"/>
    <n v="-1.7778"/>
    <n v="-1.7778"/>
    <n v="-1.7778"/>
    <n v="-1.7778"/>
    <n v="-1.7778"/>
    <n v="-1.7778"/>
    <n v="-1.7778"/>
    <n v="-1.7778"/>
    <n v="-1.7778"/>
    <n v="-1.7778"/>
    <n v="-1.7778"/>
    <n v="-1.7778"/>
    <n v="-1.7778"/>
    <n v="-1.7778"/>
  </r>
  <r>
    <s v="RHE"/>
    <x v="20"/>
    <d v="2019-01-08T00:00:00"/>
    <d v="1899-12-30T11:01:00"/>
    <d v="1899-12-30T11:34:00"/>
    <n v="2.0139999999999998"/>
    <n v="-10.85"/>
    <n v="100"/>
    <s v="BOT"/>
    <s v="BUY"/>
    <n v="2.14"/>
    <n v="2.1379999999999999"/>
    <n v="2.04"/>
    <n v="2.44"/>
    <n v="2.0499999999999998"/>
    <n v="2.38"/>
    <n v="2.0499999999999998"/>
    <n v="2.38"/>
    <n v="2.38"/>
    <n v="2.2400000000000002"/>
    <n v="2.0499999999999998"/>
    <b v="0"/>
    <m/>
    <n v="2.2200000000000002"/>
    <b v="0"/>
    <b v="0"/>
    <n v="2.5"/>
    <b v="0"/>
    <n v="1.5"/>
    <b v="0"/>
    <x v="0"/>
    <x v="0"/>
    <s v="Healthcare"/>
    <x v="14"/>
    <m/>
    <s v="C"/>
    <s v="RHE_-1.png"/>
    <n v="2.9999999999999956"/>
    <n v="2.4199999999999977"/>
    <n v="-0.88"/>
    <x v="1"/>
    <n v="-12.863999999999999"/>
    <x v="11"/>
    <n v="-0.88"/>
    <n v="-241.25400000000005"/>
    <n v="2.3999999999999955"/>
    <n v="-2.0000000000002238E-2"/>
    <n v="-9.9999999999997785E-2"/>
    <n v="-0.12000000000000002"/>
    <n v="2.42"/>
    <n v="2.4"/>
    <n v="-0.88"/>
    <n v="-0.88"/>
    <n v="2.0000000000002238E-2"/>
    <n v="2.0000000000002238E-2"/>
    <n v="-0.88"/>
    <n v="-0.88"/>
    <n v="-0.88"/>
    <n v="-0.88"/>
    <n v="2.0000000000002238E-2"/>
    <n v="2.0000000000002238E-2"/>
    <n v="2.0000000000002238E-2"/>
    <n v="2.0000000000002238E-2"/>
    <n v="2.0000000000002238E-2"/>
    <n v="2.0000000000002238E-2"/>
    <n v="2.0000000000002238E-2"/>
    <n v="2.0000000000002238E-2"/>
    <n v="1.0200000000000022"/>
    <n v="1.0200000000000022"/>
    <n v="1.0200000000000022"/>
    <n v="0.82000000000000217"/>
    <n v="0.82000000000000217"/>
    <n v="0.82000000000000217"/>
    <n v="0.82000000000000217"/>
    <n v="0.82000000000000217"/>
    <n v="0.82000000000000217"/>
    <n v="-0.88"/>
    <n v="2.0000000000002238E-2"/>
    <n v="2.0000000000002238E-2"/>
  </r>
  <r>
    <s v="INPX"/>
    <x v="21"/>
    <d v="2019-01-10T00:00:00"/>
    <d v="1899-12-30T09:45:00"/>
    <d v="1899-12-30T09:58:00"/>
    <n v="2.02"/>
    <n v="46.98"/>
    <n v="100"/>
    <s v="BO"/>
    <s v="BUY"/>
    <n v="4.59"/>
    <n v="4.6100000000000003"/>
    <n v="4.415"/>
    <n v="5.0999999999999996"/>
    <n v="5.0999999999999996"/>
    <n v="5.0999999999999996"/>
    <n v="4.3"/>
    <n v="4.68"/>
    <n v="5.35"/>
    <b v="0"/>
    <n v="4.29"/>
    <b v="1"/>
    <b v="1"/>
    <n v="5.0999999999999996"/>
    <n v="4"/>
    <m/>
    <n v="4.9000000000000004"/>
    <n v="4"/>
    <m/>
    <b v="0"/>
    <x v="2"/>
    <x v="0"/>
    <s v="Technology"/>
    <x v="3"/>
    <m/>
    <s v="C"/>
    <s v="inpx_+3_0011.png"/>
    <n v="2.9142857142857159"/>
    <n v="2.7999999999999989"/>
    <n v="-1.771428571428576"/>
    <x v="0"/>
    <n v="44.959999999999994"/>
    <x v="12"/>
    <n v="-1.8286"/>
    <n v="-196.29400000000004"/>
    <n v="0.51428571428571401"/>
    <n v="0.11428571428571699"/>
    <n v="0"/>
    <n v="0.11428571428571699"/>
    <n v="4.2286000000000001"/>
    <n v="4.3429000000000002"/>
    <n v="2.8"/>
    <n v="-1.114285714285717"/>
    <n v="-1.114285714285717"/>
    <n v="-1.114285714285717"/>
    <n v="-0.11428571428571699"/>
    <n v="-1.114285714285717"/>
    <n v="-1.114285714285717"/>
    <n v="-1.114285714285717"/>
    <n v="-0.11428571428571699"/>
    <n v="-1.114285714285717"/>
    <n v="-1.114285714285717"/>
    <n v="-1.114285714285717"/>
    <n v="-1.114285714285717"/>
    <n v="-1.114285714285717"/>
    <n v="-1.114285714285717"/>
    <n v="-1.114285714285717"/>
    <n v="-1.114285714285717"/>
    <n v="-1.114285714285717"/>
    <n v="-1.114285714285717"/>
    <n v="2.7999999999999989"/>
    <n v="2.7999999999999989"/>
    <n v="2.7999999999999989"/>
    <n v="2.7999999999999989"/>
    <n v="2.7999999999999989"/>
    <n v="2.7999999999999989"/>
    <n v="-1.114285714285717"/>
    <n v="-1.114285714285717"/>
    <n v="-1.114285714285717"/>
  </r>
  <r>
    <s v="FTK"/>
    <x v="22"/>
    <d v="2019-01-11T00:00:00"/>
    <d v="1899-12-30T09:45:00"/>
    <d v="1899-12-30T09:52:00"/>
    <n v="2.0299999999999998"/>
    <n v="-25.58"/>
    <n v="200"/>
    <s v="BO"/>
    <s v="SELL"/>
    <n v="2.63"/>
    <n v="2.621"/>
    <n v="2.68"/>
    <n v="2.48"/>
    <n v="2.7389999999999999"/>
    <n v="2.7389999999999999"/>
    <n v="2.61"/>
    <n v="2.61"/>
    <n v="2.61"/>
    <b v="0"/>
    <b v="0"/>
    <b v="0"/>
    <m/>
    <b v="0"/>
    <m/>
    <m/>
    <b v="0"/>
    <m/>
    <m/>
    <b v="0"/>
    <x v="2"/>
    <x v="1"/>
    <s v="Basic Materials"/>
    <x v="15"/>
    <m/>
    <s v="C"/>
    <s v="ftk -1.jpg"/>
    <n v="2.9999999999999822"/>
    <n v="0.22000000000000125"/>
    <n v="-2.3599999999999852"/>
    <x v="1"/>
    <n v="-27.61"/>
    <x v="13"/>
    <s v="FALSE"/>
    <n v="-223.90400000000005"/>
    <n v="0.39999999999999825"/>
    <n v="0.17999999999999705"/>
    <n v="0.99999999999999245"/>
    <n v="1.1799999999999895"/>
    <n v="0.22"/>
    <n v="0.4"/>
    <n v="-2.36"/>
    <n v="-2.36"/>
    <n v="-2.36"/>
    <n v="-2.36"/>
    <n v="-2.36"/>
    <n v="-2.36"/>
    <n v="-2.36"/>
    <n v="-2.36"/>
    <n v="-2.36"/>
    <n v="-2.36"/>
    <n v="-2.36"/>
    <n v="-2.36"/>
    <n v="-2.36"/>
    <n v="-2.36"/>
    <n v="-2.36"/>
    <n v="-2.36"/>
    <n v="-2.36"/>
    <n v="-2.36"/>
    <n v="-2.36"/>
    <n v="-2.36"/>
    <n v="-2.36"/>
    <n v="-2.36"/>
    <n v="-2.36"/>
    <n v="-2.36"/>
    <n v="-2.36"/>
    <n v="-2.36"/>
    <n v="-2.36"/>
    <n v="-2.36"/>
  </r>
  <r>
    <s v="FTK"/>
    <x v="23"/>
    <d v="2019-01-11T00:00:00"/>
    <d v="1899-12-30T10:23:00"/>
    <d v="1899-12-30T10:31:00"/>
    <n v="2.0299999999999998"/>
    <n v="-15.43"/>
    <n v="200"/>
    <s v="BO"/>
    <s v="SELL"/>
    <n v="2.64"/>
    <n v="2.641"/>
    <n v="2.69"/>
    <n v="2.4900000000000002"/>
    <n v="2.7"/>
    <n v="2.72"/>
    <n v="2.64"/>
    <n v="2.64"/>
    <n v="2.64"/>
    <b v="0"/>
    <b v="0"/>
    <b v="0"/>
    <m/>
    <b v="0"/>
    <m/>
    <m/>
    <b v="0"/>
    <m/>
    <m/>
    <n v="2.64"/>
    <x v="2"/>
    <x v="2"/>
    <s v="Basic Materials"/>
    <x v="15"/>
    <m/>
    <s v="C"/>
    <s v="ftk -1.jpg"/>
    <n v="3.0000000000000089"/>
    <n v="1.9999999999997867E-2"/>
    <n v="-1.5800000000000092"/>
    <x v="1"/>
    <n v="-17.46"/>
    <x v="2"/>
    <s v="FALSE"/>
    <n v="-241.36400000000006"/>
    <n v="0"/>
    <n v="-1.9999999999997908E-2"/>
    <n v="0.20408163265306623"/>
    <n v="0.18408163265306832"/>
    <n v="0.02"/>
    <n v="0"/>
    <n v="-1.18"/>
    <n v="-1.18"/>
    <n v="-1.18"/>
    <n v="-1.18"/>
    <n v="-1.18"/>
    <n v="-1.18"/>
    <n v="-1.18"/>
    <n v="-1.18"/>
    <n v="-1.18"/>
    <n v="-1.18"/>
    <n v="-1.18"/>
    <n v="-1.18"/>
    <n v="-1.18"/>
    <n v="-1.18"/>
    <n v="-1.18"/>
    <n v="-1.18"/>
    <n v="-1.18"/>
    <n v="-1.18"/>
    <n v="-1.18"/>
    <n v="-1.18"/>
    <n v="-1.18"/>
    <n v="-1.18"/>
    <n v="-1.18"/>
    <n v="-1.18"/>
    <n v="-1.18"/>
    <n v="0"/>
    <n v="0"/>
    <n v="0"/>
  </r>
  <r>
    <s v="APHA"/>
    <x v="24"/>
    <d v="2019-01-11T00:00:00"/>
    <d v="1899-12-30T10:05:00"/>
    <d v="1899-12-30T12:59:00"/>
    <n v="2.02"/>
    <n v="-12.02"/>
    <n v="100"/>
    <s v="BO"/>
    <s v="BUY"/>
    <n v="6.99"/>
    <n v="6.99"/>
    <n v="6.89"/>
    <n v="7.29"/>
    <n v="6.89"/>
    <n v="7.2"/>
    <n v="6.89"/>
    <n v="7.2"/>
    <n v="7.2"/>
    <n v="7.08"/>
    <b v="0"/>
    <b v="0"/>
    <m/>
    <n v="7.12"/>
    <b v="0"/>
    <b v="0"/>
    <n v="7.1"/>
    <b v="0"/>
    <b v="0"/>
    <b v="0"/>
    <x v="3"/>
    <x v="0"/>
    <s v="Healthcare"/>
    <x v="16"/>
    <m/>
    <s v="C"/>
    <s v="apha -1.jpg"/>
    <n v="2.9999999999999822"/>
    <n v="2.0999999999999885"/>
    <n v="-1"/>
    <x v="1"/>
    <n v="-14.04"/>
    <x v="14"/>
    <s v="FALSE"/>
    <n v="-255.40400000000005"/>
    <n v="2.0999999999999885"/>
    <n v="0"/>
    <n v="0"/>
    <n v="0"/>
    <n v="2.1"/>
    <n v="2.1"/>
    <n v="-1"/>
    <n v="-1"/>
    <n v="0"/>
    <n v="0"/>
    <n v="-1"/>
    <n v="-1"/>
    <n v="-1"/>
    <n v="-1"/>
    <n v="0"/>
    <n v="0"/>
    <n v="0"/>
    <n v="0"/>
    <n v="0"/>
    <n v="0"/>
    <n v="0"/>
    <n v="0"/>
    <n v="0.8999999999999938"/>
    <n v="0.8999999999999938"/>
    <n v="0.8999999999999938"/>
    <n v="1.2999999999999921"/>
    <n v="1.2999999999999921"/>
    <n v="1.2999999999999921"/>
    <n v="1.2999999999999921"/>
    <n v="1.2999999999999921"/>
    <n v="1.2999999999999921"/>
    <n v="-1"/>
    <n v="0"/>
    <n v="0"/>
  </r>
  <r>
    <s v="UXIN"/>
    <x v="25"/>
    <d v="2019-01-15T00:00:00"/>
    <d v="1899-12-30T10:06:00"/>
    <d v="1899-12-30T10:38:00"/>
    <n v="3.05"/>
    <n v="18.2"/>
    <n v="300"/>
    <s v="BO"/>
    <s v="BUY"/>
    <n v="3.54"/>
    <n v="3.5390000000000001"/>
    <n v="3.5150000000000001"/>
    <n v="3.61"/>
    <n v="3.61"/>
    <n v="3.61"/>
    <n v="3.54"/>
    <n v="3.57"/>
    <n v="3.66"/>
    <b v="0"/>
    <b v="0"/>
    <b v="1"/>
    <m/>
    <n v="3.57"/>
    <b v="0"/>
    <n v="1"/>
    <n v="3.57"/>
    <b v="0"/>
    <n v="1"/>
    <b v="0"/>
    <x v="4"/>
    <x v="0"/>
    <s v="Technology"/>
    <x v="17"/>
    <m/>
    <m/>
    <s v="UXIN_+3.png"/>
    <n v="2.8000000000000034"/>
    <n v="2.8399999999999994"/>
    <n v="3.9999999999995733E-2"/>
    <x v="0"/>
    <n v="15.149999999999999"/>
    <x v="15"/>
    <s v="FALSE"/>
    <n v="-240.25400000000005"/>
    <n v="1.1999999999999964"/>
    <n v="-3.9999999999995706E-2"/>
    <n v="0"/>
    <n v="-3.9999999999995706E-2"/>
    <n v="4.84"/>
    <n v="4.8"/>
    <n v="2.84"/>
    <n v="-0.96000000000000429"/>
    <n v="3.9999999999995706E-2"/>
    <n v="-0.96000000000000429"/>
    <n v="-0.96000000000000429"/>
    <n v="-0.96000000000000429"/>
    <n v="-0.96000000000000429"/>
    <n v="-0.96000000000000429"/>
    <n v="3.9999999999995706E-2"/>
    <n v="3.9999999999995706E-2"/>
    <n v="3.9999999999995706E-2"/>
    <n v="3.9999999999995706E-2"/>
    <n v="-0.96000000000000429"/>
    <n v="-0.96000000000000429"/>
    <n v="-0.96000000000000429"/>
    <n v="-0.96000000000000429"/>
    <n v="-0.96000000000000429"/>
    <n v="3.9999999999995706E-2"/>
    <n v="-0.96000000000000429"/>
    <n v="1.2399999999999922"/>
    <n v="3.9999999999995706E-2"/>
    <n v="1.2399999999999922"/>
    <n v="1.2399999999999922"/>
    <n v="3.9999999999995706E-2"/>
    <n v="1.2399999999999922"/>
    <n v="-0.96000000000000429"/>
    <n v="3.9999999999995706E-2"/>
    <n v="-0.96000000000000429"/>
  </r>
  <r>
    <s v="INSG"/>
    <x v="26"/>
    <d v="2019-01-15T00:00:00"/>
    <d v="1899-12-30T10:12:00"/>
    <d v="1899-12-30T10:17:00"/>
    <n v="3.06"/>
    <n v="-17.68"/>
    <n v="300"/>
    <s v="BO"/>
    <s v="BUY"/>
    <n v="5.87"/>
    <n v="5.86"/>
    <n v="5.84"/>
    <n v="5.96"/>
    <n v="5.8120000000000003"/>
    <n v="5.88"/>
    <n v="5.81"/>
    <n v="5.88"/>
    <n v="5.88"/>
    <b v="0"/>
    <b v="0"/>
    <b v="0"/>
    <m/>
    <b v="0"/>
    <m/>
    <m/>
    <b v="0"/>
    <m/>
    <m/>
    <n v="5.85"/>
    <x v="2"/>
    <x v="1"/>
    <s v="Technology"/>
    <x v="18"/>
    <m/>
    <m/>
    <s v="INSG.png"/>
    <n v="2.9999999999999702"/>
    <n v="0.66666666666664698"/>
    <n v="-1.6666666666666765"/>
    <x v="1"/>
    <n v="-20.74"/>
    <x v="16"/>
    <s v="FALSE"/>
    <n v="-260.99400000000003"/>
    <n v="0.33333333333332349"/>
    <n v="-0.33333333333332349"/>
    <n v="0.93333333333331159"/>
    <n v="0.5999999999999881"/>
    <n v="0.66669999999999996"/>
    <n v="0.33329999999999999"/>
    <n v="-1.6"/>
    <n v="-1.6"/>
    <n v="-1.6"/>
    <n v="-1.6"/>
    <n v="-1.6"/>
    <n v="-1.6"/>
    <n v="-1.6"/>
    <n v="-1.6"/>
    <n v="-1.6"/>
    <n v="-1.6"/>
    <n v="-1.6"/>
    <n v="-1.6"/>
    <n v="-1.6"/>
    <n v="-1.6"/>
    <n v="-1.6"/>
    <n v="-1.6"/>
    <n v="-1.6"/>
    <n v="-1.6"/>
    <n v="-1.6"/>
    <n v="-1.6"/>
    <n v="-1.6"/>
    <n v="-1.6"/>
    <n v="-1.6"/>
    <n v="-1.6"/>
    <n v="-1.6"/>
    <n v="-0.33333333333335308"/>
    <n v="-0.33333333333335308"/>
    <n v="-0.33333333333335308"/>
  </r>
  <r>
    <s v="TYME"/>
    <x v="27"/>
    <d v="2019-01-15T00:00:00"/>
    <d v="1899-12-30T10:13:00"/>
    <d v="1899-12-30T12:11:00"/>
    <n v="3.05"/>
    <n v="24.88"/>
    <n v="300"/>
    <s v="BO"/>
    <s v="BUY"/>
    <n v="2.95"/>
    <n v="2.9460000000000002"/>
    <n v="2.92"/>
    <n v="3.04"/>
    <n v="3.04"/>
    <n v="3.04"/>
    <n v="2.93"/>
    <n v="3.02"/>
    <n v="3.2"/>
    <b v="0"/>
    <b v="0"/>
    <b v="1"/>
    <m/>
    <n v="3.15"/>
    <n v="5"/>
    <n v="1.5"/>
    <n v="3.15"/>
    <n v="5"/>
    <n v="1.5"/>
    <b v="0"/>
    <x v="4"/>
    <x v="0"/>
    <s v="Healthcare"/>
    <x v="19"/>
    <m/>
    <s v="C"/>
    <s v="TYME_+3.png"/>
    <n v="2.9999999999999702"/>
    <n v="3.1333333333333027"/>
    <n v="-0.53333333333332944"/>
    <x v="0"/>
    <n v="21.83"/>
    <x v="17"/>
    <s v="FALSE"/>
    <n v="-239.16400000000004"/>
    <n v="2.3333333333333086"/>
    <n v="-0.1333333333333323"/>
    <n v="0"/>
    <n v="-0.1333333333333323"/>
    <n v="8.4666999999999994"/>
    <n v="8.3332999999999995"/>
    <n v="3.1333000000000002"/>
    <n v="5.133333333333332"/>
    <n v="0.1333333333333323"/>
    <n v="0.1333333333333323"/>
    <n v="5.133333333333332"/>
    <n v="5.133333333333332"/>
    <n v="5.133333333333332"/>
    <n v="5.133333333333332"/>
    <n v="0.1333333333333323"/>
    <n v="0.1333333333333323"/>
    <n v="0.1333333333333323"/>
    <n v="0.1333333333333323"/>
    <n v="0.1333333333333323"/>
    <n v="0.1333333333333323"/>
    <n v="0.1333333333333323"/>
    <n v="0.1333333333333323"/>
    <n v="5.133333333333332"/>
    <n v="0.1333333333333323"/>
    <n v="0.1333333333333323"/>
    <n v="5.133333333333332"/>
    <n v="0.1333333333333323"/>
    <n v="0.1333333333333323"/>
    <n v="6.799999999999935"/>
    <n v="0.1333333333333323"/>
    <n v="0.1333333333333323"/>
    <n v="5.133333333333332"/>
    <n v="0.1333333333333323"/>
    <n v="0.1333333333333323"/>
  </r>
  <r>
    <s v="CENX"/>
    <x v="28"/>
    <d v="2019-01-16T00:00:00"/>
    <d v="1899-12-30T10:00:00"/>
    <d v="1899-12-30T10:20:00"/>
    <n v="2.04"/>
    <n v="-23.89"/>
    <n v="200"/>
    <s v="BO"/>
    <s v="BUY"/>
    <n v="8.74"/>
    <n v="8.74"/>
    <n v="8.69"/>
    <n v="8.89"/>
    <n v="8.6310000000000002"/>
    <n v="8.8000000000000007"/>
    <n v="8.6310000000000002"/>
    <n v="8.8000000000000007"/>
    <n v="8.8000000000000007"/>
    <b v="0"/>
    <b v="0"/>
    <b v="0"/>
    <m/>
    <b v="0"/>
    <m/>
    <m/>
    <b v="0"/>
    <m/>
    <m/>
    <n v="8.75"/>
    <x v="3"/>
    <x v="3"/>
    <s v="Basic Materials"/>
    <x v="20"/>
    <m/>
    <m/>
    <s v="CENX_-.png"/>
    <n v="2.9999999999999645"/>
    <n v="1.1999999999999929"/>
    <n v="-2.1799999999999686"/>
    <x v="1"/>
    <n v="-25.93"/>
    <x v="18"/>
    <s v="FALSE"/>
    <n v="-265.09400000000005"/>
    <n v="1.1999999999999929"/>
    <n v="0"/>
    <n v="1.1799999999999686"/>
    <n v="1.1799999999999686"/>
    <n v="1.2"/>
    <n v="1.2"/>
    <n v="-2.1800000000000002"/>
    <n v="-2.1800000000000002"/>
    <n v="0"/>
    <n v="-2.1800000000000002"/>
    <n v="-2.1800000000000002"/>
    <n v="-2.1800000000000002"/>
    <n v="-2.1800000000000002"/>
    <n v="-2.1800000000000002"/>
    <n v="0"/>
    <n v="0"/>
    <n v="0"/>
    <n v="0"/>
    <n v="-2.1800000000000002"/>
    <n v="-2.1800000000000002"/>
    <n v="-2.1800000000000002"/>
    <n v="-2.1800000000000002"/>
    <n v="-2.1800000000000002"/>
    <n v="0"/>
    <n v="-2.1800000000000002"/>
    <n v="-2.1800000000000002"/>
    <n v="0"/>
    <n v="-2.1800000000000002"/>
    <n v="-2.1800000000000002"/>
    <n v="0"/>
    <n v="-2.1800000000000002"/>
    <n v="0.19999999999999291"/>
    <n v="0.19999999999999291"/>
    <n v="0.19999999999999291"/>
  </r>
  <r>
    <s v="CRMD"/>
    <x v="29"/>
    <d v="2019-01-16T00:00:00"/>
    <d v="1899-12-30T10:09:00"/>
    <d v="1899-12-30T10:11:00"/>
    <n v="3.04"/>
    <n v="-20.59"/>
    <n v="300"/>
    <s v="BO"/>
    <s v="BUY"/>
    <n v="2.06"/>
    <n v="2.0579999999999998"/>
    <n v="2.0350000000000001"/>
    <n v="2.15"/>
    <n v="2"/>
    <n v="2.06"/>
    <n v="2"/>
    <n v="2.06"/>
    <n v="2.06"/>
    <b v="0"/>
    <b v="0"/>
    <b v="0"/>
    <m/>
    <b v="0"/>
    <m/>
    <m/>
    <b v="0"/>
    <m/>
    <m/>
    <b v="0"/>
    <x v="2"/>
    <x v="1"/>
    <s v="Healthcare"/>
    <x v="21"/>
    <m/>
    <m/>
    <s v="CRMD_-1.png"/>
    <n v="3.6000000000000072"/>
    <n v="8.000000000000923E-2"/>
    <n v="-2.3200000000000016"/>
    <x v="1"/>
    <n v="-23.63"/>
    <x v="7"/>
    <s v="FALSE"/>
    <n v="-288.72400000000005"/>
    <n v="0"/>
    <n v="-8.0000000000009286E-2"/>
    <n v="1.4000000000000106"/>
    <n v="1.3200000000000012"/>
    <n v="0.08"/>
    <n v="0"/>
    <n v="-2.3199999999999998"/>
    <n v="-2.3199999999999998"/>
    <n v="-2.3199999999999998"/>
    <n v="-2.3199999999999998"/>
    <n v="-2.3199999999999998"/>
    <n v="-2.3199999999999998"/>
    <n v="-2.3199999999999998"/>
    <n v="-2.3199999999999998"/>
    <n v="-2.3199999999999998"/>
    <n v="-2.3199999999999998"/>
    <n v="-2.3199999999999998"/>
    <n v="-2.3199999999999998"/>
    <n v="-2.3199999999999998"/>
    <n v="-2.3199999999999998"/>
    <n v="-2.3199999999999998"/>
    <n v="-2.3199999999999998"/>
    <n v="-2.3199999999999998"/>
    <n v="-2.3199999999999998"/>
    <n v="-2.3199999999999998"/>
    <n v="-2.3199999999999998"/>
    <n v="-2.3199999999999998"/>
    <n v="-2.3199999999999998"/>
    <n v="-2.3199999999999998"/>
    <n v="-2.3199999999999998"/>
    <n v="-2.3199999999999998"/>
    <n v="-2.3199999999999998"/>
    <n v="-2.3199999999999998"/>
    <n v="-2.3199999999999998"/>
  </r>
  <r>
    <s v="BSTI"/>
    <x v="30"/>
    <d v="2019-01-16T00:00:00"/>
    <d v="1899-12-30T10:06:00"/>
    <d v="1899-12-30T10:27:00"/>
    <n v="2.04"/>
    <n v="-16.04"/>
    <n v="200"/>
    <s v="BO"/>
    <s v="BUY"/>
    <n v="5.27"/>
    <n v="5.27"/>
    <n v="5.22"/>
    <n v="5.42"/>
    <n v="5.2"/>
    <n v="5.31"/>
    <n v="5.2"/>
    <n v="5.31"/>
    <n v="5.31"/>
    <b v="0"/>
    <n v="5.21"/>
    <b v="0"/>
    <m/>
    <n v="5.28"/>
    <b v="0"/>
    <b v="0"/>
    <b v="0"/>
    <m/>
    <m/>
    <b v="0"/>
    <x v="2"/>
    <x v="2"/>
    <s v="Technology"/>
    <x v="0"/>
    <m/>
    <m/>
    <s v="BSTI_-1.png"/>
    <n v="3.0000000000000178"/>
    <n v="0.8000000000000036"/>
    <n v="-1.3999999999999928"/>
    <x v="1"/>
    <n v="-18.079999999999998"/>
    <x v="19"/>
    <n v="-1.2"/>
    <n v="-306.80400000000003"/>
    <n v="0.8000000000000036"/>
    <n v="0"/>
    <n v="0.39999999999999292"/>
    <n v="0.39999999999999292"/>
    <n v="0.8"/>
    <n v="0.8"/>
    <n v="-1.4"/>
    <n v="-1.4"/>
    <n v="-1.4"/>
    <n v="-1.4"/>
    <n v="-1.4"/>
    <n v="-1.4"/>
    <n v="-1.4"/>
    <n v="-1.4"/>
    <n v="-1.4"/>
    <n v="-1.4"/>
    <n v="-1.4"/>
    <n v="-1.4"/>
    <n v="-1.4"/>
    <n v="-1.4"/>
    <n v="-1.4"/>
    <n v="-1.4"/>
    <n v="-1.4"/>
    <n v="-1.4"/>
    <n v="-1.4"/>
    <n v="0.20000000000001422"/>
    <n v="0.20000000000001422"/>
    <n v="0.20000000000001422"/>
    <n v="0.20000000000001422"/>
    <n v="0.20000000000001422"/>
    <n v="0.20000000000001422"/>
    <n v="-1.4"/>
    <n v="-1.4"/>
    <n v="-1.4"/>
  </r>
  <r>
    <s v="CORV"/>
    <x v="31"/>
    <d v="2019-01-17T00:00:00"/>
    <d v="1899-12-30T09:54:00"/>
    <d v="1899-12-30T10:06:00"/>
    <n v="2.0299999999999998"/>
    <n v="30"/>
    <n v="200"/>
    <s v="BO"/>
    <s v="BUY"/>
    <n v="2.76"/>
    <n v="2.76"/>
    <n v="2.71"/>
    <n v="2.91"/>
    <n v="2.91"/>
    <n v="2.91"/>
    <n v="2.71"/>
    <n v="3.27"/>
    <n v="3.27"/>
    <b v="0"/>
    <n v="2.7"/>
    <b v="1"/>
    <m/>
    <n v="3"/>
    <n v="4"/>
    <b v="0"/>
    <n v="3"/>
    <n v="4"/>
    <b v="0"/>
    <b v="0"/>
    <x v="3"/>
    <x v="2"/>
    <s v="Healthcare"/>
    <x v="22"/>
    <m/>
    <s v="C"/>
    <s v="CORV +3.png"/>
    <n v="3.0000000000000178"/>
    <n v="3.0000000000000178"/>
    <n v="-1"/>
    <x v="0"/>
    <n v="27.97"/>
    <x v="20"/>
    <n v="-1.2"/>
    <n v="-278.83400000000006"/>
    <n v="10.20000000000004"/>
    <n v="0"/>
    <n v="0"/>
    <n v="0"/>
    <n v="10.199999999999999"/>
    <n v="10.199999999999999"/>
    <n v="3"/>
    <n v="5"/>
    <n v="5"/>
    <n v="5"/>
    <n v="5"/>
    <n v="5"/>
    <n v="5"/>
    <n v="5"/>
    <n v="5"/>
    <n v="5"/>
    <n v="5"/>
    <n v="5"/>
    <n v="5"/>
    <n v="5"/>
    <n v="5"/>
    <n v="5"/>
    <n v="5"/>
    <n v="5"/>
    <n v="5"/>
    <n v="4.8000000000000211"/>
    <n v="4.8000000000000211"/>
    <n v="4.8000000000000211"/>
    <n v="4.8000000000000211"/>
    <n v="4.8000000000000211"/>
    <n v="4.8000000000000211"/>
    <n v="5"/>
    <n v="5"/>
    <n v="5"/>
  </r>
  <r>
    <s v="RAND"/>
    <x v="32"/>
    <d v="2019-01-25T00:00:00"/>
    <d v="1899-12-30T09:42:00"/>
    <d v="1899-12-30T10:03:00"/>
    <n v="2.54"/>
    <n v="30"/>
    <n v="250"/>
    <s v="BO"/>
    <s v="SELL"/>
    <n v="3.14"/>
    <n v="3.14"/>
    <n v="3.18"/>
    <n v="3.02"/>
    <n v="3.02"/>
    <n v="3.18"/>
    <n v="3.02"/>
    <n v="3.0209999999999999"/>
    <n v="2.58"/>
    <b v="0"/>
    <n v="3.21"/>
    <b v="1"/>
    <m/>
    <n v="2.75"/>
    <n v="5"/>
    <n v="1.5"/>
    <n v="2.75"/>
    <n v="5"/>
    <n v="1.5"/>
    <b v="0"/>
    <x v="0"/>
    <x v="0"/>
    <s v="Financial"/>
    <x v="23"/>
    <m/>
    <s v="C"/>
    <s v="rand_+3.png"/>
    <n v="3"/>
    <n v="3"/>
    <n v="-1"/>
    <x v="0"/>
    <n v="27.46"/>
    <x v="19"/>
    <n v="-1.75"/>
    <n v="-251.37400000000005"/>
    <n v="2.9750000000000028"/>
    <n v="0"/>
    <n v="0"/>
    <n v="0"/>
    <n v="14"/>
    <n v="14"/>
    <n v="3"/>
    <n v="5"/>
    <n v="0"/>
    <n v="0"/>
    <n v="5"/>
    <n v="5"/>
    <n v="5"/>
    <n v="5"/>
    <n v="0"/>
    <n v="0"/>
    <n v="0"/>
    <n v="0"/>
    <n v="0"/>
    <n v="0"/>
    <n v="0"/>
    <n v="0"/>
    <n v="5"/>
    <n v="0"/>
    <n v="0"/>
    <n v="5"/>
    <n v="0"/>
    <n v="0"/>
    <n v="9.7499999999999947"/>
    <n v="0"/>
    <n v="0"/>
    <n v="5"/>
    <n v="0"/>
    <n v="0"/>
  </r>
  <r>
    <s v="ESV"/>
    <x v="33"/>
    <d v="2019-01-29T00:00:00"/>
    <d v="1899-12-30T10:23:00"/>
    <d v="1899-12-30T10:37:00"/>
    <n v="3.09"/>
    <n v="-14.45"/>
    <n v="500"/>
    <s v="BOT"/>
    <s v="BUY"/>
    <n v="4.71"/>
    <n v="4.7089999999999996"/>
    <n v="4.6900000000000004"/>
    <n v="4.7699999999999996"/>
    <n v="4.68"/>
    <n v="4.74"/>
    <n v="4.68"/>
    <n v="4.74"/>
    <n v="4.74"/>
    <b v="0"/>
    <n v="4.68"/>
    <b v="0"/>
    <m/>
    <b v="0"/>
    <m/>
    <m/>
    <b v="0"/>
    <m/>
    <m/>
    <b v="0"/>
    <x v="3"/>
    <x v="2"/>
    <s v="Basic Materials"/>
    <x v="24"/>
    <m/>
    <s v="L"/>
    <s v="ESV_-1.png"/>
    <n v="3.0000000000000444"/>
    <n v="1.5500000000000622"/>
    <n v="-1.4500000000000266"/>
    <x v="1"/>
    <n v="-17.54"/>
    <x v="8"/>
    <n v="-1.45"/>
    <n v="-268.91400000000004"/>
    <n v="1.5000000000000444"/>
    <n v="-5.0000000000017808E-2"/>
    <n v="0.50000000000004441"/>
    <n v="0.4500000000000266"/>
    <n v="1.55"/>
    <n v="1.5"/>
    <n v="-1.45"/>
    <n v="-1.45"/>
    <n v="5.0000000000017808E-2"/>
    <n v="5.0000000000017808E-2"/>
    <n v="-1.45"/>
    <n v="-1.45"/>
    <n v="-1.45"/>
    <n v="-1.45"/>
    <n v="5.0000000000017808E-2"/>
    <n v="5.0000000000017808E-2"/>
    <n v="5.0000000000017808E-2"/>
    <n v="5.0000000000017808E-2"/>
    <n v="5.0000000000017808E-2"/>
    <n v="5.0000000000017808E-2"/>
    <n v="5.0000000000017808E-2"/>
    <n v="5.0000000000017808E-2"/>
    <n v="-1.45"/>
    <n v="5.0000000000017808E-2"/>
    <n v="5.0000000000017808E-2"/>
    <n v="-1.45"/>
    <n v="5.0000000000017808E-2"/>
    <n v="5.0000000000017808E-2"/>
    <n v="-1.45"/>
    <n v="5.0000000000017808E-2"/>
    <n v="5.0000000000017808E-2"/>
    <n v="-1.45"/>
    <n v="5.0000000000017808E-2"/>
    <n v="5.0000000000017808E-2"/>
  </r>
  <r>
    <s v="TELL"/>
    <x v="34"/>
    <d v="2019-01-29T00:00:00"/>
    <d v="1899-12-30T11:01:00"/>
    <d v="1899-12-30T12:51:00"/>
    <n v="2.0499999999999998"/>
    <n v="-15"/>
    <n v="200"/>
    <s v="BOT"/>
    <s v="BUY"/>
    <n v="9.23"/>
    <n v="9.2149999999999999"/>
    <n v="9.18"/>
    <n v="9.3699999999999992"/>
    <n v="9.14"/>
    <n v="9.31"/>
    <n v="9.14"/>
    <n v="9.31"/>
    <n v="9.31"/>
    <b v="0"/>
    <n v="9.14"/>
    <b v="0"/>
    <m/>
    <n v="9.25"/>
    <b v="0"/>
    <b v="0"/>
    <n v="9.25"/>
    <b v="0"/>
    <b v="0"/>
    <b v="0"/>
    <x v="3"/>
    <x v="2"/>
    <s v="Basic Materials"/>
    <x v="25"/>
    <m/>
    <s v="L"/>
    <s v="tell_-1.png"/>
    <n v="2.7999999999999359"/>
    <n v="1.8999999999999857"/>
    <n v="-1.4999999999999645"/>
    <x v="1"/>
    <n v="-17.05"/>
    <x v="21"/>
    <n v="-1.5"/>
    <n v="-285.96400000000006"/>
    <n v="1.5999999999999788"/>
    <n v="-0.30000000000000715"/>
    <n v="0.79999999999997162"/>
    <n v="0.49999999999996447"/>
    <n v="1.9"/>
    <n v="1.6"/>
    <n v="-1.5"/>
    <n v="-1.5"/>
    <n v="0.30000000000000715"/>
    <n v="0.30000000000000715"/>
    <n v="-1.5"/>
    <n v="-1.5"/>
    <n v="-1.5"/>
    <n v="-1.5"/>
    <n v="0.30000000000000715"/>
    <n v="0.30000000000000715"/>
    <n v="0.30000000000000715"/>
    <n v="0.30000000000000715"/>
    <n v="0.30000000000000715"/>
    <n v="0.30000000000000715"/>
    <n v="0.30000000000000715"/>
    <n v="0.30000000000000715"/>
    <n v="-1.5"/>
    <n v="0.30000000000000715"/>
    <n v="0.30000000000000715"/>
    <n v="0.69999999999999285"/>
    <n v="0.69999999999999285"/>
    <n v="0.69999999999999285"/>
    <n v="0.69999999999999285"/>
    <n v="0.69999999999999285"/>
    <n v="0.69999999999999285"/>
    <n v="-1.5"/>
    <n v="0.30000000000000715"/>
    <n v="0.30000000000000715"/>
  </r>
  <r>
    <s v="CODX"/>
    <x v="35"/>
    <d v="2019-01-30T00:00:00"/>
    <d v="1899-12-30T09:42:00"/>
    <d v="1899-12-30T09:42:00"/>
    <n v="2.02"/>
    <n v="-20"/>
    <n v="100"/>
    <s v="BO"/>
    <s v="BUY"/>
    <n v="3.5"/>
    <n v="3.5"/>
    <n v="3.4"/>
    <n v="3.8"/>
    <n v="3.3"/>
    <n v="3.5"/>
    <n v="3.3"/>
    <n v="3.5"/>
    <n v="3.5"/>
    <b v="0"/>
    <b v="0"/>
    <b v="0"/>
    <m/>
    <b v="0"/>
    <m/>
    <m/>
    <b v="0"/>
    <m/>
    <m/>
    <b v="0"/>
    <x v="2"/>
    <x v="1"/>
    <s v="Healthcare"/>
    <x v="26"/>
    <m/>
    <s v="C"/>
    <s v="codx -1.jpg"/>
    <n v="2.9999999999999956"/>
    <n v="0"/>
    <n v="-2"/>
    <x v="1"/>
    <n v="-22.02"/>
    <x v="1"/>
    <s v="FALSE"/>
    <n v="-307.98400000000004"/>
    <n v="0"/>
    <n v="0"/>
    <n v="1"/>
    <n v="1"/>
    <n v="0"/>
    <n v="0"/>
    <n v="-2"/>
    <n v="-2"/>
    <n v="-2"/>
    <n v="-2"/>
    <n v="-2"/>
    <n v="-2"/>
    <n v="-2"/>
    <n v="-2"/>
    <n v="-2"/>
    <n v="-2"/>
    <n v="-2"/>
    <n v="-2"/>
    <n v="-2"/>
    <n v="-2"/>
    <n v="-2"/>
    <n v="-2"/>
    <n v="-2"/>
    <n v="-2"/>
    <n v="-2"/>
    <n v="-2"/>
    <n v="-2"/>
    <n v="-2"/>
    <n v="-2"/>
    <n v="-2"/>
    <n v="-2"/>
    <n v="-2"/>
    <n v="-2"/>
    <n v="-2"/>
  </r>
  <r>
    <s v="CODX"/>
    <x v="36"/>
    <d v="2019-01-30T00:00:00"/>
    <d v="1899-12-30T09:47:00"/>
    <d v="1899-12-30T09:53:00"/>
    <n v="2.0099999999999998"/>
    <n v="-19.8"/>
    <n v="66"/>
    <s v="BO"/>
    <s v="BUY"/>
    <n v="3.5"/>
    <n v="3.5"/>
    <n v="3.35"/>
    <n v="3.95"/>
    <n v="3.2"/>
    <n v="3.78"/>
    <n v="3.2"/>
    <n v="3.78"/>
    <n v="3.78"/>
    <b v="0"/>
    <b v="0"/>
    <b v="0"/>
    <m/>
    <b v="0"/>
    <m/>
    <m/>
    <b v="0"/>
    <m/>
    <m/>
    <b v="0"/>
    <x v="3"/>
    <x v="1"/>
    <s v="Healthcare"/>
    <x v="26"/>
    <m/>
    <s v="C"/>
    <s v="codx -1.jpg"/>
    <n v="3.0000000000000031"/>
    <n v="1.8666666666666665"/>
    <n v="-2"/>
    <x v="1"/>
    <n v="-21.810000000000002"/>
    <x v="10"/>
    <s v="FALSE"/>
    <n v="-329.79400000000004"/>
    <n v="1.8666666666666665"/>
    <n v="0"/>
    <n v="1"/>
    <n v="1"/>
    <n v="1.8667"/>
    <n v="1.8667"/>
    <n v="-2"/>
    <n v="-2"/>
    <n v="0"/>
    <n v="0"/>
    <n v="-2"/>
    <n v="-2"/>
    <n v="-2"/>
    <n v="-2"/>
    <n v="0"/>
    <n v="0"/>
    <n v="0"/>
    <n v="0"/>
    <n v="0"/>
    <n v="0"/>
    <n v="0"/>
    <n v="0"/>
    <n v="-2"/>
    <n v="0"/>
    <n v="0"/>
    <n v="-2"/>
    <n v="0"/>
    <n v="0"/>
    <n v="-2"/>
    <n v="0"/>
    <n v="0"/>
    <n v="-2"/>
    <n v="0"/>
    <n v="0"/>
  </r>
  <r>
    <s v="RMBS"/>
    <x v="37"/>
    <d v="2019-01-30T00:00:00"/>
    <d v="1899-12-30T10:22:00"/>
    <d v="1899-12-30T10:25:00"/>
    <n v="2.97"/>
    <n v="-14"/>
    <n v="300"/>
    <s v="BO"/>
    <s v="BUY"/>
    <n v="8.9499999999999993"/>
    <n v="8.9499999999999993"/>
    <n v="8.92"/>
    <n v="9.0399999999999991"/>
    <n v="8.92"/>
    <n v="9"/>
    <n v="8.89"/>
    <n v="9"/>
    <n v="9"/>
    <b v="0"/>
    <b v="0"/>
    <b v="0"/>
    <m/>
    <n v="8.9499999999999993"/>
    <b v="0"/>
    <n v="1.5"/>
    <n v="8.9600000000000009"/>
    <b v="0"/>
    <n v="1.5"/>
    <b v="0"/>
    <x v="3"/>
    <x v="0"/>
    <s v="Technology"/>
    <x v="27"/>
    <m/>
    <s v="C"/>
    <s v="RMBS -1.png"/>
    <n v="3.0000000000000591"/>
    <n v="1.6666666666667258"/>
    <n v="-2"/>
    <x v="1"/>
    <n v="-16.97"/>
    <x v="0"/>
    <s v="FALSE"/>
    <n v="-346.76400000000001"/>
    <n v="1.6666666666667258"/>
    <n v="0"/>
    <n v="0"/>
    <n v="0"/>
    <n v="1.6667000000000001"/>
    <n v="1.6667000000000001"/>
    <n v="-1"/>
    <n v="-1"/>
    <n v="0"/>
    <n v="0"/>
    <n v="-1"/>
    <n v="-1"/>
    <n v="-1"/>
    <n v="-1"/>
    <n v="0"/>
    <n v="0"/>
    <n v="0"/>
    <n v="0"/>
    <n v="0"/>
    <n v="0"/>
    <n v="0"/>
    <n v="0"/>
    <n v="-1"/>
    <n v="0"/>
    <n v="0"/>
    <n v="0"/>
    <n v="0"/>
    <n v="0"/>
    <n v="0"/>
    <n v="0"/>
    <n v="0"/>
    <n v="-1"/>
    <n v="0"/>
    <n v="0"/>
  </r>
  <r>
    <s v="NBEV"/>
    <x v="38"/>
    <d v="2019-01-30T00:00:00"/>
    <d v="1899-12-30T11:06:00"/>
    <d v="1899-12-30T11:23:00"/>
    <n v="2.04"/>
    <n v="-14"/>
    <n v="200"/>
    <s v="BO"/>
    <s v="BUY"/>
    <n v="7.35"/>
    <n v="7.36"/>
    <n v="7.3"/>
    <n v="7.5"/>
    <n v="7.29"/>
    <n v="7.45"/>
    <n v="7.29"/>
    <n v="7.45"/>
    <n v="7.45"/>
    <b v="0"/>
    <b v="0"/>
    <b v="0"/>
    <m/>
    <b v="0"/>
    <m/>
    <m/>
    <n v="7.36"/>
    <b v="0"/>
    <b v="0"/>
    <b v="0"/>
    <x v="3"/>
    <x v="0"/>
    <s v="Consumer Goods"/>
    <x v="28"/>
    <m/>
    <s v="C"/>
    <s v="nbev -1.png"/>
    <n v="3.0000000000000178"/>
    <n v="1.8000000000000036"/>
    <n v="-1.4000000000000106"/>
    <x v="1"/>
    <n v="-16.04"/>
    <x v="22"/>
    <s v="FALSE"/>
    <n v="-362.80400000000003"/>
    <n v="2.0000000000000178"/>
    <n v="0.20000000000001417"/>
    <n v="0.19999999999999646"/>
    <n v="0.40000000000001062"/>
    <n v="1.8"/>
    <n v="2"/>
    <n v="-1.4"/>
    <n v="-1.4"/>
    <n v="-0.20000000000001417"/>
    <n v="-0.20000000000001417"/>
    <n v="-1.4"/>
    <n v="-1.4"/>
    <n v="-1.4"/>
    <n v="-1.4"/>
    <n v="-0.20000000000001417"/>
    <n v="-0.20000000000001417"/>
    <n v="-0.20000000000001417"/>
    <n v="-0.20000000000001417"/>
    <n v="-0.20000000000001417"/>
    <n v="-0.20000000000001417"/>
    <n v="-0.20000000000001417"/>
    <n v="-0.20000000000001417"/>
    <n v="-1.4"/>
    <n v="-0.20000000000001417"/>
    <n v="-0.20000000000001417"/>
    <n v="-1.4"/>
    <n v="-0.20000000000001417"/>
    <n v="-0.20000000000001417"/>
    <n v="-1.4"/>
    <n v="-0.20000000000001417"/>
    <n v="-0.20000000000001417"/>
    <n v="-1.4"/>
    <n v="-0.20000000000001417"/>
    <n v="-0.20000000000001417"/>
  </r>
  <r>
    <s v="EGO"/>
    <x v="39"/>
    <d v="2019-02-01T00:00:00"/>
    <d v="1899-12-30T09:52:00"/>
    <d v="1899-12-30T09:55:00"/>
    <n v="3.05"/>
    <n v="27"/>
    <n v="300"/>
    <s v="BOT"/>
    <s v="BUY"/>
    <n v="3.98"/>
    <n v="3.98"/>
    <n v="3.95"/>
    <n v="4.07"/>
    <n v="4.07"/>
    <n v="4.07"/>
    <n v="3.98"/>
    <n v="4.08"/>
    <n v="4.08"/>
    <b v="0"/>
    <n v="3.92"/>
    <b v="1"/>
    <m/>
    <n v="3.96"/>
    <b v="0"/>
    <n v="1.5"/>
    <b v="0"/>
    <b v="0"/>
    <m/>
    <b v="0"/>
    <x v="0"/>
    <x v="0"/>
    <s v="Basic Materials"/>
    <x v="29"/>
    <m/>
    <s v="C"/>
    <s v="EGO_.png"/>
    <n v="3.0000000000000298"/>
    <n v="3.0000000000000298"/>
    <n v="0"/>
    <x v="0"/>
    <n v="23.95"/>
    <x v="0"/>
    <n v="-2"/>
    <n v="-338.85400000000004"/>
    <n v="3.3333333333333579"/>
    <n v="0"/>
    <n v="0"/>
    <n v="0"/>
    <n v="3.3332999999999999"/>
    <n v="3.3332999999999999"/>
    <n v="3"/>
    <n v="-1"/>
    <n v="0"/>
    <n v="0"/>
    <n v="-1"/>
    <n v="-1"/>
    <n v="-1"/>
    <n v="-1"/>
    <n v="0"/>
    <n v="0"/>
    <n v="0"/>
    <n v="0"/>
    <n v="0"/>
    <n v="0"/>
    <n v="0"/>
    <n v="0"/>
    <n v="-1"/>
    <n v="0"/>
    <n v="0"/>
    <n v="-0.66666666666667163"/>
    <n v="0"/>
    <n v="0"/>
    <n v="-0.66666666666667163"/>
    <n v="0"/>
    <n v="0"/>
    <n v="-1"/>
    <n v="0"/>
    <n v="0"/>
  </r>
  <r>
    <s v="EGO"/>
    <x v="40"/>
    <d v="2019-02-01T00:00:00"/>
    <d v="1899-12-30T10:22:00"/>
    <d v="1899-12-30T10:56:00"/>
    <n v="3.05"/>
    <n v="-11.52"/>
    <n v="300"/>
    <s v="BO"/>
    <s v="SELL"/>
    <n v="3.88"/>
    <n v="3.88"/>
    <n v="3.91"/>
    <n v="3.79"/>
    <n v="3.9180000000000001"/>
    <n v="3.9180000000000001"/>
    <n v="3.82"/>
    <n v="3.82"/>
    <n v="3.82"/>
    <n v="3.88"/>
    <n v="3.91"/>
    <b v="0"/>
    <m/>
    <n v="3.84"/>
    <b v="0"/>
    <n v="1"/>
    <n v="3.87"/>
    <b v="0"/>
    <n v="1"/>
    <b v="0"/>
    <x v="3"/>
    <x v="3"/>
    <s v="Basic Materials"/>
    <x v="29"/>
    <m/>
    <s v="C"/>
    <s v="EGO_.png"/>
    <n v="2.9999999999999702"/>
    <n v="1.9999999999999851"/>
    <n v="-1.2666666666666646"/>
    <x v="1"/>
    <n v="-14.57"/>
    <x v="23"/>
    <n v="-1"/>
    <n v="-353.42400000000004"/>
    <n v="1.9999999999999851"/>
    <n v="0"/>
    <n v="0.26666666666666472"/>
    <n v="0.26666666666666472"/>
    <n v="2"/>
    <n v="2"/>
    <n v="-1.2666999999999999"/>
    <n v="-1.2666999999999999"/>
    <n v="0"/>
    <n v="0"/>
    <n v="-1.2666999999999999"/>
    <n v="-1.2666999999999999"/>
    <n v="-1.2666999999999999"/>
    <n v="-1.2666999999999999"/>
    <n v="0"/>
    <n v="0"/>
    <n v="0"/>
    <n v="0"/>
    <n v="0"/>
    <n v="0"/>
    <n v="0"/>
    <n v="0"/>
    <n v="0"/>
    <n v="0"/>
    <n v="0"/>
    <n v="1.3333333333333235"/>
    <n v="0"/>
    <n v="1.3333333333333235"/>
    <n v="1.3333333333333235"/>
    <n v="0"/>
    <n v="1.3333333333333235"/>
    <n v="-1.2666999999999999"/>
    <n v="0"/>
    <n v="0"/>
  </r>
  <r>
    <s v="CLDX"/>
    <x v="41"/>
    <d v="2019-02-04T00:00:00"/>
    <d v="1899-12-30T10:19:00"/>
    <d v="1899-12-30T10:29:00"/>
    <n v="3.06"/>
    <n v="21.6"/>
    <n v="500"/>
    <s v="BOT"/>
    <s v="BUY"/>
    <n v="0.67290000000000005"/>
    <n v="0.67500000000000004"/>
    <n v="0.65874999999999995"/>
    <n v="0.71819999999999995"/>
    <n v="0.71819999999999995"/>
    <n v="0.71819999999999995"/>
    <n v="0.67"/>
    <b v="0"/>
    <n v="0.75"/>
    <b v="0"/>
    <n v="0.64500000000000002"/>
    <b v="1"/>
    <m/>
    <b v="0"/>
    <m/>
    <m/>
    <b v="0"/>
    <m/>
    <m/>
    <b v="0"/>
    <x v="0"/>
    <x v="0"/>
    <s v="Healthcare"/>
    <x v="30"/>
    <m/>
    <s v="H"/>
    <m/>
    <n v="3.201413427561806"/>
    <n v="3.0530035335688748"/>
    <n v="-0.35335689045936158"/>
    <x v="0"/>
    <n v="18.540000000000003"/>
    <x v="24"/>
    <n v="-2.1200999999999999"/>
    <n v="-334.88400000000001"/>
    <s v="FALSE"/>
    <n v="0.14840989399293103"/>
    <n v="0"/>
    <n v="0.14840989399293103"/>
    <n v="5.3003999999999998"/>
    <n v="5.4488000000000003"/>
    <n v="3.0529999999999999"/>
    <n v="4.8515901060070687"/>
    <n v="4.8515901060070687"/>
    <n v="4.8515901060070687"/>
    <n v="4.8515901060070687"/>
    <n v="4.8515901060070687"/>
    <n v="4.8515901060070687"/>
    <n v="4.8515901060070687"/>
    <n v="4.8515901060070687"/>
    <n v="4.8515901060070687"/>
    <n v="4.8515901060070687"/>
    <n v="4.8515901060070687"/>
    <n v="4.8515901060070687"/>
    <n v="4.8515901060070687"/>
    <n v="4.8515901060070687"/>
    <n v="4.8515901060070687"/>
    <n v="4.8515901060070687"/>
    <n v="4.8515901060070687"/>
    <n v="4.8515901060070687"/>
    <n v="4.8515901060070687"/>
    <n v="4.8515901060070687"/>
    <n v="4.8515901060070687"/>
    <n v="-1.148409893992931"/>
    <n v="3.0529999999999999"/>
    <n v="3.0529999999999999"/>
    <n v="4.8515901060070687"/>
    <n v="4.8515901060070687"/>
    <n v="4.8515901060070687"/>
  </r>
  <r>
    <s v="BW"/>
    <x v="42"/>
    <d v="2019-02-04T00:00:00"/>
    <d v="1899-12-30T10:13:00"/>
    <d v="1899-12-30T10:44:00"/>
    <n v="3.06"/>
    <n v="-18.21"/>
    <n v="500"/>
    <s v="BO"/>
    <s v="BUY"/>
    <n v="0.68420000000000003"/>
    <n v="0.68479999999999996"/>
    <n v="0.67210000000000003"/>
    <n v="0.71730000000000005"/>
    <n v="0.65849999999999997"/>
    <n v="0.68500000000000005"/>
    <n v="0.65849999999999997"/>
    <n v="0.68500000000000005"/>
    <n v="0.68500000000000005"/>
    <b v="0"/>
    <b v="0"/>
    <b v="0"/>
    <m/>
    <b v="0"/>
    <m/>
    <m/>
    <b v="0"/>
    <m/>
    <m/>
    <n v="0.67500000000000004"/>
    <x v="2"/>
    <x v="0"/>
    <s v="Industial Goods"/>
    <x v="31"/>
    <m/>
    <s v="C"/>
    <s v="bw_-1.png"/>
    <n v="2.7355371900826464"/>
    <n v="1.6528925619842066E-2"/>
    <n v="-2.1735537190082637"/>
    <x v="1"/>
    <n v="-21.27"/>
    <x v="25"/>
    <s v="FALSE"/>
    <n v="-356.154"/>
    <n v="6.6115702479340732E-2"/>
    <n v="4.9586776859498638E-2"/>
    <n v="1.123966942148765"/>
    <n v="1.1735537190082637"/>
    <n v="1.6500000000000001E-2"/>
    <n v="6.6100000000000006E-2"/>
    <n v="-2.1736"/>
    <n v="-2.1736"/>
    <n v="-2.1736"/>
    <n v="-2.1736"/>
    <n v="-2.1736"/>
    <n v="-2.1736"/>
    <n v="-2.1736"/>
    <n v="-2.1736"/>
    <n v="-2.1736"/>
    <n v="-2.1736"/>
    <n v="-2.1736"/>
    <n v="-2.1736"/>
    <n v="-2.1736"/>
    <n v="-2.1736"/>
    <n v="-2.1736"/>
    <n v="-2.1736"/>
    <n v="-2.1736"/>
    <n v="-2.1736"/>
    <n v="-2.1736"/>
    <n v="-2.1736"/>
    <n v="-2.1736"/>
    <n v="-2.1736"/>
    <n v="-2.1736"/>
    <n v="-2.1736"/>
    <n v="-2.1736"/>
    <n v="-0.80991735537189424"/>
    <n v="-0.80991735537189424"/>
    <n v="-0.80991735537189424"/>
  </r>
  <r>
    <s v="INSY"/>
    <x v="43"/>
    <d v="2019-02-05T00:00:00"/>
    <d v="1899-12-30T10:02:00"/>
    <d v="1899-12-30T10:32:00"/>
    <n v="2.02"/>
    <n v="-11.85"/>
    <n v="100"/>
    <s v="BO"/>
    <s v="BUY"/>
    <n v="4.59"/>
    <n v="4.5880000000000001"/>
    <n v="4.49"/>
    <n v="4.8899999999999997"/>
    <n v="4.47"/>
    <n v="4.8600000000000003"/>
    <n v="4.47"/>
    <n v="4.8600000000000003"/>
    <n v="4.8600000000000003"/>
    <b v="0"/>
    <n v="4.4800000000000004"/>
    <b v="0"/>
    <m/>
    <n v="4.7300000000000004"/>
    <b v="0"/>
    <b v="0"/>
    <b v="0"/>
    <b v="0"/>
    <m/>
    <b v="0"/>
    <x v="0"/>
    <x v="2"/>
    <s v="Healthcare"/>
    <x v="32"/>
    <m/>
    <s v="H"/>
    <s v="insy -1.png"/>
    <n v="3.0000000000000089"/>
    <n v="2.7200000000000122"/>
    <n v="-1.1800000000000075"/>
    <x v="1"/>
    <n v="-13.87"/>
    <x v="26"/>
    <n v="-1.08"/>
    <n v="-370.024"/>
    <n v="2.7000000000000144"/>
    <n v="-1.9999999999997908E-2"/>
    <n v="0.20000000000000534"/>
    <n v="0.18000000000000743"/>
    <n v="2.72"/>
    <n v="2.7"/>
    <n v="-1.18"/>
    <n v="-1.18"/>
    <n v="1.9999999999997908E-2"/>
    <n v="1.9999999999997908E-2"/>
    <n v="-1.18"/>
    <n v="-1.18"/>
    <n v="-1.18"/>
    <n v="-1.18"/>
    <n v="1.9999999999997908E-2"/>
    <n v="1.9999999999997908E-2"/>
    <n v="1.9999999999997908E-2"/>
    <n v="1.9999999999997908E-2"/>
    <n v="1.9999999999997908E-2"/>
    <n v="1.9999999999997908E-2"/>
    <n v="1.9999999999997908E-2"/>
    <n v="1.9999999999997908E-2"/>
    <n v="-1.18"/>
    <n v="1.9999999999997908E-2"/>
    <n v="1.9999999999997908E-2"/>
    <n v="1.4200000000000086"/>
    <n v="1.4200000000000086"/>
    <n v="1.4200000000000086"/>
    <n v="1.4200000000000086"/>
    <n v="1.4200000000000086"/>
    <n v="1.4200000000000086"/>
    <n v="-1.18"/>
    <n v="1.9999999999997908E-2"/>
    <n v="1.9999999999997908E-2"/>
  </r>
  <r>
    <s v="TRVN"/>
    <x v="44"/>
    <d v="2019-02-05T00:00:00"/>
    <d v="1899-12-30T10:25:00"/>
    <d v="1899-12-30T11:49:00"/>
    <n v="3.04"/>
    <n v="27"/>
    <n v="300"/>
    <s v="BO"/>
    <s v="BUY"/>
    <n v="1.27"/>
    <n v="1.27"/>
    <n v="1.24"/>
    <n v="1.36"/>
    <n v="1.36"/>
    <n v="1.36"/>
    <n v="1.25"/>
    <n v="1.34"/>
    <n v="1.4"/>
    <n v="1.29"/>
    <b v="0"/>
    <b v="1"/>
    <m/>
    <n v="1.29"/>
    <b v="0"/>
    <b v="0"/>
    <n v="1.33"/>
    <b v="0"/>
    <b v="0"/>
    <b v="0"/>
    <x v="0"/>
    <x v="0"/>
    <s v="Healthcare"/>
    <x v="33"/>
    <m/>
    <s v="C"/>
    <s v="trvn +3.png"/>
    <n v="3"/>
    <n v="3"/>
    <n v="-0.66666666666666663"/>
    <x v="0"/>
    <n v="23.96"/>
    <x v="27"/>
    <s v="FALSE"/>
    <n v="-346.06400000000002"/>
    <n v="2.3333333333333335"/>
    <n v="0"/>
    <n v="0"/>
    <n v="0"/>
    <n v="4.3333000000000004"/>
    <n v="4.3333000000000004"/>
    <n v="3"/>
    <n v="-1"/>
    <n v="0"/>
    <n v="0"/>
    <n v="-1"/>
    <n v="-1"/>
    <n v="-1"/>
    <n v="-1"/>
    <n v="0"/>
    <n v="0"/>
    <n v="0"/>
    <n v="0"/>
    <n v="0"/>
    <n v="0"/>
    <n v="0"/>
    <n v="0"/>
    <n v="0.66666666666666663"/>
    <n v="0.66666666666666663"/>
    <n v="0.66666666666666663"/>
    <n v="0.66666666666666663"/>
    <n v="0.66666666666666663"/>
    <n v="0.66666666666666663"/>
    <n v="0.66666666666666663"/>
    <n v="0.66666666666666663"/>
    <n v="0.66666666666666663"/>
    <n v="-1"/>
    <n v="0"/>
    <n v="0"/>
  </r>
  <r>
    <s v="TPNL"/>
    <x v="45"/>
    <d v="2019-02-07T00:00:00"/>
    <d v="1899-12-30T09:52:00"/>
    <d v="1899-12-30T09:55:00"/>
    <n v="2.0299999999999998"/>
    <n v="28"/>
    <n v="200"/>
    <s v="BOT"/>
    <s v="BUY"/>
    <n v="5.57"/>
    <n v="5.58"/>
    <n v="5.52"/>
    <n v="5.72"/>
    <n v="5.72"/>
    <n v="5.72"/>
    <n v="5.56"/>
    <n v="5.87"/>
    <n v="5.87"/>
    <b v="0"/>
    <n v="5.52"/>
    <b v="1"/>
    <m/>
    <b v="0"/>
    <m/>
    <m/>
    <n v="5.65"/>
    <n v="5"/>
    <b v="0"/>
    <b v="0"/>
    <x v="0"/>
    <x v="0"/>
    <s v="Services"/>
    <x v="34"/>
    <m/>
    <s v="C"/>
    <s v="TPNL +3.png"/>
    <n v="2.9999999999999467"/>
    <n v="2.7999999999999536"/>
    <n v="-0.40000000000000357"/>
    <x v="0"/>
    <n v="25.97"/>
    <x v="0"/>
    <n v="-1.2"/>
    <n v="-320.09400000000005"/>
    <n v="5.9999999999999112"/>
    <n v="0.19999999999999285"/>
    <n v="0"/>
    <n v="0.19999999999999285"/>
    <n v="5.8"/>
    <n v="6"/>
    <n v="2.8"/>
    <n v="4.8000000000000069"/>
    <n v="4.8000000000000069"/>
    <n v="4.8000000000000069"/>
    <n v="4.8000000000000069"/>
    <n v="4.8000000000000069"/>
    <n v="4.8000000000000069"/>
    <n v="4.8000000000000069"/>
    <n v="4.8000000000000069"/>
    <n v="4.8000000000000069"/>
    <n v="4.8000000000000069"/>
    <n v="4.8000000000000069"/>
    <n v="4.8000000000000069"/>
    <n v="4.8000000000000069"/>
    <n v="4.8000000000000069"/>
    <n v="4.8000000000000069"/>
    <n v="4.8000000000000069"/>
    <n v="4.8000000000000069"/>
    <n v="4.8000000000000069"/>
    <n v="4.8000000000000069"/>
    <n v="4.8000000000000069"/>
    <n v="4.8000000000000069"/>
    <n v="-1.1999999999999929"/>
    <n v="-0.19999999999999285"/>
    <n v="-0.19999999999999285"/>
    <n v="4.8000000000000069"/>
    <n v="4.8000000000000069"/>
    <n v="4.8000000000000069"/>
  </r>
  <r>
    <s v="SPI"/>
    <x v="46"/>
    <d v="2019-02-11T00:00:00"/>
    <d v="1899-12-30T10:28:00"/>
    <d v="1899-12-30T10:47:00"/>
    <n v="2.0099999999999998"/>
    <n v="-11.91"/>
    <n v="66"/>
    <s v="BO"/>
    <s v="BUY"/>
    <n v="4.51"/>
    <n v="4.5199999999999996"/>
    <n v="4.3600000000000003"/>
    <n v="4.96"/>
    <n v="4.34"/>
    <n v="4.92"/>
    <n v="4.28"/>
    <n v="4.92"/>
    <n v="4.92"/>
    <b v="0"/>
    <b v="0"/>
    <b v="0"/>
    <m/>
    <n v="4.7"/>
    <b v="0"/>
    <b v="0"/>
    <n v="4.63"/>
    <b v="0"/>
    <n v="1.5"/>
    <n v="4.4000000000000004"/>
    <x v="0"/>
    <x v="0"/>
    <s v="Technology"/>
    <x v="35"/>
    <m/>
    <s v="C"/>
    <s v="spi -1.png"/>
    <n v="3.000000000000012"/>
    <n v="2.6666666666666785"/>
    <n v="-1.6000000000000012"/>
    <x v="1"/>
    <n v="-13.92"/>
    <x v="5"/>
    <s v="FALSE"/>
    <n v="-334.01400000000007"/>
    <n v="2.7333333333333441"/>
    <n v="6.6666666666665542E-2"/>
    <n v="0.13333333333333688"/>
    <n v="0.20000000000000243"/>
    <n v="2.6667000000000001"/>
    <n v="2.7332999999999998"/>
    <n v="-1.2"/>
    <n v="-1.2"/>
    <n v="-6.6666666666665542E-2"/>
    <n v="-6.6666666666665542E-2"/>
    <n v="-1.2"/>
    <n v="-1.2"/>
    <n v="-1.2"/>
    <n v="-1.2"/>
    <n v="-6.6666666666665542E-2"/>
    <n v="-6.6666666666665542E-2"/>
    <n v="-6.6666666666665542E-2"/>
    <n v="-6.6666666666665542E-2"/>
    <n v="-6.6666666666665542E-2"/>
    <n v="-6.6666666666665542E-2"/>
    <n v="-6.6666666666665542E-2"/>
    <n v="-6.6666666666665542E-2"/>
    <n v="-1.2"/>
    <n v="-6.6666666666665542E-2"/>
    <n v="-6.6666666666665542E-2"/>
    <n v="1.2000000000000084"/>
    <n v="1.2000000000000084"/>
    <n v="1.2000000000000084"/>
    <n v="1.2000000000000084"/>
    <n v="1.2000000000000084"/>
    <n v="1.2000000000000084"/>
    <n v="-0.7999999999999976"/>
    <n v="-0.7999999999999976"/>
    <n v="-0.7999999999999976"/>
  </r>
  <r>
    <s v="CLD"/>
    <x v="47"/>
    <d v="2019-02-12T00:00:00"/>
    <d v="1899-12-30T10:14:00"/>
    <d v="1899-12-30T10:23:00"/>
    <n v="5.0599999999999996"/>
    <n v="-8.3000000000000007"/>
    <n v="500"/>
    <s v="BO"/>
    <s v="BUY"/>
    <n v="0.68859999999999999"/>
    <n v="0.68859999999999999"/>
    <n v="0.67430000000000001"/>
    <n v="0.73280000000000001"/>
    <n v="0.67200000000000004"/>
    <n v="0.70299999999999996"/>
    <n v="0.67200000000000004"/>
    <n v="0.70299999999999996"/>
    <n v="0.70299999999999996"/>
    <b v="0"/>
    <n v="0.67200000000000004"/>
    <b v="0"/>
    <m/>
    <n v="0.69169999999999998"/>
    <b v="0"/>
    <n v="1"/>
    <b v="0"/>
    <b v="0"/>
    <m/>
    <b v="0"/>
    <x v="3"/>
    <x v="3"/>
    <s v="Basic Materials"/>
    <x v="36"/>
    <m/>
    <s v="L"/>
    <s v="CLD -1.png"/>
    <n v="3.0909090909090966"/>
    <n v="1.0069930069930062"/>
    <n v="-1.1608391608391588"/>
    <x v="1"/>
    <n v="-13.36"/>
    <x v="28"/>
    <n v="-1.1608000000000001"/>
    <n v="-347.37400000000008"/>
    <n v="1.0069930069930062"/>
    <n v="0"/>
    <n v="0.16083916083915889"/>
    <n v="0.16083916083915889"/>
    <n v="1.0069999999999999"/>
    <n v="1.0069999999999999"/>
    <n v="-1.1608000000000001"/>
    <n v="-1.1608000000000001"/>
    <n v="0"/>
    <n v="-1.1608000000000001"/>
    <n v="-1.1608000000000001"/>
    <n v="-1.1608000000000001"/>
    <n v="-1.1608000000000001"/>
    <n v="-1.1608000000000001"/>
    <n v="0"/>
    <n v="0"/>
    <n v="0"/>
    <n v="0"/>
    <n v="-1.1608000000000001"/>
    <n v="-1.1608000000000001"/>
    <n v="-1.1608000000000001"/>
    <n v="-1.1608000000000001"/>
    <n v="-1.1608000000000001"/>
    <n v="0"/>
    <n v="-1.1608000000000001"/>
    <n v="0.21678321678321652"/>
    <n v="0"/>
    <n v="0.21678321678321652"/>
    <n v="0.21678321678321652"/>
    <n v="0"/>
    <n v="0.21678321678321652"/>
    <n v="-1.1608000000000001"/>
    <n v="0"/>
    <n v="-1.1608000000000001"/>
  </r>
  <r>
    <s v="WORX"/>
    <x v="48"/>
    <d v="2019-02-12T00:00:00"/>
    <d v="1899-12-30T10:51:00"/>
    <d v="1899-12-30T10:58:00"/>
    <n v="2.0099999999999998"/>
    <n v="-14.25"/>
    <n v="66"/>
    <s v="BO"/>
    <s v="SELL"/>
    <n v="7.03"/>
    <n v="7.07"/>
    <n v="7.18"/>
    <n v="6.58"/>
    <n v="7.35"/>
    <n v="7.35"/>
    <n v="6.91"/>
    <n v="6.91"/>
    <n v="6.91"/>
    <b v="0"/>
    <n v="7.21"/>
    <b v="0"/>
    <b v="0"/>
    <b v="0"/>
    <m/>
    <m/>
    <b v="0"/>
    <m/>
    <m/>
    <b v="0"/>
    <x v="2"/>
    <x v="1"/>
    <s v="Technology"/>
    <x v="0"/>
    <m/>
    <s v="C"/>
    <s v="wonx -1.png"/>
    <n v="3.000000000000012"/>
    <n v="1.0666666666666713"/>
    <n v="-1.8666666666666691"/>
    <x v="1"/>
    <n v="-16.259999999999998"/>
    <x v="13"/>
    <n v="-0.93330000000000002"/>
    <n v="-363.63400000000007"/>
    <n v="0.8000000000000036"/>
    <n v="-0.26666666666666783"/>
    <n v="1.5454545454545527"/>
    <n v="1.278787878787885"/>
    <n v="1.0667"/>
    <n v="0.8"/>
    <n v="-1.8667"/>
    <n v="-1.8667"/>
    <n v="-1.8667"/>
    <n v="-1.8667"/>
    <n v="-1.8667"/>
    <n v="-1.8667"/>
    <n v="-1.8667"/>
    <n v="-1.8667"/>
    <n v="-1.8667"/>
    <n v="-1.8667"/>
    <n v="-1.8667"/>
    <n v="-1.8667"/>
    <n v="-1.8667"/>
    <n v="-1.8667"/>
    <n v="-1.8667"/>
    <n v="-1.8667"/>
    <n v="-1.8667"/>
    <n v="-1.8667"/>
    <n v="-1.8667"/>
    <n v="-1.8667"/>
    <n v="-1.8667"/>
    <n v="-1.8667"/>
    <n v="-1.8667"/>
    <n v="-1.8667"/>
    <n v="-1.8667"/>
    <n v="-1.8667"/>
    <n v="-1.8667"/>
    <n v="-1.8667"/>
  </r>
  <r>
    <s v="APDN"/>
    <x v="49"/>
    <d v="2019-02-12T00:00:00"/>
    <d v="1899-12-30T11:03:00"/>
    <d v="1899-12-30T11:15:00"/>
    <n v="3.06"/>
    <n v="-8.25"/>
    <n v="500"/>
    <s v="BO"/>
    <s v="BUY"/>
    <n v="0.629"/>
    <n v="0.63"/>
    <n v="0.60950000000000004"/>
    <n v="0.67600000000000005"/>
    <n v="0.61299999999999999"/>
    <n v="0.67889999999999995"/>
    <n v="0.61299999999999999"/>
    <n v="0.67889999999999995"/>
    <n v="0.67889999999999995"/>
    <b v="0"/>
    <b v="0"/>
    <b v="0"/>
    <m/>
    <n v="0.62"/>
    <b v="0"/>
    <n v="1.5"/>
    <b v="0"/>
    <b v="0"/>
    <m/>
    <b v="0"/>
    <x v="0"/>
    <x v="0"/>
    <s v="Technology"/>
    <x v="37"/>
    <m/>
    <s v="C"/>
    <s v="APDN -1.png"/>
    <n v="2.4102564102564172"/>
    <n v="2.5076923076923099"/>
    <n v="-0.87179487179487425"/>
    <x v="1"/>
    <n v="-11.31"/>
    <x v="20"/>
    <s v="FALSE"/>
    <n v="-374.94400000000007"/>
    <n v="2.558974358974361"/>
    <n v="5.1282051282051322E-2"/>
    <n v="-0.17948717948717716"/>
    <n v="-0.12820512820512583"/>
    <n v="2.5076999999999998"/>
    <n v="2.5590000000000002"/>
    <n v="-0.87180000000000002"/>
    <n v="-0.87180000000000002"/>
    <n v="-5.1282051282051322E-2"/>
    <n v="-5.1282051282051322E-2"/>
    <n v="-0.87180000000000002"/>
    <n v="-0.87180000000000002"/>
    <n v="-0.87180000000000002"/>
    <n v="-0.87180000000000002"/>
    <n v="-5.1282051282051322E-2"/>
    <n v="-5.1282051282051322E-2"/>
    <n v="-5.1282051282051322E-2"/>
    <n v="-5.1282051282051322E-2"/>
    <n v="-5.1282051282051322E-2"/>
    <n v="-5.1282051282051322E-2"/>
    <n v="-5.1282051282051322E-2"/>
    <n v="-5.1282051282051322E-2"/>
    <n v="-0.87180000000000002"/>
    <n v="-5.1282051282051322E-2"/>
    <n v="-5.1282051282051322E-2"/>
    <n v="-0.51282051282051433"/>
    <n v="-5.1282051282051322E-2"/>
    <n v="-5.1282051282051322E-2"/>
    <n v="-0.51282051282051433"/>
    <n v="-5.1282051282051322E-2"/>
    <n v="-5.1282051282051322E-2"/>
    <n v="-0.87180000000000002"/>
    <n v="-5.1282051282051322E-2"/>
    <n v="-5.1282051282051322E-2"/>
  </r>
  <r>
    <s v="SNAP"/>
    <x v="50"/>
    <d v="2019-02-13T00:00:00"/>
    <d v="1899-12-30T09:46:00"/>
    <d v="1899-12-30T09:48:00"/>
    <n v="4.07"/>
    <n v="27"/>
    <n v="300"/>
    <s v="BO"/>
    <s v="BUY"/>
    <n v="8.9600000000000009"/>
    <n v="8.9600000000000009"/>
    <n v="8.93"/>
    <n v="9.0500000000000007"/>
    <n v="9.0500000000000007"/>
    <n v="9.0500000000000007"/>
    <n v="8.9499999999999993"/>
    <b v="0"/>
    <n v="9.23"/>
    <b v="0"/>
    <b v="0"/>
    <b v="1"/>
    <m/>
    <n v="9.1999999999999993"/>
    <n v="5"/>
    <b v="0"/>
    <n v="9.1999999999999993"/>
    <n v="5"/>
    <b v="0"/>
    <b v="0"/>
    <x v="0"/>
    <x v="0"/>
    <s v="Technology"/>
    <x v="38"/>
    <m/>
    <s v="C"/>
    <s v="SNAP_+3.png"/>
    <n v="2.9999999999998814"/>
    <n v="2.9999999999998814"/>
    <n v="-0.33333333333337278"/>
    <x v="0"/>
    <n v="22.93"/>
    <x v="7"/>
    <s v="FALSE"/>
    <n v="-352.01400000000007"/>
    <s v="FALSE"/>
    <n v="0"/>
    <n v="0"/>
    <n v="0"/>
    <n v="9"/>
    <n v="9"/>
    <n v="3"/>
    <n v="5"/>
    <n v="5"/>
    <n v="5"/>
    <n v="5"/>
    <n v="5"/>
    <n v="5"/>
    <n v="5"/>
    <n v="5"/>
    <n v="5"/>
    <n v="5"/>
    <n v="5"/>
    <n v="5"/>
    <n v="5"/>
    <n v="5"/>
    <n v="5"/>
    <n v="5"/>
    <n v="5"/>
    <n v="5"/>
    <n v="5"/>
    <n v="5"/>
    <n v="5"/>
    <n v="7.9999999999996447"/>
    <n v="7.9999999999996447"/>
    <n v="7.9999999999996447"/>
    <n v="5"/>
    <n v="5"/>
    <n v="5"/>
  </r>
  <r>
    <s v="SNAP"/>
    <x v="51"/>
    <d v="2019-02-13T00:00:00"/>
    <d v="1899-12-30T09:59:00"/>
    <d v="1899-12-30T10:04:00"/>
    <n v="2.56"/>
    <n v="-22.110000000000003"/>
    <n v="250"/>
    <s v="BO"/>
    <s v="BUY"/>
    <n v="9.17"/>
    <n v="9.1679999999999993"/>
    <n v="9.1199999999999992"/>
    <n v="9.2899999999999991"/>
    <n v="9.08"/>
    <n v="9.18"/>
    <n v="9.08"/>
    <n v="9.18"/>
    <n v="9.18"/>
    <b v="0"/>
    <b v="0"/>
    <b v="0"/>
    <b v="0"/>
    <b v="0"/>
    <m/>
    <m/>
    <b v="0"/>
    <m/>
    <m/>
    <b v="0"/>
    <x v="2"/>
    <x v="1"/>
    <s v="Technology"/>
    <x v="38"/>
    <m/>
    <s v="C"/>
    <s v="SNAP_+3.png"/>
    <n v="2.3999999999999502"/>
    <n v="0.24000000000000568"/>
    <n v="-1.7599999999999587"/>
    <x v="1"/>
    <n v="-24.67"/>
    <x v="16"/>
    <s v="FALSE"/>
    <n v="-376.68400000000008"/>
    <n v="0.19999999999999291"/>
    <n v="-4.0000000000012803E-2"/>
    <n v="0.79999999999997162"/>
    <n v="0.75999999999995882"/>
    <n v="0.24"/>
    <n v="0.2"/>
    <n v="-1.76"/>
    <n v="-1.76"/>
    <n v="-1.76"/>
    <n v="-1.76"/>
    <n v="-1.76"/>
    <n v="-1.76"/>
    <n v="-1.76"/>
    <n v="-1.76"/>
    <n v="-1.76"/>
    <n v="-1.76"/>
    <n v="-1.76"/>
    <n v="-1.76"/>
    <n v="-1.76"/>
    <n v="-1.76"/>
    <n v="-1.76"/>
    <n v="-1.76"/>
    <n v="-1.76"/>
    <n v="-1.76"/>
    <n v="-1.76"/>
    <n v="-1.76"/>
    <n v="-1.76"/>
    <n v="-1.76"/>
    <n v="-1.76"/>
    <n v="-1.76"/>
    <n v="-1.76"/>
    <n v="-1.76"/>
    <n v="-1.76"/>
    <n v="-1.76"/>
  </r>
  <r>
    <s v="CVE"/>
    <x v="52"/>
    <d v="2019-02-13T00:00:00"/>
    <d v="1899-12-30T09:52:00"/>
    <d v="1899-12-30T10:35:00"/>
    <n v="2.36"/>
    <n v="28"/>
    <n v="200"/>
    <s v="BO"/>
    <s v="BUY"/>
    <n v="8.0399999999999991"/>
    <n v="8.0500000000000007"/>
    <n v="7.99"/>
    <n v="8.19"/>
    <n v="8.19"/>
    <n v="8.19"/>
    <n v="7.98"/>
    <n v="8.08"/>
    <n v="8.4499999999999993"/>
    <n v="8.11"/>
    <b v="0"/>
    <b v="1"/>
    <m/>
    <n v="8.11"/>
    <b v="0"/>
    <b v="0"/>
    <n v="8.36"/>
    <b v="0"/>
    <b v="0"/>
    <b v="0"/>
    <x v="2"/>
    <x v="3"/>
    <s v="Basic Materials"/>
    <x v="39"/>
    <m/>
    <s v="C"/>
    <s v="CVE_+3.png"/>
    <n v="3.0000000000000711"/>
    <n v="2.8000000000000353"/>
    <n v="-1.4000000000000354"/>
    <x v="0"/>
    <n v="25.64"/>
    <x v="29"/>
    <s v="FALSE"/>
    <n v="-351.0440000000001"/>
    <n v="0.80000000000003557"/>
    <n v="0.20000000000003548"/>
    <n v="0"/>
    <n v="0.20000000000003548"/>
    <n v="8"/>
    <n v="8.1999999999999993"/>
    <n v="2.8"/>
    <n v="4.7999999999999643"/>
    <n v="4.7999999999999643"/>
    <n v="4.7999999999999643"/>
    <n v="4.7999999999999643"/>
    <n v="4.7999999999999643"/>
    <n v="4.7999999999999643"/>
    <n v="4.7999999999999643"/>
    <n v="4.7999999999999643"/>
    <n v="4.7999999999999643"/>
    <n v="4.7999999999999643"/>
    <n v="4.7999999999999643"/>
    <n v="4.7999999999999643"/>
    <n v="4.7999999999999643"/>
    <n v="4.7999999999999643"/>
    <n v="4.7999999999999643"/>
    <n v="1.2"/>
    <n v="1.2"/>
    <n v="1.2"/>
    <n v="1.2"/>
    <n v="1.2"/>
    <n v="1.2"/>
    <n v="1.2"/>
    <n v="1.2"/>
    <n v="1.2"/>
    <n v="4.7999999999999643"/>
    <n v="4.7999999999999643"/>
    <n v="4.7999999999999643"/>
  </r>
  <r>
    <s v="IVC"/>
    <x v="53"/>
    <d v="2019-02-14T00:00:00"/>
    <d v="1899-12-30T09:43:00"/>
    <d v="1899-12-30T09:46:00"/>
    <n v="2.02"/>
    <n v="29"/>
    <n v="100"/>
    <s v="BO"/>
    <s v="BUY"/>
    <n v="8.1"/>
    <n v="8.11"/>
    <n v="8"/>
    <n v="8.4"/>
    <n v="8.4"/>
    <n v="8.4"/>
    <n v="8"/>
    <b v="0"/>
    <n v="9.06"/>
    <b v="0"/>
    <b v="0"/>
    <b v="1"/>
    <m/>
    <n v="8.66"/>
    <n v="5"/>
    <b v="0"/>
    <n v="8.49"/>
    <n v="5"/>
    <b v="0"/>
    <b v="0"/>
    <x v="0"/>
    <x v="0"/>
    <s v="Healthcare"/>
    <x v="40"/>
    <m/>
    <s v="C"/>
    <s v="ivc+3.png"/>
    <n v="3.0000000000000178"/>
    <n v="2.9000000000000195"/>
    <n v="-1.0999999999999983"/>
    <x v="0"/>
    <n v="26.98"/>
    <x v="0"/>
    <s v="FALSE"/>
    <n v="-324.06400000000008"/>
    <s v="FALSE"/>
    <n v="9.9999999999998312E-2"/>
    <n v="0"/>
    <n v="9.9999999999998312E-2"/>
    <n v="9.5"/>
    <n v="9.6"/>
    <n v="2.9"/>
    <n v="4.9000000000000021"/>
    <n v="4.9000000000000021"/>
    <n v="4.9000000000000021"/>
    <n v="4.9000000000000021"/>
    <n v="4.9000000000000021"/>
    <n v="4.9000000000000021"/>
    <n v="4.9000000000000021"/>
    <n v="4.9000000000000021"/>
    <n v="4.9000000000000021"/>
    <n v="4.9000000000000021"/>
    <n v="4.9000000000000021"/>
    <n v="4.9000000000000021"/>
    <n v="4.9000000000000021"/>
    <n v="4.9000000000000021"/>
    <n v="4.9000000000000021"/>
    <n v="4.9000000000000021"/>
    <n v="4.9000000000000021"/>
    <n v="4.9000000000000021"/>
    <n v="4.9000000000000021"/>
    <n v="4.9000000000000021"/>
    <n v="4.9000000000000021"/>
    <n v="5.5000000000000266"/>
    <n v="5.5000000000000266"/>
    <n v="5.5000000000000266"/>
    <n v="4.9000000000000021"/>
    <n v="4.9000000000000021"/>
    <n v="4.9000000000000021"/>
  </r>
  <r>
    <s v="SPWR"/>
    <x v="54"/>
    <d v="2019-02-14T00:00:00"/>
    <d v="1899-12-30T10:05:00"/>
    <d v="1899-12-30T10:55:00"/>
    <n v="2.04"/>
    <n v="-23.07"/>
    <n v="200"/>
    <s v="BO"/>
    <s v="BUY"/>
    <n v="6.47"/>
    <n v="6.476"/>
    <n v="6.42"/>
    <n v="6.62"/>
    <n v="6.3620000000000001"/>
    <n v="6.59"/>
    <n v="6.3620000000000001"/>
    <n v="6.55"/>
    <n v="6.59"/>
    <b v="0"/>
    <b v="0"/>
    <b v="0"/>
    <m/>
    <n v="6.47"/>
    <b v="0"/>
    <n v="1.5"/>
    <n v="6.46"/>
    <b v="0"/>
    <n v="1.5"/>
    <b v="0"/>
    <x v="3"/>
    <x v="0"/>
    <s v="Technology"/>
    <x v="41"/>
    <m/>
    <s v="C"/>
    <s v="SPWR -1.png"/>
    <n v="3.0000000000000178"/>
    <n v="2.2800000000000056"/>
    <n v="-2.2800000000000056"/>
    <x v="1"/>
    <n v="-25.11"/>
    <x v="30"/>
    <s v="FALSE"/>
    <n v="-349.17400000000009"/>
    <n v="1.6000000000000072"/>
    <n v="0.12000000000000499"/>
    <n v="1.1600000000000008"/>
    <n v="1.2800000000000058"/>
    <n v="2.2799999999999998"/>
    <n v="2.4"/>
    <n v="-2.2799999999999998"/>
    <n v="-2.2799999999999998"/>
    <n v="-0.12000000000000499"/>
    <n v="-0.12000000000000499"/>
    <n v="-2.2799999999999998"/>
    <n v="-2.2799999999999998"/>
    <n v="-2.2799999999999998"/>
    <n v="-2.2799999999999998"/>
    <n v="-0.12000000000000499"/>
    <n v="-0.12000000000000499"/>
    <n v="-0.12000000000000499"/>
    <n v="-0.12000000000000499"/>
    <n v="-0.12000000000000499"/>
    <n v="-0.12000000000000499"/>
    <n v="-0.12000000000000499"/>
    <n v="-0.12000000000000499"/>
    <n v="-2.2799999999999998"/>
    <n v="-0.12000000000000499"/>
    <n v="-0.12000000000000499"/>
    <n v="-0.12000000000000498"/>
    <n v="-0.12000000000000499"/>
    <n v="-0.12000000000000499"/>
    <n v="-0.12000000000000498"/>
    <n v="-0.12000000000000499"/>
    <n v="-0.12000000000000499"/>
    <n v="-2.2799999999999998"/>
    <n v="-0.12000000000000499"/>
    <n v="-0.12000000000000499"/>
  </r>
  <r>
    <s v="SKYS"/>
    <x v="55"/>
    <d v="2019-02-15T00:00:00"/>
    <d v="1899-12-30T10:16:00"/>
    <d v="1899-12-30T10:23:00"/>
    <n v="2.0299999999999998"/>
    <n v="30"/>
    <n v="200"/>
    <s v="BO"/>
    <s v="BUY"/>
    <n v="1.17"/>
    <n v="1.17"/>
    <n v="1.1200000000000001"/>
    <n v="1.32"/>
    <n v="1.32"/>
    <n v="1.32"/>
    <n v="1.0900000000000001"/>
    <n v="1.47"/>
    <n v="1.58"/>
    <b v="0"/>
    <n v="1.08"/>
    <b v="1"/>
    <m/>
    <n v="1.24"/>
    <n v="5"/>
    <b v="0"/>
    <n v="1.39"/>
    <n v="5"/>
    <b v="0"/>
    <b v="0"/>
    <x v="0"/>
    <x v="0"/>
    <s v="Utilities"/>
    <x v="42"/>
    <m/>
    <s v="C"/>
    <s v="SKYS +3.png"/>
    <n v="3.0000000000000133"/>
    <n v="3.0000000000000133"/>
    <n v="-1.6000000000000028"/>
    <x v="0"/>
    <n v="27.97"/>
    <x v="13"/>
    <n v="-1.8"/>
    <n v="-321.20400000000006"/>
    <n v="6.0000000000000222"/>
    <n v="0"/>
    <n v="0"/>
    <n v="0"/>
    <n v="8.1999999999999993"/>
    <n v="8.1999999999999993"/>
    <n v="3"/>
    <n v="5"/>
    <n v="5"/>
    <n v="5"/>
    <n v="5"/>
    <n v="5"/>
    <n v="5"/>
    <n v="5"/>
    <n v="5"/>
    <n v="5"/>
    <n v="5"/>
    <n v="5"/>
    <n v="5"/>
    <n v="5"/>
    <n v="5"/>
    <n v="5"/>
    <n v="5"/>
    <n v="5"/>
    <n v="5"/>
    <n v="5"/>
    <n v="5"/>
    <n v="5"/>
    <n v="1.4000000000000061"/>
    <n v="1.4000000000000061"/>
    <n v="1.4000000000000061"/>
    <n v="5"/>
    <n v="5"/>
    <n v="5"/>
  </r>
  <r>
    <s v="ECA"/>
    <x v="56"/>
    <d v="2019-02-15T00:00:00"/>
    <d v="1899-12-30T10:11:00"/>
    <d v="1899-12-30T14:33:00"/>
    <n v="3.06"/>
    <n v="27.48"/>
    <n v="300"/>
    <s v="BO"/>
    <s v="BUY"/>
    <n v="6.77"/>
    <n v="6.7679999999999998"/>
    <n v="6.74"/>
    <n v="6.86"/>
    <n v="6.86"/>
    <n v="6.86"/>
    <n v="6.74"/>
    <n v="6.79"/>
    <n v="6.92"/>
    <b v="0"/>
    <n v="6.75"/>
    <b v="1"/>
    <m/>
    <n v="6.77"/>
    <b v="0"/>
    <b v="0"/>
    <n v="6.79"/>
    <b v="0"/>
    <b v="0"/>
    <b v="0"/>
    <x v="3"/>
    <x v="3"/>
    <s v="Basic Materials"/>
    <x v="43"/>
    <m/>
    <s v="L"/>
    <s v="eca +3.png"/>
    <n v="3.0000000000000888"/>
    <n v="3.0666666666667495"/>
    <n v="-0.93333333333333923"/>
    <x v="0"/>
    <n v="24.42"/>
    <x v="31"/>
    <n v="-0.6"/>
    <n v="-296.78400000000005"/>
    <n v="0.66666666666669627"/>
    <n v="-6.6666666666660768E-2"/>
    <n v="0"/>
    <n v="-6.6666666666660768E-2"/>
    <n v="5.0667"/>
    <n v="5"/>
    <n v="3.0667"/>
    <n v="5.0666666666666611"/>
    <n v="5.0666666666666611"/>
    <n v="5.0666666666666611"/>
    <n v="5.0666666666666611"/>
    <n v="5.0666666666666611"/>
    <n v="5.0666666666666611"/>
    <n v="5.0666666666666611"/>
    <n v="5.0666666666666611"/>
    <n v="5.0666666666666611"/>
    <n v="5.0666666666666611"/>
    <n v="5.0666666666666611"/>
    <n v="5.0666666666666611"/>
    <n v="5.0666666666666611"/>
    <n v="5.0666666666666611"/>
    <n v="5.0666666666666611"/>
    <n v="5.0666666666666611"/>
    <n v="5.0666666666666611"/>
    <n v="5.0666666666666611"/>
    <n v="6.666666666666074E-2"/>
    <n v="6.666666666666074E-2"/>
    <n v="6.666666666666074E-2"/>
    <n v="6.666666666666074E-2"/>
    <n v="6.666666666666074E-2"/>
    <n v="6.666666666666074E-2"/>
    <n v="5.0666666666666611"/>
    <n v="5.0666666666666611"/>
    <n v="5.0666666666666611"/>
  </r>
  <r>
    <s v="INSY"/>
    <x v="57"/>
    <d v="2019-02-19T00:00:00"/>
    <d v="1899-12-30T09:57:00"/>
    <d v="1899-12-30T09:58:00"/>
    <n v="1"/>
    <n v="-22"/>
    <n v="300"/>
    <s v="BO"/>
    <s v="BUY"/>
    <n v="5.35"/>
    <n v="5.34"/>
    <n v="5.32"/>
    <n v="5.44"/>
    <n v="5.27"/>
    <n v="5.34"/>
    <n v="5.27"/>
    <n v="5.34"/>
    <n v="5.34"/>
    <b v="0"/>
    <b v="0"/>
    <b v="0"/>
    <b v="0"/>
    <b v="0"/>
    <m/>
    <m/>
    <b v="0"/>
    <m/>
    <m/>
    <b v="0"/>
    <x v="2"/>
    <x v="1"/>
    <s v="Healthcare"/>
    <x v="37"/>
    <m/>
    <s v="C"/>
    <s v="INSY -11.png"/>
    <n v="3.0000000000000888"/>
    <n v="0"/>
    <n v="-2.3333333333333925"/>
    <x v="1"/>
    <n v="-23"/>
    <x v="3"/>
    <s v="FALSE"/>
    <n v="-319.78400000000005"/>
    <n v="-0.33333333333333331"/>
    <n v="-0.33333333333333337"/>
    <n v="1.6666666666667258"/>
    <n v="1.3333333333333925"/>
    <n v="0"/>
    <n v="-0.33329999999999999"/>
    <n v="-2.3332999999999999"/>
    <n v="-2.3332999999999999"/>
    <n v="-2.3332999999999999"/>
    <n v="-2.3332999999999999"/>
    <n v="-2.3332999999999999"/>
    <n v="-2.3332999999999999"/>
    <n v="-2.3332999999999999"/>
    <n v="-2.3332999999999999"/>
    <n v="-2.3332999999999999"/>
    <n v="-2.3332999999999999"/>
    <n v="-2.3332999999999999"/>
    <n v="-2.3332999999999999"/>
    <n v="-2.3332999999999999"/>
    <n v="-2.3332999999999999"/>
    <n v="-2.3332999999999999"/>
    <n v="-2.3332999999999999"/>
    <n v="-2.3332999999999999"/>
    <n v="-2.3332999999999999"/>
    <n v="-2.3332999999999999"/>
    <n v="-2.3332999999999999"/>
    <n v="-2.3332999999999999"/>
    <n v="-2.3332999999999999"/>
    <n v="-2.3332999999999999"/>
    <n v="-2.3332999999999999"/>
    <n v="-2.3332999999999999"/>
    <n v="-2.3332999999999999"/>
    <n v="-2.3332999999999999"/>
    <n v="-2.3332999999999999"/>
  </r>
  <r>
    <s v="INSY"/>
    <x v="58"/>
    <d v="2019-02-19T00:00:00"/>
    <d v="1899-12-30T10:00:00"/>
    <d v="1899-12-30T10:07:00"/>
    <n v="1"/>
    <n v="-23"/>
    <n v="250"/>
    <s v="BO"/>
    <s v="BUY"/>
    <n v="5.38"/>
    <n v="5.38"/>
    <n v="5.335"/>
    <n v="5.5"/>
    <n v="5.2839999999999998"/>
    <n v="5.43"/>
    <n v="5.2839999999999998"/>
    <n v="5.43"/>
    <n v="5.43"/>
    <b v="0"/>
    <b v="0"/>
    <b v="0"/>
    <b v="0"/>
    <b v="0"/>
    <m/>
    <m/>
    <b v="0"/>
    <m/>
    <m/>
    <b v="0"/>
    <x v="2"/>
    <x v="1"/>
    <s v="Healthcare"/>
    <x v="37"/>
    <m/>
    <s v="C"/>
    <s v="INSY -11.png"/>
    <n v="2.6666666666666732"/>
    <n v="1.1111111111111089"/>
    <n v="-2.1333333333333386"/>
    <x v="1"/>
    <n v="-24"/>
    <x v="13"/>
    <s v="FALSE"/>
    <n v="-343.78400000000005"/>
    <n v="1.1111111111111089"/>
    <n v="0"/>
    <n v="1.1333333333333386"/>
    <n v="1.1333333333333386"/>
    <n v="1.1111"/>
    <n v="1.1111"/>
    <n v="-2.1333000000000002"/>
    <n v="-2.1333000000000002"/>
    <n v="0"/>
    <n v="-2.1333000000000002"/>
    <n v="-2.1333000000000002"/>
    <n v="-2.1333000000000002"/>
    <n v="-2.1333000000000002"/>
    <n v="-2.1333000000000002"/>
    <n v="0"/>
    <n v="0"/>
    <n v="0"/>
    <n v="0"/>
    <n v="-2.1333000000000002"/>
    <n v="-2.1333000000000002"/>
    <n v="-2.1333000000000002"/>
    <n v="-2.1333000000000002"/>
    <n v="-2.1333000000000002"/>
    <n v="0"/>
    <n v="-2.1333000000000002"/>
    <n v="-2.1333000000000002"/>
    <n v="0"/>
    <n v="-2.1333000000000002"/>
    <n v="-2.1333000000000002"/>
    <n v="0"/>
    <n v="-2.1333000000000002"/>
    <n v="-2.1333000000000002"/>
    <n v="0"/>
    <n v="-2.1333000000000002"/>
  </r>
  <r>
    <s v="RIOT"/>
    <x v="59"/>
    <d v="2019-02-19T00:00:00"/>
    <d v="1899-12-30T10:04:00"/>
    <d v="1899-12-30T10:13:00"/>
    <n v="1.08"/>
    <n v="28.92"/>
    <n v="200"/>
    <s v="BO"/>
    <s v="BUY"/>
    <n v="3.21"/>
    <n v="3.2149999999999999"/>
    <n v="3.16"/>
    <n v="3.36"/>
    <n v="3.36"/>
    <n v="3.36"/>
    <n v="3.13"/>
    <n v="3.39"/>
    <n v="3.75"/>
    <b v="0"/>
    <n v="3.12"/>
    <b v="1"/>
    <m/>
    <n v="3.27"/>
    <b v="0"/>
    <n v="1"/>
    <b v="0"/>
    <m/>
    <m/>
    <b v="0"/>
    <x v="3"/>
    <x v="0"/>
    <s v="Healthcare"/>
    <x v="44"/>
    <m/>
    <s v="C"/>
    <s v="RIOT +3.jpg"/>
    <n v="3.0000000000000089"/>
    <n v="2.9000000000000106"/>
    <n v="-1.7000000000000053"/>
    <x v="0"/>
    <n v="27.840000000000003"/>
    <x v="28"/>
    <n v="-1.9"/>
    <n v="-315.94400000000007"/>
    <n v="3.6000000000000161"/>
    <n v="9.9999999999998312E-2"/>
    <n v="0"/>
    <n v="9.9999999999998312E-2"/>
    <n v="10.7"/>
    <n v="10.8"/>
    <n v="2.9"/>
    <n v="4.9000000000000021"/>
    <n v="-9.9999999999998312E-2"/>
    <n v="-9.9999999999998312E-2"/>
    <n v="4.9000000000000021"/>
    <n v="4.9000000000000021"/>
    <n v="4.9000000000000021"/>
    <n v="4.9000000000000021"/>
    <n v="-9.9999999999998312E-2"/>
    <n v="-9.9999999999998312E-2"/>
    <n v="-9.9999999999998312E-2"/>
    <n v="-9.9999999999998312E-2"/>
    <n v="-9.9999999999998312E-2"/>
    <n v="-9.9999999999998312E-2"/>
    <n v="-9.9999999999998312E-2"/>
    <n v="-9.9999999999998312E-2"/>
    <n v="4.9000000000000021"/>
    <n v="-9.9999999999998312E-2"/>
    <n v="-9.9999999999998312E-2"/>
    <n v="1.1000000000000072"/>
    <n v="-9.9999999999998312E-2"/>
    <n v="1.1000000000000072"/>
    <n v="1.1000000000000072"/>
    <n v="-9.9999999999998312E-2"/>
    <n v="1.1000000000000072"/>
    <n v="4.9000000000000021"/>
    <n v="-9.9999999999998312E-2"/>
    <n v="-9.9999999999998312E-2"/>
  </r>
  <r>
    <s v="PVG"/>
    <x v="60"/>
    <d v="2019-02-19T00:00:00"/>
    <d v="1899-12-30T10:12:00"/>
    <d v="1899-12-30T10:36:00"/>
    <n v="0"/>
    <n v="24"/>
    <n v="300"/>
    <s v="BO"/>
    <s v="BUY"/>
    <n v="7.82"/>
    <n v="7.82"/>
    <n v="7.79"/>
    <n v="7.91"/>
    <n v="7.91"/>
    <n v="7.91"/>
    <n v="7.77"/>
    <n v="7.9"/>
    <n v="8.14"/>
    <b v="0"/>
    <n v="7.76"/>
    <b v="1"/>
    <b v="1"/>
    <n v="7.89"/>
    <b v="0"/>
    <b v="0"/>
    <n v="7.88"/>
    <b v="0"/>
    <n v="1.5"/>
    <b v="0"/>
    <x v="2"/>
    <x v="2"/>
    <s v="Basic Materials"/>
    <x v="45"/>
    <m/>
    <s v="L"/>
    <s v="PVG +3.jpg"/>
    <n v="2.9999999999999702"/>
    <n v="2.9999999999999702"/>
    <n v="-1.6666666666666765"/>
    <x v="0"/>
    <n v="24"/>
    <x v="32"/>
    <n v="-2"/>
    <n v="-291.94400000000007"/>
    <n v="2.666666666666647"/>
    <n v="0"/>
    <n v="0"/>
    <n v="0"/>
    <n v="10.666700000000001"/>
    <n v="10.666700000000001"/>
    <n v="3"/>
    <n v="5"/>
    <n v="0"/>
    <n v="0"/>
    <n v="0"/>
    <n v="5"/>
    <n v="5"/>
    <n v="5"/>
    <n v="0"/>
    <n v="0"/>
    <n v="0"/>
    <n v="0"/>
    <n v="0"/>
    <n v="0"/>
    <n v="0"/>
    <n v="0"/>
    <n v="5"/>
    <n v="0"/>
    <n v="0"/>
    <n v="2.333333333333294"/>
    <n v="2.333333333333294"/>
    <n v="2.333333333333294"/>
    <n v="2.333333333333294"/>
    <n v="2.333333333333294"/>
    <n v="2.333333333333294"/>
    <n v="5"/>
    <n v="0"/>
    <n v="0"/>
  </r>
  <r>
    <s v="KNDI"/>
    <x v="61"/>
    <d v="2019-02-20T00:00:00"/>
    <d v="1899-12-30T09:55:00"/>
    <d v="1899-12-30T10:16:00"/>
    <n v="2.0099999999999998"/>
    <n v="-20.46"/>
    <n v="66"/>
    <s v="BO"/>
    <s v="BUY"/>
    <n v="8.0500000000000007"/>
    <n v="8.06"/>
    <n v="7.9"/>
    <n v="8.5"/>
    <n v="7.75"/>
    <n v="8.19"/>
    <n v="7.75"/>
    <n v="8.19"/>
    <n v="8.19"/>
    <b v="0"/>
    <n v="7.78"/>
    <b v="0"/>
    <b v="1"/>
    <b v="0"/>
    <m/>
    <m/>
    <b v="0"/>
    <m/>
    <m/>
    <b v="0"/>
    <x v="2"/>
    <x v="2"/>
    <s v="Consumer Goods"/>
    <x v="46"/>
    <m/>
    <s v="C"/>
    <s v="KNDI_-1.png"/>
    <n v="2.999999999999988"/>
    <n v="0.86666666666665804"/>
    <n v="-2.0666666666666651"/>
    <x v="1"/>
    <n v="-22.47"/>
    <x v="19"/>
    <n v="-1.8667"/>
    <n v="-314.4140000000001"/>
    <n v="0.93333333333332302"/>
    <n v="6.6666666666665098E-2"/>
    <n v="1"/>
    <n v="1.0666666666666651"/>
    <n v="0.86670000000000003"/>
    <n v="0.93330000000000002"/>
    <n v="-2.0667"/>
    <n v="-2.0667"/>
    <n v="-2.0667"/>
    <n v="-2.0667"/>
    <n v="-6.6666666666665098E-2"/>
    <n v="-2.0667"/>
    <n v="-2.0667"/>
    <n v="-2.0667"/>
    <n v="-6.6666666666665098E-2"/>
    <n v="-2.0667"/>
    <n v="-2.0667"/>
    <n v="-2.0667"/>
    <n v="-2.0667"/>
    <n v="-2.0667"/>
    <n v="-2.0667"/>
    <n v="-2.0667"/>
    <n v="-2.0667"/>
    <n v="-2.0667"/>
    <n v="-2.0667"/>
    <n v="-2.0667"/>
    <n v="-2.0667"/>
    <n v="-2.0667"/>
    <n v="-2.0667"/>
    <n v="-2.0667"/>
    <n v="-2.0667"/>
    <n v="-2.0667"/>
    <n v="-2.0667"/>
    <n v="-2.0667"/>
  </r>
  <r>
    <s v="LKSD"/>
    <x v="62"/>
    <d v="2019-02-20T00:00:00"/>
    <d v="1899-12-30T10:12:00"/>
    <d v="1899-12-30T10:27:00"/>
    <n v="2.02"/>
    <n v="31.5"/>
    <n v="100"/>
    <s v="BO"/>
    <s v="BUY"/>
    <n v="9.18"/>
    <n v="9.1649999999999991"/>
    <n v="9.08"/>
    <n v="9.48"/>
    <n v="9.48"/>
    <n v="9.48"/>
    <n v="9.1199999999999992"/>
    <b v="0"/>
    <n v="9.6999999999999993"/>
    <b v="0"/>
    <n v="9.1"/>
    <b v="1"/>
    <m/>
    <n v="9.5399999999999991"/>
    <b v="0"/>
    <b v="0"/>
    <n v="9.52"/>
    <n v="4"/>
    <b v="0"/>
    <b v="0"/>
    <x v="0"/>
    <x v="0"/>
    <s v="Services"/>
    <x v="47"/>
    <m/>
    <s v="C"/>
    <s v="lksd_+3.png"/>
    <n v="3.0000000000000178"/>
    <n v="3.1500000000000239"/>
    <n v="-0.4500000000000009"/>
    <x v="0"/>
    <n v="29.48"/>
    <x v="33"/>
    <n v="-0.65"/>
    <n v="-284.93400000000008"/>
    <s v="FALSE"/>
    <n v="-0.15000000000000624"/>
    <n v="0"/>
    <n v="-0.15000000000000624"/>
    <n v="5.35"/>
    <n v="5.2"/>
    <n v="3.15"/>
    <n v="5.1500000000000066"/>
    <n v="5.1500000000000066"/>
    <n v="5.1500000000000066"/>
    <n v="5.1500000000000066"/>
    <n v="5.1500000000000066"/>
    <n v="5.1500000000000066"/>
    <n v="5.1500000000000066"/>
    <n v="5.1500000000000066"/>
    <n v="5.1500000000000066"/>
    <n v="5.1500000000000066"/>
    <n v="5.1500000000000066"/>
    <n v="5.1500000000000066"/>
    <n v="5.1500000000000066"/>
    <n v="5.1500000000000066"/>
    <n v="5.1500000000000066"/>
    <n v="5.1500000000000066"/>
    <n v="5.1500000000000066"/>
    <n v="5.1500000000000066"/>
    <n v="3.7500000000000133"/>
    <n v="3.7500000000000133"/>
    <n v="3.7500000000000133"/>
    <n v="3.7500000000000133"/>
    <n v="3.7500000000000133"/>
    <n v="3.7500000000000133"/>
    <n v="5.1500000000000066"/>
    <n v="5.1500000000000066"/>
    <n v="5.1500000000000066"/>
  </r>
  <r>
    <s v="KNDI"/>
    <x v="63"/>
    <d v="2019-02-20T00:00:00"/>
    <d v="1899-12-30T10:27:00"/>
    <d v="1899-12-30T10:54:00"/>
    <n v="2.0099999999999998"/>
    <n v="-8.58"/>
    <n v="66"/>
    <s v="BO"/>
    <s v="BUY"/>
    <n v="8.1300000000000008"/>
    <n v="8.1300000000000008"/>
    <n v="7.98"/>
    <n v="8.58"/>
    <n v="8"/>
    <n v="8.48"/>
    <n v="8"/>
    <n v="8.48"/>
    <n v="8.48"/>
    <n v="8.27"/>
    <n v="8"/>
    <b v="0"/>
    <m/>
    <b v="0"/>
    <m/>
    <m/>
    <b v="0"/>
    <m/>
    <m/>
    <b v="0"/>
    <x v="0"/>
    <x v="0"/>
    <s v="Consumer Goods"/>
    <x v="46"/>
    <m/>
    <s v="C"/>
    <s v="KNDI_-1.png"/>
    <n v="2.999999999999988"/>
    <n v="2.3333333333333255"/>
    <n v="-0.8666666666666698"/>
    <x v="1"/>
    <n v="-10.59"/>
    <x v="34"/>
    <n v="-0.86670000000000003"/>
    <n v="-295.52400000000006"/>
    <n v="2.3333333333333255"/>
    <n v="0"/>
    <n v="-0.13333333333333017"/>
    <n v="-0.13333333333333017"/>
    <n v="2.3332999999999999"/>
    <n v="2.3332999999999999"/>
    <n v="-0.86670000000000003"/>
    <n v="-0.86670000000000003"/>
    <n v="0"/>
    <n v="0"/>
    <n v="-0.86670000000000003"/>
    <n v="-0.86670000000000003"/>
    <n v="-0.86670000000000003"/>
    <n v="-0.86670000000000003"/>
    <n v="0"/>
    <n v="0"/>
    <n v="0"/>
    <n v="0"/>
    <n v="0"/>
    <n v="0"/>
    <n v="0"/>
    <n v="0"/>
    <n v="0.93333333333332302"/>
    <n v="0.93333333333332302"/>
    <n v="0.93333333333332302"/>
    <n v="-0.86670000000000003"/>
    <n v="0"/>
    <n v="0"/>
    <n v="-0.86670000000000003"/>
    <n v="0"/>
    <n v="0"/>
    <n v="-0.86670000000000003"/>
    <n v="0"/>
    <n v="0"/>
  </r>
  <r>
    <s v="ADIL"/>
    <x v="64"/>
    <d v="2019-02-21T00:00:00"/>
    <d v="1899-12-30T09:52:00"/>
    <d v="1899-12-30T09:53:00"/>
    <n v="2.02"/>
    <n v="30"/>
    <n v="100"/>
    <s v="BO"/>
    <s v="BUY"/>
    <n v="4.01"/>
    <n v="4.01"/>
    <n v="3.91"/>
    <n v="4.3099999999999996"/>
    <n v="4.3099999999999996"/>
    <n v="4.3099999999999996"/>
    <n v="4.01"/>
    <n v="4.5999999999999996"/>
    <n v="4.5999999999999996"/>
    <b v="0"/>
    <b v="0"/>
    <b v="1"/>
    <m/>
    <n v="4.29"/>
    <n v="4"/>
    <b v="0"/>
    <n v="3.86"/>
    <n v="5"/>
    <n v="1.5"/>
    <b v="0"/>
    <x v="0"/>
    <x v="0"/>
    <s v="Healthcare"/>
    <x v="6"/>
    <m/>
    <s v="C"/>
    <s v="ADIL_+3_001.png"/>
    <n v="3.0000000000000089"/>
    <n v="3.0000000000000089"/>
    <n v="0"/>
    <x v="0"/>
    <n v="27.98"/>
    <x v="3"/>
    <s v="FALSE"/>
    <n v="-267.54400000000004"/>
    <n v="5.9000000000000199"/>
    <n v="0"/>
    <n v="0"/>
    <n v="0"/>
    <n v="5.9"/>
    <n v="5.9"/>
    <n v="3"/>
    <n v="5"/>
    <n v="5"/>
    <n v="5"/>
    <n v="5"/>
    <n v="5"/>
    <n v="5"/>
    <n v="5"/>
    <n v="5"/>
    <n v="5"/>
    <n v="5"/>
    <n v="5"/>
    <n v="5"/>
    <n v="5"/>
    <n v="5"/>
    <n v="5"/>
    <n v="5"/>
    <n v="5"/>
    <n v="5"/>
    <n v="2.8000000000000123"/>
    <n v="2.8000000000000123"/>
    <n v="2.8000000000000123"/>
    <n v="2.8000000000000123"/>
    <n v="2.8000000000000123"/>
    <n v="2.8000000000000123"/>
    <n v="5"/>
    <n v="5"/>
    <n v="5"/>
  </r>
  <r>
    <s v="OR"/>
    <x v="65"/>
    <d v="2019-02-21T00:00:00"/>
    <d v="1899-12-30T09:56:00"/>
    <d v="1899-12-30T10:06:00"/>
    <n v="2.04"/>
    <n v="-21"/>
    <n v="150"/>
    <s v="BO"/>
    <s v="BUY"/>
    <n v="11.110004999999999"/>
    <n v="11.12"/>
    <n v="11.05"/>
    <n v="11.29"/>
    <n v="10.98"/>
    <n v="11.17"/>
    <n v="10.98"/>
    <n v="11.17"/>
    <n v="11.17"/>
    <b v="0"/>
    <b v="0"/>
    <b v="0"/>
    <b v="0"/>
    <b v="0"/>
    <m/>
    <m/>
    <b v="0"/>
    <m/>
    <m/>
    <n v="11.12"/>
    <x v="2"/>
    <x v="0"/>
    <s v="Basic Materials"/>
    <x v="48"/>
    <m/>
    <s v="C"/>
    <s v="or_-1.png"/>
    <n v="2.9996666944422015"/>
    <n v="0.8332638946754759"/>
    <n v="-2.3331389050912792"/>
    <x v="1"/>
    <n v="-23.04"/>
    <x v="24"/>
    <s v="FALSE"/>
    <n v="-290.58400000000006"/>
    <n v="0.99983334722110084"/>
    <n v="0.16656945254562494"/>
    <n v="1.1665694525456545"/>
    <n v="1.3331389050912794"/>
    <n v="0.83330000000000004"/>
    <n v="0.99980000000000002"/>
    <n v="-2.3331"/>
    <n v="-2.3331"/>
    <n v="-2.3331"/>
    <n v="-2.3331"/>
    <n v="-2.3331"/>
    <n v="-2.3331"/>
    <n v="-2.3331"/>
    <n v="-2.3331"/>
    <n v="-2.3331"/>
    <n v="-2.3331"/>
    <n v="-2.3331"/>
    <n v="-2.3331"/>
    <n v="-2.3331"/>
    <n v="-2.3331"/>
    <n v="-2.3331"/>
    <n v="-2.3331"/>
    <n v="-2.3331"/>
    <n v="-2.3331"/>
    <n v="-2.3331"/>
    <n v="-2.3331"/>
    <n v="-2.3331"/>
    <n v="-2.3331"/>
    <n v="-2.3331"/>
    <n v="-2.3331"/>
    <n v="-2.3331"/>
    <n v="0"/>
    <n v="0"/>
    <n v="0"/>
  </r>
  <r>
    <s v="CRK"/>
    <x v="66"/>
    <d v="2019-02-21T00:00:00"/>
    <d v="1899-12-30T10:03:00"/>
    <d v="1899-12-30T10:10:00"/>
    <n v="2.0299999999999998"/>
    <n v="-17.43"/>
    <n v="150"/>
    <s v="BOT"/>
    <s v="BUY"/>
    <n v="7.47"/>
    <n v="7.47"/>
    <n v="7.41"/>
    <n v="7.65"/>
    <n v="7.3540000000000001"/>
    <n v="7.49"/>
    <n v="7.35"/>
    <n v="7.49"/>
    <n v="7.49"/>
    <b v="0"/>
    <n v="7.35"/>
    <b v="0"/>
    <b v="0"/>
    <b v="0"/>
    <m/>
    <m/>
    <b v="0"/>
    <m/>
    <m/>
    <b v="0"/>
    <x v="2"/>
    <x v="1"/>
    <s v="Basic Materials"/>
    <x v="49"/>
    <m/>
    <s v="C"/>
    <s v="CRK_-1_.png"/>
    <n v="3.0000000000000298"/>
    <n v="0.3333333333333432"/>
    <n v="-2.0000000000000147"/>
    <x v="1"/>
    <n v="-19.46"/>
    <x v="13"/>
    <n v="-2"/>
    <n v="-310.04400000000004"/>
    <n v="0.3333333333333432"/>
    <n v="0"/>
    <n v="0.93333333333334023"/>
    <n v="0.93333333333334023"/>
    <n v="0.33329999999999999"/>
    <n v="0.33329999999999999"/>
    <n v="-1.9333"/>
    <n v="-1.9333"/>
    <n v="-1.9333"/>
    <n v="-1.9333"/>
    <n v="-1.9333"/>
    <n v="-1.9333"/>
    <n v="-1.9333"/>
    <n v="-1.9333"/>
    <n v="-1.9333"/>
    <n v="-1.9333"/>
    <n v="-1.9333"/>
    <n v="-1.9333"/>
    <n v="-1.9333"/>
    <n v="-1.9333"/>
    <n v="-1.9333"/>
    <n v="-1.9333"/>
    <n v="-1.9333"/>
    <n v="-1.9333"/>
    <n v="-1.9333"/>
    <n v="-1.9333"/>
    <n v="-1.9333"/>
    <n v="-1.9333"/>
    <n v="-1.9333"/>
    <n v="-1.9333"/>
    <n v="-1.9333"/>
    <n v="-1.9333"/>
    <n v="-1.9333"/>
    <n v="-1.9333"/>
  </r>
  <r>
    <s v="INFN"/>
    <x v="67"/>
    <d v="2019-02-22T00:00:00"/>
    <d v="1899-12-30T10:08:00"/>
    <d v="1899-12-30T10:27:00"/>
    <n v="2.0299999999999998"/>
    <n v="-19.260000000000002"/>
    <n v="150"/>
    <s v="BO"/>
    <s v="BUY"/>
    <n v="5.53"/>
    <n v="5.5380000000000003"/>
    <n v="5.47"/>
    <n v="5.71"/>
    <n v="5.4109999999999996"/>
    <n v="5.59"/>
    <n v="5.41"/>
    <n v="5.59"/>
    <n v="5.59"/>
    <b v="0"/>
    <b v="0"/>
    <b v="0"/>
    <b v="0"/>
    <b v="0"/>
    <m/>
    <m/>
    <b v="0"/>
    <m/>
    <m/>
    <b v="0"/>
    <x v="2"/>
    <x v="0"/>
    <s v="Technology"/>
    <x v="50"/>
    <m/>
    <s v="L"/>
    <s v="infn -1.png"/>
    <n v="2.9999999999999702"/>
    <n v="0.86666666666665282"/>
    <n v="-2.1333333333333178"/>
    <x v="1"/>
    <n v="-21.290000000000003"/>
    <x v="5"/>
    <s v="FALSE"/>
    <n v="-331.33400000000006"/>
    <n v="0.99999999999998523"/>
    <n v="0.13333333333333242"/>
    <n v="0.98333333333332795"/>
    <n v="1.1166666666666605"/>
    <n v="0.86670000000000003"/>
    <n v="1"/>
    <n v="-2.1166999999999998"/>
    <n v="-2.1166999999999998"/>
    <n v="-2.1166999999999998"/>
    <n v="-2.1166999999999998"/>
    <n v="-2.1166999999999998"/>
    <n v="-2.1166999999999998"/>
    <n v="-2.1166999999999998"/>
    <n v="-2.1166999999999998"/>
    <n v="-2.1166999999999998"/>
    <n v="-2.1166999999999998"/>
    <n v="-2.1166999999999998"/>
    <n v="-2.1166999999999998"/>
    <n v="-2.1166999999999998"/>
    <n v="-2.1166999999999998"/>
    <n v="-2.1166999999999998"/>
    <n v="-2.1166999999999998"/>
    <n v="-2.1166999999999998"/>
    <n v="-2.1166999999999998"/>
    <n v="-2.1166999999999998"/>
    <n v="-2.1166999999999998"/>
    <n v="-2.1166999999999998"/>
    <n v="-2.1166999999999998"/>
    <n v="-2.1166999999999998"/>
    <n v="-2.1166999999999998"/>
    <n v="-2.1166999999999998"/>
    <n v="-2.1166999999999998"/>
    <n v="-2.1166999999999998"/>
    <n v="-2.1166999999999998"/>
  </r>
  <r>
    <s v="TXMD"/>
    <x v="68"/>
    <d v="2019-02-22T00:00:00"/>
    <d v="1899-12-30T10:24:00"/>
    <d v="1899-12-30T10:34:00"/>
    <n v="2.5499999999999998"/>
    <n v="-22.07"/>
    <n v="250"/>
    <s v="BO"/>
    <s v="BUY"/>
    <n v="5.35"/>
    <n v="5.3479999999999999"/>
    <n v="5.31"/>
    <n v="5.47"/>
    <n v="5.2610000000000001"/>
    <n v="5.35"/>
    <n v="5.2610000000000001"/>
    <n v="5.35"/>
    <n v="5.35"/>
    <b v="0"/>
    <b v="0"/>
    <b v="0"/>
    <b v="0"/>
    <b v="0"/>
    <m/>
    <m/>
    <b v="0"/>
    <m/>
    <m/>
    <b v="0"/>
    <x v="2"/>
    <x v="0"/>
    <s v="Healthcare"/>
    <x v="51"/>
    <m/>
    <m/>
    <s v="TXMD -1.png"/>
    <n v="3"/>
    <n v="4.9999999999994452E-2"/>
    <n v="-2.1749999999999918"/>
    <x v="1"/>
    <n v="-24.62"/>
    <x v="24"/>
    <s v="FALSE"/>
    <n v="-355.95400000000006"/>
    <n v="0"/>
    <n v="-4.9999999999994493E-2"/>
    <n v="1.2249999999999861"/>
    <n v="1.1749999999999916"/>
    <n v="0.05"/>
    <n v="0"/>
    <n v="-2.1749999999999998"/>
    <n v="-2.1749999999999998"/>
    <n v="-2.1749999999999998"/>
    <n v="-2.1749999999999998"/>
    <n v="-2.1749999999999998"/>
    <n v="-2.1749999999999998"/>
    <n v="-2.1749999999999998"/>
    <n v="-2.1749999999999998"/>
    <n v="-2.1749999999999998"/>
    <n v="-2.1749999999999998"/>
    <n v="-2.1749999999999998"/>
    <n v="-2.1749999999999998"/>
    <n v="-2.1749999999999998"/>
    <n v="-2.1749999999999998"/>
    <n v="-2.1749999999999998"/>
    <n v="-2.1749999999999998"/>
    <n v="-2.1749999999999998"/>
    <n v="-2.1749999999999998"/>
    <n v="-2.1749999999999998"/>
    <n v="-2.1749999999999998"/>
    <n v="-2.1749999999999998"/>
    <n v="-2.1749999999999998"/>
    <n v="-2.1749999999999998"/>
    <n v="-2.1749999999999998"/>
    <n v="-2.1749999999999998"/>
    <n v="-2.1749999999999998"/>
    <n v="-2.1749999999999998"/>
    <n v="-2.1749999999999998"/>
  </r>
  <r>
    <s v="CIFS"/>
    <x v="69"/>
    <d v="2019-02-25T00:00:00"/>
    <d v="1899-12-30T09:57:00"/>
    <d v="1899-12-30T10:02:00"/>
    <n v="2.02"/>
    <n v="27.72"/>
    <n v="150"/>
    <s v="BO"/>
    <s v="BUY"/>
    <n v="2.06"/>
    <n v="2.0550000000000002"/>
    <n v="2"/>
    <n v="2.2400000000000002"/>
    <n v="2.2400000000000002"/>
    <n v="2.2400000000000002"/>
    <n v="2.04"/>
    <b v="0"/>
    <n v="2.99"/>
    <b v="0"/>
    <b v="0"/>
    <b v="1"/>
    <m/>
    <n v="2.4500000000000002"/>
    <n v="5"/>
    <b v="0"/>
    <n v="2.77"/>
    <n v="5"/>
    <b v="0"/>
    <b v="0"/>
    <x v="0"/>
    <x v="0"/>
    <s v="Financial"/>
    <x v="52"/>
    <m/>
    <s v="C"/>
    <s v="cifs_+3.png"/>
    <n v="3"/>
    <n v="3.0833333333333317"/>
    <n v="-0.25000000000000183"/>
    <x v="0"/>
    <n v="25.7"/>
    <x v="16"/>
    <s v="FALSE"/>
    <n v="-330.25400000000008"/>
    <s v="FALSE"/>
    <n v="-8.3333333333331483E-2"/>
    <n v="0"/>
    <n v="-8.3333333333331483E-2"/>
    <n v="15.583299999999999"/>
    <n v="15.5"/>
    <n v="3.0832999999999999"/>
    <n v="5.0833333333333313"/>
    <n v="5.0833333333333313"/>
    <n v="5.0833333333333313"/>
    <n v="5.0833333333333313"/>
    <n v="5.0833333333333313"/>
    <n v="5.0833333333333313"/>
    <n v="5.0833333333333313"/>
    <n v="5.0833333333333313"/>
    <n v="5.0833333333333313"/>
    <n v="5.0833333333333313"/>
    <n v="5.0833333333333313"/>
    <n v="5.0833333333333313"/>
    <n v="5.0833333333333313"/>
    <n v="5.0833333333333313"/>
    <n v="5.0833333333333313"/>
    <n v="5.0833333333333313"/>
    <n v="5.0833333333333313"/>
    <n v="5.0833333333333313"/>
    <n v="5.0833333333333313"/>
    <n v="5.0833333333333313"/>
    <n v="5.0833333333333313"/>
    <n v="6.5833333333333277"/>
    <n v="6.5833333333333277"/>
    <n v="6.5833333333333277"/>
    <n v="5.0833333333333313"/>
    <n v="5.0833333333333313"/>
    <n v="5.0833333333333313"/>
  </r>
  <r>
    <s v="ATEC"/>
    <x v="70"/>
    <d v="2019-02-25T00:00:00"/>
    <d v="1899-12-30T10:02:00"/>
    <d v="1899-12-30T10:10:00"/>
    <n v="2.54"/>
    <n v="27.62"/>
    <n v="250"/>
    <s v="BO"/>
    <s v="SELL"/>
    <n v="1.75"/>
    <n v="1.7509999999999999"/>
    <n v="1.79"/>
    <n v="1.63"/>
    <n v="1.63"/>
    <n v="1.7509999999999999"/>
    <n v="1.63"/>
    <b v="0"/>
    <n v="1.51"/>
    <b v="0"/>
    <b v="0"/>
    <b v="1"/>
    <m/>
    <n v="1.52"/>
    <n v="5"/>
    <b v="0"/>
    <n v="1.52"/>
    <n v="5"/>
    <b v="0"/>
    <b v="0"/>
    <x v="0"/>
    <x v="0"/>
    <s v="Healthcare"/>
    <x v="53"/>
    <m/>
    <s v="C"/>
    <s v="atec_+3.png"/>
    <n v="3"/>
    <n v="3.0249999999999972"/>
    <n v="0"/>
    <x v="0"/>
    <n v="25.080000000000002"/>
    <x v="2"/>
    <s v="FALSE"/>
    <n v="-305.17400000000009"/>
    <s v="FALSE"/>
    <n v="-2.4999999999997247E-2"/>
    <n v="0"/>
    <n v="-2.4999999999997247E-2"/>
    <n v="6.0250000000000004"/>
    <n v="6"/>
    <n v="3.0249999999999999"/>
    <n v="5.0249999999999968"/>
    <n v="5.0249999999999968"/>
    <n v="5.0249999999999968"/>
    <n v="5.0249999999999968"/>
    <n v="5.0249999999999968"/>
    <n v="5.0249999999999968"/>
    <n v="5.0249999999999968"/>
    <n v="5.0249999999999968"/>
    <n v="5.0249999999999968"/>
    <n v="5.0249999999999968"/>
    <n v="5.0249999999999968"/>
    <n v="5.0249999999999968"/>
    <n v="5.0249999999999968"/>
    <n v="5.0249999999999968"/>
    <n v="5.0249999999999968"/>
    <n v="5.0249999999999968"/>
    <n v="5.0249999999999968"/>
    <n v="5.0249999999999968"/>
    <n v="5.0249999999999968"/>
    <n v="5.0249999999999968"/>
    <n v="5.0249999999999968"/>
    <n v="5.7749999999999915"/>
    <n v="5.7749999999999915"/>
    <n v="5.7749999999999915"/>
    <n v="5.0249999999999968"/>
    <n v="5.0249999999999968"/>
    <n v="5.0249999999999968"/>
  </r>
  <r>
    <s v="PPDF"/>
    <x v="71"/>
    <d v="2019-02-25T00:00:00"/>
    <d v="1899-12-30T10:26:00"/>
    <d v="1899-12-30T10:32:00"/>
    <n v="3.06"/>
    <n v="-23.55"/>
    <n v="300"/>
    <s v="BO"/>
    <s v="BUY"/>
    <n v="5.25"/>
    <n v="5.25"/>
    <n v="5.2149999999999999"/>
    <n v="5.38"/>
    <n v="5.1719999999999997"/>
    <n v="5.26"/>
    <n v="5.1719999999999997"/>
    <n v="5.26"/>
    <n v="5.26"/>
    <b v="0"/>
    <b v="0"/>
    <b v="0"/>
    <m/>
    <b v="0"/>
    <m/>
    <m/>
    <b v="0"/>
    <m/>
    <m/>
    <b v="0"/>
    <x v="2"/>
    <x v="1"/>
    <s v="Financial"/>
    <x v="54"/>
    <m/>
    <s v="L"/>
    <s v="PPDF__-1.png"/>
    <n v="3.7142857142856962"/>
    <n v="0.28571428571427848"/>
    <n v="-2.2285714285714278"/>
    <x v="1"/>
    <n v="-26.61"/>
    <x v="10"/>
    <s v="FALSE"/>
    <n v="-331.78400000000011"/>
    <n v="0.28571428571427848"/>
    <n v="0"/>
    <n v="1.2285714285714278"/>
    <n v="1.2285714285714278"/>
    <n v="0.28570000000000001"/>
    <n v="0.28570000000000001"/>
    <n v="-2.2286000000000001"/>
    <n v="-2.2286000000000001"/>
    <n v="-2.2286000000000001"/>
    <n v="-2.2286000000000001"/>
    <n v="-2.2286000000000001"/>
    <n v="-2.2286000000000001"/>
    <n v="-2.2286000000000001"/>
    <n v="-2.2286000000000001"/>
    <n v="-2.2286000000000001"/>
    <n v="-2.2286000000000001"/>
    <n v="-2.2286000000000001"/>
    <n v="-2.2286000000000001"/>
    <n v="-2.2286000000000001"/>
    <n v="-2.2286000000000001"/>
    <n v="-2.2286000000000001"/>
    <n v="-2.2286000000000001"/>
    <n v="-2.2286000000000001"/>
    <n v="-2.2286000000000001"/>
    <n v="-2.2286000000000001"/>
    <n v="-2.2286000000000001"/>
    <n v="-2.2286000000000001"/>
    <n v="-2.2286000000000001"/>
    <n v="-2.2286000000000001"/>
    <n v="-2.2286000000000001"/>
    <n v="-2.2286000000000001"/>
    <n v="-2.2286000000000001"/>
    <n v="-2.2286000000000001"/>
    <n v="-2.2286000000000001"/>
  </r>
  <r>
    <s v="GSM"/>
    <x v="72"/>
    <d v="2019-02-26T00:00:00"/>
    <d v="1899-12-30T09:49:00"/>
    <d v="1899-12-30T09:51:00"/>
    <n v="2.54"/>
    <n v="-22.5"/>
    <n v="250"/>
    <s v="BO"/>
    <s v="BUY"/>
    <n v="2.95"/>
    <n v="2.94"/>
    <n v="2.91"/>
    <n v="3.07"/>
    <n v="2.85"/>
    <n v="2.99"/>
    <n v="2.85"/>
    <n v="2.99"/>
    <n v="2.99"/>
    <b v="0"/>
    <b v="0"/>
    <b v="0"/>
    <b v="0"/>
    <b v="0"/>
    <m/>
    <m/>
    <b v="0"/>
    <m/>
    <m/>
    <b v="0"/>
    <x v="1"/>
    <x v="1"/>
    <s v="Basic Materials"/>
    <x v="55"/>
    <m/>
    <s v="C"/>
    <s v="GSM_-1.png"/>
    <n v="2.9999999999999889"/>
    <n v="1.2500000000000056"/>
    <n v="-2.2499999999999947"/>
    <x v="1"/>
    <n v="-25.04"/>
    <x v="7"/>
    <s v="FALSE"/>
    <n v="-356.82400000000013"/>
    <n v="1"/>
    <n v="-0.25000000000000555"/>
    <n v="1.5"/>
    <n v="1.2499999999999944"/>
    <n v="1.25"/>
    <n v="1"/>
    <n v="-2.25"/>
    <n v="-2.25"/>
    <n v="-2.25"/>
    <n v="-2.25"/>
    <n v="-2.25"/>
    <n v="-2.25"/>
    <n v="-2.25"/>
    <n v="-2.25"/>
    <n v="-2.25"/>
    <n v="-2.25"/>
    <n v="-2.25"/>
    <n v="-2.25"/>
    <n v="-2.25"/>
    <n v="-2.25"/>
    <n v="-2.25"/>
    <n v="-2.25"/>
    <n v="-2.25"/>
    <n v="-2.25"/>
    <n v="-2.25"/>
    <n v="-2.25"/>
    <n v="-2.25"/>
    <n v="-2.25"/>
    <n v="-2.25"/>
    <n v="-2.25"/>
    <n v="-2.25"/>
    <n v="-2.25"/>
    <n v="-2.25"/>
    <n v="-2.25"/>
  </r>
  <r>
    <s v="ACB"/>
    <x v="73"/>
    <d v="2019-02-26T00:00:00"/>
    <d v="1899-12-30T09:51:00"/>
    <d v="1899-12-30T10:02:00"/>
    <n v="2.96"/>
    <n v="-17.52"/>
    <n v="300"/>
    <s v="BO"/>
    <s v="BUY"/>
    <n v="7.55"/>
    <n v="7.55"/>
    <n v="7.52"/>
    <n v="7.64"/>
    <n v="7.492"/>
    <n v="7.6"/>
    <n v="7.49"/>
    <n v="7.6"/>
    <n v="7.6"/>
    <b v="0"/>
    <b v="0"/>
    <b v="0"/>
    <b v="0"/>
    <b v="0"/>
    <m/>
    <m/>
    <n v="7.54"/>
    <b v="0"/>
    <n v="1.5"/>
    <b v="0"/>
    <x v="3"/>
    <x v="0"/>
    <s v="Healthcare"/>
    <x v="56"/>
    <m/>
    <s v="C"/>
    <s v="ACB_-1.png"/>
    <n v="2.9999999999999702"/>
    <n v="1.666666666666647"/>
    <n v="-1.9999999999999705"/>
    <x v="1"/>
    <n v="-20.48"/>
    <x v="35"/>
    <s v="FALSE"/>
    <n v="-377.30400000000014"/>
    <n v="1.666666666666647"/>
    <n v="0"/>
    <n v="0.93333333333331159"/>
    <n v="0.93333333333331159"/>
    <n v="1.6667000000000001"/>
    <n v="1.6667000000000001"/>
    <n v="-1.9333"/>
    <n v="-1.9333"/>
    <n v="0"/>
    <n v="0"/>
    <n v="-1.9333"/>
    <n v="-1.9333"/>
    <n v="-1.9333"/>
    <n v="-1.9333"/>
    <n v="0"/>
    <n v="0"/>
    <n v="0"/>
    <n v="0"/>
    <n v="0"/>
    <n v="0"/>
    <n v="0"/>
    <n v="0"/>
    <n v="-1.9333"/>
    <n v="0"/>
    <n v="0"/>
    <n v="-1.9333"/>
    <n v="0"/>
    <n v="0"/>
    <n v="-1.9333"/>
    <n v="0"/>
    <n v="0"/>
    <n v="-1.9333"/>
    <n v="0"/>
    <n v="0"/>
  </r>
  <r>
    <s v="MDR"/>
    <x v="74"/>
    <d v="2019-02-26T00:00:00"/>
    <d v="1899-12-30T10:01:00"/>
    <d v="1899-12-30T10:04:00"/>
    <n v="2.6"/>
    <n v="25.5"/>
    <n v="150"/>
    <s v="BO"/>
    <s v="BUY"/>
    <n v="8.6999999999999993"/>
    <n v="8.7100000000000009"/>
    <n v="8.64"/>
    <n v="8.8800000000000008"/>
    <n v="8.8800000000000008"/>
    <n v="8.8800000000000008"/>
    <n v="8.6999999999999993"/>
    <n v="9.09"/>
    <n v="9.09"/>
    <b v="0"/>
    <b v="0"/>
    <b v="1"/>
    <m/>
    <n v="8.85"/>
    <n v="5"/>
    <b v="0"/>
    <n v="8.64"/>
    <n v="5"/>
    <b v="0"/>
    <b v="0"/>
    <x v="0"/>
    <x v="0"/>
    <s v="Basic Materials"/>
    <x v="57"/>
    <m/>
    <s v="C"/>
    <s v="MDR_+3.png"/>
    <n v="3.0000000000000888"/>
    <n v="2.8333333333333925"/>
    <n v="-0.16666666666669627"/>
    <x v="0"/>
    <n v="22.9"/>
    <x v="0"/>
    <s v="FALSE"/>
    <n v="-354.40400000000017"/>
    <n v="6.5000000000001483"/>
    <n v="0.16666666666669627"/>
    <n v="0"/>
    <n v="0.16666666666669627"/>
    <n v="6.3333000000000004"/>
    <n v="6.5"/>
    <n v="2.8332999999999999"/>
    <n v="4.8333333333333037"/>
    <n v="4.8333333333333037"/>
    <n v="4.8333333333333037"/>
    <n v="4.8333333333333037"/>
    <n v="4.8333333333333037"/>
    <n v="4.8333333333333037"/>
    <n v="4.8333333333333037"/>
    <n v="4.8333333333333037"/>
    <n v="4.8333333333333037"/>
    <n v="4.8333333333333037"/>
    <n v="4.8333333333333037"/>
    <n v="4.8333333333333037"/>
    <n v="4.8333333333333037"/>
    <n v="4.8333333333333037"/>
    <n v="4.8333333333333037"/>
    <n v="4.8333333333333037"/>
    <n v="4.8333333333333037"/>
    <n v="4.8333333333333037"/>
    <n v="4.8333333333333037"/>
    <n v="4.8333333333333037"/>
    <n v="4.8333333333333037"/>
    <n v="2.3333333333333628"/>
    <n v="2.3333333333333628"/>
    <n v="2.3333333333333628"/>
    <n v="4.8333333333333037"/>
    <n v="4.8333333333333037"/>
    <n v="4.8333333333333037"/>
  </r>
  <r>
    <s v="GSM"/>
    <x v="75"/>
    <d v="2019-02-26T00:00:00"/>
    <d v="1899-12-30T10:20:00"/>
    <d v="1899-12-30T10:25:00"/>
    <n v="2.02"/>
    <n v="-19.43"/>
    <n v="150"/>
    <s v="BO"/>
    <s v="BUY"/>
    <n v="2.94"/>
    <n v="2.9390000000000001"/>
    <n v="2.88"/>
    <n v="3.12"/>
    <n v="2.81"/>
    <n v="2.99"/>
    <n v="2.81"/>
    <n v="2.99"/>
    <n v="2.99"/>
    <b v="0"/>
    <n v="2.86"/>
    <b v="0"/>
    <b v="0"/>
    <b v="0"/>
    <m/>
    <m/>
    <b v="0"/>
    <m/>
    <m/>
    <b v="0"/>
    <x v="2"/>
    <x v="1"/>
    <s v="Basic Materials"/>
    <x v="55"/>
    <m/>
    <s v="C"/>
    <s v="GSM_-1.png"/>
    <n v="3"/>
    <n v="0.85000000000000187"/>
    <n v="-2.1499999999999981"/>
    <x v="1"/>
    <n v="-21.45"/>
    <x v="16"/>
    <n v="-1.3167"/>
    <n v="-375.85400000000016"/>
    <n v="0.83333333333333703"/>
    <n v="-1.6666666666664831E-2"/>
    <n v="1.166666666666663"/>
    <n v="1.1499999999999981"/>
    <n v="0.85"/>
    <n v="0.83330000000000004"/>
    <n v="-2.15"/>
    <n v="-2.15"/>
    <n v="-2.15"/>
    <n v="-2.15"/>
    <n v="-2.15"/>
    <n v="-2.15"/>
    <n v="-2.15"/>
    <n v="-2.15"/>
    <n v="-2.15"/>
    <n v="-2.15"/>
    <n v="-2.15"/>
    <n v="-2.15"/>
    <n v="-2.15"/>
    <n v="-2.15"/>
    <n v="-2.15"/>
    <n v="-2.15"/>
    <n v="-2.15"/>
    <n v="-2.15"/>
    <n v="-2.15"/>
    <n v="-2.15"/>
    <n v="-2.15"/>
    <n v="-2.15"/>
    <n v="-2.15"/>
    <n v="-2.15"/>
    <n v="-2.15"/>
    <n v="-2.15"/>
    <n v="-2.15"/>
    <n v="-2.15"/>
  </r>
  <r>
    <s v="VNET"/>
    <x v="76"/>
    <d v="2019-02-27T00:00:00"/>
    <d v="1899-12-30T09:55:00"/>
    <d v="1899-12-30T09:56:00"/>
    <n v="2.0499999999999998"/>
    <n v="-26.63"/>
    <n v="200"/>
    <s v="BO"/>
    <s v="BUY"/>
    <n v="10.95"/>
    <n v="10.952999999999999"/>
    <n v="10.9"/>
    <n v="11.1"/>
    <n v="10.821"/>
    <n v="10.96"/>
    <n v="10.821"/>
    <n v="10.96"/>
    <n v="10.96"/>
    <b v="0"/>
    <b v="0"/>
    <b v="0"/>
    <b v="0"/>
    <b v="0"/>
    <m/>
    <m/>
    <b v="0"/>
    <m/>
    <m/>
    <b v="0"/>
    <x v="2"/>
    <x v="1"/>
    <s v="Technology"/>
    <x v="15"/>
    <m/>
    <s v="H"/>
    <s v="vnet -1.jpg"/>
    <n v="3.0000000000000711"/>
    <n v="0.14000000000003199"/>
    <n v="-2.6400000000000499"/>
    <x v="1"/>
    <n v="-28.68"/>
    <x v="3"/>
    <s v="FALSE"/>
    <n v="-404.53400000000016"/>
    <n v="0.20000000000003554"/>
    <n v="6.0000000000003606E-2"/>
    <n v="1.5800000000000463"/>
    <n v="1.6400000000000499"/>
    <n v="0.14000000000000001"/>
    <n v="0.2"/>
    <n v="-2.64"/>
    <n v="-2.64"/>
    <n v="-2.64"/>
    <n v="-2.64"/>
    <n v="-2.64"/>
    <n v="-2.64"/>
    <n v="-2.64"/>
    <n v="-2.64"/>
    <n v="-2.64"/>
    <n v="-2.64"/>
    <n v="-2.64"/>
    <n v="-2.64"/>
    <n v="-2.64"/>
    <n v="-2.64"/>
    <n v="-2.64"/>
    <n v="-2.64"/>
    <n v="-2.64"/>
    <n v="-2.64"/>
    <n v="-2.64"/>
    <n v="-2.64"/>
    <n v="-2.64"/>
    <n v="-2.64"/>
    <n v="-2.64"/>
    <n v="-2.64"/>
    <n v="-2.64"/>
    <n v="-2.64"/>
    <n v="-2.64"/>
    <n v="-2.64"/>
  </r>
  <r>
    <s v="CPE "/>
    <x v="77"/>
    <d v="2019-02-27T00:00:00"/>
    <d v="1899-12-30T10:04:00"/>
    <d v="1899-12-30T10:11:00"/>
    <n v="2.5499999999999998"/>
    <n v="-17.12"/>
    <n v="250"/>
    <s v="BO"/>
    <s v="BUY"/>
    <n v="7.82"/>
    <n v="7.83"/>
    <n v="7.78"/>
    <n v="7.94"/>
    <n v="7.7619999999999996"/>
    <n v="7.92"/>
    <n v="7.76"/>
    <n v="7.92"/>
    <n v="7.92"/>
    <b v="0"/>
    <n v="7.76"/>
    <b v="0"/>
    <m/>
    <b v="0"/>
    <m/>
    <m/>
    <b v="0"/>
    <m/>
    <m/>
    <b v="0"/>
    <x v="3"/>
    <x v="0"/>
    <s v="Basic Materials"/>
    <x v="58"/>
    <m/>
    <s v="H"/>
    <s v="CPE -1.png"/>
    <n v="3"/>
    <n v="2.2499999999999947"/>
    <n v="-1.7500000000000056"/>
    <x v="1"/>
    <n v="-19.670000000000002"/>
    <x v="13"/>
    <n v="-1.75"/>
    <n v="-424.20400000000018"/>
    <n v="2.4999999999999889"/>
    <n v="0.24999999999999445"/>
    <n v="0.45000000000001666"/>
    <n v="0.70000000000001106"/>
    <n v="2.25"/>
    <n v="2.5"/>
    <n v="-1.7"/>
    <n v="-1.7"/>
    <n v="-0.24999999999999445"/>
    <n v="-0.24999999999999445"/>
    <n v="-1.7"/>
    <n v="-1.7"/>
    <n v="-1.7"/>
    <n v="-1.7"/>
    <n v="-0.24999999999999445"/>
    <n v="-0.24999999999999445"/>
    <n v="-0.24999999999999445"/>
    <n v="-0.24999999999999445"/>
    <n v="-0.24999999999999445"/>
    <n v="-0.24999999999999445"/>
    <n v="-0.24999999999999445"/>
    <n v="-0.24999999999999445"/>
    <n v="-1.7"/>
    <n v="-0.24999999999999445"/>
    <n v="-0.24999999999999445"/>
    <n v="-1.7"/>
    <n v="-0.24999999999999445"/>
    <n v="-0.24999999999999445"/>
    <n v="-1.7"/>
    <n v="-0.24999999999999445"/>
    <n v="-0.24999999999999445"/>
    <n v="-1.7"/>
    <n v="-0.24999999999999445"/>
    <n v="-0.24999999999999445"/>
  </r>
  <r>
    <s v="TGTX"/>
    <x v="78"/>
    <d v="2019-02-28T00:00:00"/>
    <d v="1899-12-30T09:53:00"/>
    <d v="1899-12-30T10:22:00"/>
    <n v="2.02"/>
    <n v="-11.69"/>
    <n v="100"/>
    <s v="BO"/>
    <s v="BUY"/>
    <n v="6.48"/>
    <n v="6.4660000000000002"/>
    <n v="6.38"/>
    <n v="6.78"/>
    <n v="6.35"/>
    <n v="6.57"/>
    <n v="6.38"/>
    <n v="6.57"/>
    <n v="6.57"/>
    <b v="0"/>
    <b v="0"/>
    <b v="0"/>
    <b v="0"/>
    <n v="6.45"/>
    <b v="0"/>
    <b v="0"/>
    <b v="0"/>
    <m/>
    <m/>
    <n v="6.45"/>
    <x v="2"/>
    <x v="0"/>
    <s v="Healthcare"/>
    <x v="55"/>
    <m/>
    <s v="C"/>
    <s v="tgtx -1.jpg"/>
    <n v="2.9999999999999822"/>
    <n v="1.0399999999999954"/>
    <n v="-0.85999999999999843"/>
    <x v="1"/>
    <n v="-13.709999999999999"/>
    <x v="36"/>
    <s v="FALSE"/>
    <n v="-437.91400000000016"/>
    <n v="0.8999999999999938"/>
    <n v="-0.14000000000000157"/>
    <n v="0.30000000000000088"/>
    <n v="0.15999999999999931"/>
    <n v="1.04"/>
    <n v="0.9"/>
    <n v="-1.1599999999999999"/>
    <n v="-1.1599999999999999"/>
    <n v="-1.1599999999999999"/>
    <n v="-1.1599999999999999"/>
    <n v="-1.1599999999999999"/>
    <n v="-1.1599999999999999"/>
    <n v="-1.1599999999999999"/>
    <n v="-1.1599999999999999"/>
    <n v="-1.1599999999999999"/>
    <n v="-1.1599999999999999"/>
    <n v="-1.1599999999999999"/>
    <n v="-1.1599999999999999"/>
    <n v="-1.1599999999999999"/>
    <n v="-1.1599999999999999"/>
    <n v="-1.1599999999999999"/>
    <n v="-1.1599999999999999"/>
    <n v="-1.1599999999999999"/>
    <n v="-1.1599999999999999"/>
    <n v="-1.1599999999999999"/>
    <n v="-0.15999999999999928"/>
    <n v="-0.15999999999999928"/>
    <n v="-0.15999999999999928"/>
    <n v="-0.15999999999999928"/>
    <n v="-0.15999999999999928"/>
    <n v="-0.15999999999999928"/>
    <n v="-0.15999999999999928"/>
    <n v="-0.15999999999999928"/>
    <n v="-0.15999999999999928"/>
  </r>
  <r>
    <s v="SQBG"/>
    <x v="79"/>
    <d v="2019-02-28T00:00:00"/>
    <d v="1899-12-30T10:19:00"/>
    <d v="1899-12-30T10:35:00"/>
    <n v="3.04"/>
    <n v="-17.28"/>
    <n v="300"/>
    <s v="BO"/>
    <s v="SELL"/>
    <n v="1.49"/>
    <n v="1.4910000000000001"/>
    <n v="1.52"/>
    <n v="1.4"/>
    <n v="1.548"/>
    <n v="1.55"/>
    <n v="1.46"/>
    <n v="1.46"/>
    <n v="1.46"/>
    <b v="0"/>
    <b v="0"/>
    <b v="0"/>
    <b v="0"/>
    <n v="1.52"/>
    <b v="0"/>
    <b v="0"/>
    <b v="0"/>
    <m/>
    <m/>
    <b v="0"/>
    <x v="2"/>
    <x v="3"/>
    <s v="Consumer Goods"/>
    <x v="59"/>
    <m/>
    <s v="C"/>
    <s v="sqbg -1.png"/>
    <n v="3"/>
    <n v="1.033333333333337"/>
    <n v="-1.966666666666663"/>
    <x v="1"/>
    <n v="-20.32"/>
    <x v="37"/>
    <s v="FALSE"/>
    <n v="-458.23400000000015"/>
    <n v="1"/>
    <n v="-3.333333333333699E-2"/>
    <n v="0.96551724137931405"/>
    <n v="0.93218390804597706"/>
    <n v="1.0333000000000001"/>
    <n v="1"/>
    <n v="-1.9"/>
    <n v="-1.9"/>
    <n v="-1.9"/>
    <n v="-1.9"/>
    <n v="-1.9"/>
    <n v="-1.9"/>
    <n v="-1.9"/>
    <n v="-1.9"/>
    <n v="-1.9"/>
    <n v="-1.9"/>
    <n v="-1.9"/>
    <n v="-1.9"/>
    <n v="-1.9"/>
    <n v="-1.9"/>
    <n v="-1.9"/>
    <n v="-1.9"/>
    <n v="-1.9"/>
    <n v="-1.9"/>
    <n v="-1.9"/>
    <n v="-0.96666666666666301"/>
    <n v="-0.96666666666666301"/>
    <n v="-0.96666666666666301"/>
    <n v="-0.96666666666666301"/>
    <n v="-0.96666666666666301"/>
    <n v="-0.96666666666666301"/>
    <n v="-1.9"/>
    <n v="-1.9"/>
    <n v="-1.9"/>
  </r>
  <r>
    <s v="RKDA"/>
    <x v="80"/>
    <d v="2019-02-28T00:00:00"/>
    <d v="1899-12-30T10:39:00"/>
    <d v="1899-12-30T10:40:00"/>
    <n v="2.02"/>
    <n v="27.06"/>
    <n v="66"/>
    <s v="BO"/>
    <s v="BUY"/>
    <n v="7.96"/>
    <n v="8"/>
    <n v="7.81"/>
    <n v="8.41"/>
    <n v="8.41"/>
    <n v="8.41"/>
    <n v="7.95"/>
    <b v="0"/>
    <n v="10.39"/>
    <b v="0"/>
    <b v="0"/>
    <b v="1"/>
    <m/>
    <n v="9.33"/>
    <n v="5"/>
    <b v="0"/>
    <n v="9.0299999999999994"/>
    <n v="5"/>
    <b v="0"/>
    <b v="0"/>
    <x v="0"/>
    <x v="0"/>
    <s v="Basic Materials"/>
    <x v="60"/>
    <m/>
    <s v="C"/>
    <s v="rkda +3.jpg"/>
    <n v="2.9999999999999942"/>
    <n v="2.7333333333333276"/>
    <n v="-0.33333333333333137"/>
    <x v="0"/>
    <n v="25.04"/>
    <x v="3"/>
    <s v="FALSE"/>
    <n v="-433.19400000000013"/>
    <s v="FALSE"/>
    <n v="0.26666666666666616"/>
    <n v="0"/>
    <n v="0.26666666666666616"/>
    <n v="15.933299999999999"/>
    <n v="16.2"/>
    <n v="2.7332999999999998"/>
    <n v="4.7333333333333343"/>
    <n v="4.7333333333333343"/>
    <n v="4.7333333333333343"/>
    <n v="4.7333333333333343"/>
    <n v="4.7333333333333343"/>
    <n v="4.7333333333333343"/>
    <n v="4.7333333333333343"/>
    <n v="4.7333333333333343"/>
    <n v="4.7333333333333343"/>
    <n v="4.7333333333333343"/>
    <n v="4.7333333333333343"/>
    <n v="4.7333333333333343"/>
    <n v="4.7333333333333343"/>
    <n v="4.7333333333333343"/>
    <n v="4.7333333333333343"/>
    <n v="4.7333333333333343"/>
    <n v="4.7333333333333343"/>
    <n v="4.7333333333333343"/>
    <n v="4.7333333333333343"/>
    <n v="4.7333333333333343"/>
    <n v="4.7333333333333343"/>
    <n v="8.8666666666666458"/>
    <n v="8.8666666666666458"/>
    <n v="8.8666666666666458"/>
    <n v="4.7333333333333343"/>
    <n v="4.7333333333333343"/>
    <n v="4.7333333333333343"/>
  </r>
  <r>
    <s v="BPTH"/>
    <x v="81"/>
    <d v="2019-03-01T00:00:00"/>
    <d v="1899-12-30T09:43:00"/>
    <d v="1899-12-30T09:48:00"/>
    <n v="2.02"/>
    <n v="29.5"/>
    <n v="50"/>
    <s v="BO"/>
    <s v="BUY"/>
    <n v="3.91"/>
    <n v="3.92"/>
    <n v="3.7850000000000001"/>
    <n v="4.2850000000000001"/>
    <n v="4.2850000000000001"/>
    <n v="4.2850000000000001"/>
    <n v="3.84"/>
    <b v="0"/>
    <n v="5.44"/>
    <b v="0"/>
    <b v="0"/>
    <b v="1"/>
    <m/>
    <n v="4.3499999999999996"/>
    <n v="5"/>
    <b v="0"/>
    <n v="4.38"/>
    <n v="5"/>
    <b v="0"/>
    <b v="0"/>
    <x v="0"/>
    <x v="0"/>
    <s v="Healthcare"/>
    <x v="61"/>
    <m/>
    <s v="C"/>
    <s v="BPTH_+3.png"/>
    <n v="3"/>
    <n v="2.9200000000000017"/>
    <n v="-0.64000000000000057"/>
    <x v="0"/>
    <n v="27.48"/>
    <x v="16"/>
    <s v="FALSE"/>
    <n v="-405.71400000000011"/>
    <s v="FALSE"/>
    <n v="7.9999999999998295E-2"/>
    <n v="0"/>
    <n v="7.9999999999998295E-2"/>
    <n v="12.16"/>
    <n v="12.24"/>
    <n v="2.92"/>
    <n v="4.9200000000000017"/>
    <n v="4.9200000000000017"/>
    <n v="4.9200000000000017"/>
    <n v="4.9200000000000017"/>
    <n v="4.9200000000000017"/>
    <n v="4.9200000000000017"/>
    <n v="4.9200000000000017"/>
    <n v="4.9200000000000017"/>
    <n v="4.9200000000000017"/>
    <n v="4.9200000000000017"/>
    <n v="4.9200000000000017"/>
    <n v="4.9200000000000017"/>
    <n v="4.9200000000000017"/>
    <n v="4.9200000000000017"/>
    <n v="4.9200000000000017"/>
    <n v="4.9200000000000017"/>
    <n v="4.9200000000000017"/>
    <n v="4.9200000000000017"/>
    <n v="4.9200000000000017"/>
    <n v="4.9200000000000017"/>
    <n v="4.9200000000000017"/>
    <n v="3.4399999999999977"/>
    <n v="3.4399999999999977"/>
    <n v="3.4399999999999977"/>
    <n v="4.9200000000000017"/>
    <n v="4.9200000000000017"/>
    <n v="4.9200000000000017"/>
  </r>
  <r>
    <s v="SSY"/>
    <x v="82"/>
    <d v="2019-03-01T00:00:00"/>
    <d v="1899-12-30T09:48:00"/>
    <d v="1899-12-30T09:53:00"/>
    <n v="3.04"/>
    <n v="-24"/>
    <n v="300"/>
    <s v="BO"/>
    <s v="BUY"/>
    <n v="1.58"/>
    <n v="1.58"/>
    <n v="1.55"/>
    <n v="1.67"/>
    <n v="1.5"/>
    <n v="1.65"/>
    <n v="1.5"/>
    <n v="1.65"/>
    <n v="1.65"/>
    <b v="0"/>
    <n v="1.56"/>
    <b v="0"/>
    <m/>
    <b v="0"/>
    <m/>
    <m/>
    <b v="0"/>
    <m/>
    <m/>
    <b v="0"/>
    <x v="0"/>
    <x v="1"/>
    <s v="Healthcare"/>
    <x v="62"/>
    <m/>
    <s v="C"/>
    <s v="SSY_-1.png"/>
    <n v="2.9999999999999925"/>
    <n v="2.3333333333333259"/>
    <n v="-2.6666666666666665"/>
    <x v="1"/>
    <n v="-27.04"/>
    <x v="16"/>
    <n v="-0.66669999999999996"/>
    <n v="-432.75400000000013"/>
    <n v="2.3333333333333259"/>
    <n v="0"/>
    <n v="1.6666666666666667"/>
    <n v="1.6666666666666667"/>
    <n v="2.3332999999999999"/>
    <n v="2.3332999999999999"/>
    <n v="-2.6667000000000001"/>
    <n v="-2.6667000000000001"/>
    <n v="0"/>
    <n v="0"/>
    <n v="-2.6667000000000001"/>
    <n v="-2.6667000000000001"/>
    <n v="-2.6667000000000001"/>
    <n v="-2.6667000000000001"/>
    <n v="0"/>
    <n v="0"/>
    <n v="0"/>
    <n v="0"/>
    <n v="0"/>
    <n v="0"/>
    <n v="0"/>
    <n v="0"/>
    <n v="-2.6667000000000001"/>
    <n v="0"/>
    <n v="0"/>
    <n v="-2.6667000000000001"/>
    <n v="0"/>
    <n v="0"/>
    <n v="-2.6667000000000001"/>
    <n v="0"/>
    <n v="0"/>
    <n v="-2.6667000000000001"/>
    <n v="0"/>
    <n v="0"/>
  </r>
  <r>
    <s v="BPTH"/>
    <x v="83"/>
    <d v="2019-03-01T00:00:00"/>
    <d v="1899-12-30T09:55:00"/>
    <d v="1899-12-30T10:07:00"/>
    <n v="2.02"/>
    <n v="29.04"/>
    <n v="66"/>
    <s v="BO"/>
    <s v="BUY"/>
    <n v="4.62"/>
    <n v="4.63"/>
    <n v="4.47"/>
    <n v="5.07"/>
    <n v="5.07"/>
    <n v="5.07"/>
    <n v="4.55"/>
    <n v="5.05"/>
    <n v="5.44"/>
    <b v="0"/>
    <b v="0"/>
    <b v="1"/>
    <m/>
    <n v="5.2"/>
    <n v="5"/>
    <n v="1.5"/>
    <n v="5.08"/>
    <n v="5"/>
    <n v="1.5"/>
    <n v="4.7300000000000004"/>
    <x v="3"/>
    <x v="0"/>
    <s v="Healthcare"/>
    <x v="61"/>
    <m/>
    <s v="C"/>
    <s v="BPTH_+3.png"/>
    <n v="2.9999999999999942"/>
    <n v="2.9333333333333291"/>
    <n v="-0.53333333333333255"/>
    <x v="0"/>
    <n v="27.02"/>
    <x v="20"/>
    <s v="FALSE"/>
    <n v="-405.73400000000015"/>
    <n v="2.8666666666666578"/>
    <n v="6.6666666666665098E-2"/>
    <n v="0"/>
    <n v="6.6666666666665098E-2"/>
    <n v="5.4"/>
    <n v="5.4667000000000003"/>
    <n v="2.9333"/>
    <n v="4.9333333333333353"/>
    <n v="-6.6666666666665098E-2"/>
    <n v="-6.6666666666665098E-2"/>
    <n v="4.9333333333333353"/>
    <n v="4.9333333333333353"/>
    <n v="4.9333333333333353"/>
    <n v="4.9333333333333353"/>
    <n v="-6.6666666666665098E-2"/>
    <n v="-6.6666666666665098E-2"/>
    <n v="-6.6666666666665098E-2"/>
    <n v="-6.6666666666665098E-2"/>
    <n v="-6.6666666666665098E-2"/>
    <n v="-6.6666666666665098E-2"/>
    <n v="-6.6666666666665098E-2"/>
    <n v="-6.6666666666665098E-2"/>
    <n v="4.9333333333333353"/>
    <n v="-6.6666666666665098E-2"/>
    <n v="-6.6666666666665098E-2"/>
    <n v="4.9333333333333353"/>
    <n v="-6.6666666666665098E-2"/>
    <n v="-6.6666666666665098E-2"/>
    <n v="3.7999999999999927"/>
    <n v="-6.6666666666665098E-2"/>
    <n v="-6.6666666666665098E-2"/>
    <n v="0.66666666666666863"/>
    <n v="0.66666666666666863"/>
    <n v="0.66666666666666863"/>
  </r>
  <r>
    <s v="STKL"/>
    <x v="84"/>
    <d v="2019-03-04T00:00:00"/>
    <d v="1899-12-30T09:57:00"/>
    <d v="1899-12-30T10:07:00"/>
    <n v="3.05"/>
    <n v="-23.6"/>
    <n v="300"/>
    <s v="BO"/>
    <s v="BUY"/>
    <n v="3.16"/>
    <n v="3.157"/>
    <n v="3.13"/>
    <n v="3.25"/>
    <n v="3.0920000000000001"/>
    <n v="3.19"/>
    <n v="3.0920000000000001"/>
    <n v="3.19"/>
    <n v="3.19"/>
    <b v="0"/>
    <b v="0"/>
    <b v="0"/>
    <b v="0"/>
    <b v="0"/>
    <m/>
    <m/>
    <b v="0"/>
    <m/>
    <m/>
    <n v="3.16"/>
    <x v="2"/>
    <x v="3"/>
    <s v="Consumer Goods"/>
    <x v="63"/>
    <m/>
    <s v="C"/>
    <s v="STKL_-1.png"/>
    <n v="2.9999999999999702"/>
    <n v="1.0999999999999881"/>
    <n v="-2.166666666666647"/>
    <x v="1"/>
    <n v="-26.650000000000002"/>
    <x v="24"/>
    <s v="FALSE"/>
    <n v="-432.38400000000013"/>
    <n v="0.99999999999998523"/>
    <n v="-0.10000000000000298"/>
    <n v="1.26666666666665"/>
    <n v="1.166666666666647"/>
    <n v="1.1000000000000001"/>
    <n v="1"/>
    <n v="-2.1667000000000001"/>
    <n v="-2.1667000000000001"/>
    <n v="-2.1667000000000001"/>
    <n v="-2.1667000000000001"/>
    <n v="-2.1667000000000001"/>
    <n v="-2.1667000000000001"/>
    <n v="-2.1667000000000001"/>
    <n v="-2.1667000000000001"/>
    <n v="-2.1667000000000001"/>
    <n v="-2.1667000000000001"/>
    <n v="-2.1667000000000001"/>
    <n v="-2.1667000000000001"/>
    <n v="-2.1667000000000001"/>
    <n v="-2.1667000000000001"/>
    <n v="-2.1667000000000001"/>
    <n v="-2.1667000000000001"/>
    <n v="-2.1667000000000001"/>
    <n v="-2.1667000000000001"/>
    <n v="-2.1667000000000001"/>
    <n v="-2.1667000000000001"/>
    <n v="-2.1667000000000001"/>
    <n v="-2.1667000000000001"/>
    <n v="-2.1667000000000001"/>
    <n v="-2.1667000000000001"/>
    <n v="-2.1667000000000001"/>
    <n v="0.10000000000000296"/>
    <n v="0.10000000000000296"/>
    <n v="0.10000000000000296"/>
  </r>
  <r>
    <s v="CIFS"/>
    <x v="85"/>
    <d v="2019-03-04T00:00:00"/>
    <d v="1899-12-30T10:39:00"/>
    <d v="1899-12-30T10:40:00"/>
    <n v="2.02"/>
    <n v="-19.739999999999998"/>
    <n v="66"/>
    <s v="BO"/>
    <s v="BUY"/>
    <n v="6.29"/>
    <n v="6.2969999999999997"/>
    <n v="6.14"/>
    <n v="6.74"/>
    <n v="5.94"/>
    <n v="6.29"/>
    <n v="5.94"/>
    <n v="6.29"/>
    <n v="6.29"/>
    <b v="0"/>
    <b v="0"/>
    <b v="0"/>
    <b v="0"/>
    <b v="0"/>
    <m/>
    <m/>
    <b v="0"/>
    <m/>
    <m/>
    <b v="0"/>
    <x v="2"/>
    <x v="1"/>
    <s v="Financial"/>
    <x v="52"/>
    <m/>
    <s v="C"/>
    <s v="CIFS_-1.png"/>
    <n v="2.9999999999999942"/>
    <n v="-4.6666666666664379E-2"/>
    <n v="-2.3799999999999897"/>
    <x v="1"/>
    <n v="-21.759999999999998"/>
    <x v="3"/>
    <s v="FALSE"/>
    <n v="-454.14400000000012"/>
    <n v="0"/>
    <n v="4.6666666666664414E-2"/>
    <n v="1.3333333333333255"/>
    <n v="1.3799999999999899"/>
    <n v="-4.6699999999999998E-2"/>
    <n v="0"/>
    <n v="-2.38"/>
    <n v="-2.38"/>
    <n v="-2.38"/>
    <n v="-2.38"/>
    <n v="-2.38"/>
    <n v="-2.38"/>
    <n v="-2.38"/>
    <n v="-2.38"/>
    <n v="-2.38"/>
    <n v="-2.38"/>
    <n v="-2.38"/>
    <n v="-2.38"/>
    <n v="-2.38"/>
    <n v="-2.38"/>
    <n v="-2.38"/>
    <n v="-2.38"/>
    <n v="-2.38"/>
    <n v="-2.38"/>
    <n v="-2.38"/>
    <n v="-2.38"/>
    <n v="-2.38"/>
    <n v="-2.38"/>
    <n v="-2.38"/>
    <n v="-2.38"/>
    <n v="-2.38"/>
    <n v="-2.38"/>
    <n v="-2.38"/>
    <n v="-2.38"/>
  </r>
  <r>
    <s v="DBVT"/>
    <x v="86"/>
    <d v="2019-03-05T00:00:00"/>
    <d v="1899-12-30T09:50:00"/>
    <d v="1899-12-30T09:56:00"/>
    <n v="2.02"/>
    <n v="-20.96"/>
    <n v="100"/>
    <s v="BO"/>
    <s v="BUY"/>
    <n v="10.029999999999999"/>
    <n v="10.032999999999999"/>
    <n v="9.93"/>
    <n v="10.33"/>
    <n v="9.8239999999999998"/>
    <n v="10.1"/>
    <n v="9.8239999999999998"/>
    <n v="10.1"/>
    <n v="10.1"/>
    <b v="0"/>
    <b v="0"/>
    <b v="0"/>
    <b v="0"/>
    <b v="0"/>
    <m/>
    <m/>
    <b v="0"/>
    <m/>
    <m/>
    <b v="0"/>
    <x v="2"/>
    <x v="1"/>
    <s v="Healthcare"/>
    <x v="64"/>
    <m/>
    <s v="C"/>
    <s v="DBVT_-1.png"/>
    <n v="3.0000000000000178"/>
    <n v="0.67000000000000404"/>
    <n v="-2.0900000000000039"/>
    <x v="1"/>
    <n v="-22.98"/>
    <x v="10"/>
    <s v="FALSE"/>
    <n v="-477.12400000000014"/>
    <n v="0.70000000000000528"/>
    <n v="3.0000000000001137E-2"/>
    <n v="1.0600000000000025"/>
    <n v="1.0900000000000036"/>
    <n v="0.67"/>
    <n v="0.7"/>
    <n v="-2.09"/>
    <n v="-2.09"/>
    <n v="-2.09"/>
    <n v="-2.09"/>
    <n v="-2.09"/>
    <n v="-2.09"/>
    <n v="-2.09"/>
    <n v="-2.09"/>
    <n v="-2.09"/>
    <n v="-2.09"/>
    <n v="-2.09"/>
    <n v="-2.09"/>
    <n v="-2.09"/>
    <n v="-2.09"/>
    <n v="-2.09"/>
    <n v="-2.09"/>
    <n v="-2.09"/>
    <n v="-2.09"/>
    <n v="-2.09"/>
    <n v="-2.09"/>
    <n v="-2.09"/>
    <n v="-2.09"/>
    <n v="-2.09"/>
    <n v="-2.09"/>
    <n v="-2.09"/>
    <n v="-2.09"/>
    <n v="-2.09"/>
    <n v="-2.09"/>
  </r>
  <r>
    <s v="DSS"/>
    <x v="87"/>
    <d v="2019-03-05T00:00:00"/>
    <d v="1899-12-30T10:22:00"/>
    <d v="1899-12-30T10:23:00"/>
    <n v="2.02"/>
    <n v="-19.66"/>
    <n v="142"/>
    <s v="BO"/>
    <s v="BUY"/>
    <n v="1.95"/>
    <n v="1.948"/>
    <n v="1.88"/>
    <n v="2.16"/>
    <n v="1.81"/>
    <n v="1.99"/>
    <n v="1.81"/>
    <n v="1.99"/>
    <n v="1.99"/>
    <b v="0"/>
    <b v="0"/>
    <b v="0"/>
    <b v="0"/>
    <b v="0"/>
    <m/>
    <m/>
    <b v="0"/>
    <m/>
    <m/>
    <b v="0"/>
    <x v="2"/>
    <x v="1"/>
    <s v="Services"/>
    <x v="65"/>
    <m/>
    <s v="C"/>
    <s v="dss_-1.png"/>
    <n v="3"/>
    <n v="0.6"/>
    <n v="-1.9714285714285682"/>
    <x v="1"/>
    <n v="-21.68"/>
    <x v="3"/>
    <s v="FALSE"/>
    <n v="-498.80400000000014"/>
    <n v="0.5714285714285714"/>
    <n v="-2.8571428571428581E-2"/>
    <n v="0.99999999999999678"/>
    <n v="0.9714285714285682"/>
    <n v="0.6"/>
    <n v="0.57140000000000002"/>
    <n v="-1.9714"/>
    <n v="-1.9714"/>
    <n v="-1.9714"/>
    <n v="-1.9714"/>
    <n v="-1.9714"/>
    <n v="-1.9714"/>
    <n v="-1.9714"/>
    <n v="-1.9714"/>
    <n v="-1.9714"/>
    <n v="-1.9714"/>
    <n v="-1.9714"/>
    <n v="-1.9714"/>
    <n v="-1.9714"/>
    <n v="-1.9714"/>
    <n v="-1.9714"/>
    <n v="-1.9714"/>
    <n v="-1.9714"/>
    <n v="-1.9714"/>
    <n v="-1.9714"/>
    <n v="-1.9714"/>
    <n v="-1.9714"/>
    <n v="-1.9714"/>
    <n v="-1.9714"/>
    <n v="-1.9714"/>
    <n v="-1.9714"/>
    <n v="-1.9714"/>
    <n v="-1.9714"/>
    <n v="-1.9714"/>
  </r>
  <r>
    <s v="BPTH"/>
    <x v="88"/>
    <d v="2019-03-06T00:00:00"/>
    <d v="1899-12-30T10:12:00"/>
    <d v="1899-12-30T10:30:00"/>
    <n v="2.02"/>
    <n v="30.36"/>
    <n v="66"/>
    <s v="BO"/>
    <s v="BUY"/>
    <n v="8.0299999999999994"/>
    <n v="8.02"/>
    <n v="7.88"/>
    <n v="8.48"/>
    <n v="8.48"/>
    <n v="8.48"/>
    <n v="8.02"/>
    <b v="0"/>
    <n v="10.5"/>
    <b v="0"/>
    <b v="0"/>
    <b v="1"/>
    <m/>
    <n v="9.5500000000000007"/>
    <n v="5"/>
    <b v="0"/>
    <n v="9.5500000000000007"/>
    <n v="5"/>
    <b v="0"/>
    <b v="0"/>
    <x v="0"/>
    <x v="0"/>
    <s v="Healthcare"/>
    <x v="61"/>
    <m/>
    <s v="C"/>
    <s v="BPTH +33.jpg"/>
    <n v="3.0000000000000178"/>
    <n v="3.0666666666666833"/>
    <n v="0"/>
    <x v="0"/>
    <n v="28.34"/>
    <x v="38"/>
    <s v="FALSE"/>
    <n v="-470.46400000000017"/>
    <s v="FALSE"/>
    <n v="-6.6666666666665431E-2"/>
    <n v="0"/>
    <n v="-6.6666666666665431E-2"/>
    <n v="16.533300000000001"/>
    <n v="16.466699999999999"/>
    <n v="3.0667"/>
    <n v="5.0666666666666655"/>
    <n v="5.0666666666666655"/>
    <n v="5.0666666666666655"/>
    <n v="5.0666666666666655"/>
    <n v="5.0666666666666655"/>
    <n v="5.0666666666666655"/>
    <n v="5.0666666666666655"/>
    <n v="5.0666666666666655"/>
    <n v="5.0666666666666655"/>
    <n v="5.0666666666666655"/>
    <n v="5.0666666666666655"/>
    <n v="5.0666666666666655"/>
    <n v="5.0666666666666655"/>
    <n v="5.0666666666666655"/>
    <n v="5.0666666666666655"/>
    <n v="5.0666666666666655"/>
    <n v="5.0666666666666655"/>
    <n v="5.0666666666666655"/>
    <n v="5.0666666666666655"/>
    <n v="5.0666666666666655"/>
    <n v="5.0666666666666655"/>
    <n v="10.200000000000044"/>
    <n v="10.200000000000044"/>
    <n v="10.200000000000044"/>
    <n v="5.0666666666666655"/>
    <n v="5.0666666666666655"/>
    <n v="5.0666666666666655"/>
  </r>
  <r>
    <s v="SEEL"/>
    <x v="89"/>
    <d v="2019-03-07T00:00:00"/>
    <d v="1899-12-30T09:40:00"/>
    <d v="1899-12-30T09:49:00"/>
    <n v="2.02"/>
    <n v="-18.52"/>
    <n v="100"/>
    <s v="BO"/>
    <s v="BUY"/>
    <n v="3.05"/>
    <n v="3.04"/>
    <n v="2.95"/>
    <n v="3.35"/>
    <n v="2.855"/>
    <n v="3.34"/>
    <n v="2.855"/>
    <n v="3.34"/>
    <n v="3.34"/>
    <b v="0"/>
    <b v="0"/>
    <b v="0"/>
    <b v="1"/>
    <b v="0"/>
    <m/>
    <m/>
    <b v="0"/>
    <m/>
    <m/>
    <n v="3.04"/>
    <x v="2"/>
    <x v="1"/>
    <s v="Healthcare"/>
    <x v="66"/>
    <m/>
    <s v="C"/>
    <s v="seel_-1.png"/>
    <n v="3.0000000000000133"/>
    <n v="3.0000000000000089"/>
    <n v="-1.8500000000000072"/>
    <x v="1"/>
    <n v="-20.54"/>
    <x v="28"/>
    <s v="FALSE"/>
    <n v="-491.00400000000019"/>
    <n v="2.9000000000000106"/>
    <n v="-9.9999999999998201E-2"/>
    <n v="0.95000000000000528"/>
    <n v="0.85000000000000708"/>
    <n v="3"/>
    <n v="2.9"/>
    <n v="-1.85"/>
    <n v="-1.85"/>
    <n v="9.9999999999998201E-2"/>
    <n v="9.9999999999998201E-2"/>
    <n v="9.9999999999998201E-2"/>
    <n v="-1.85"/>
    <n v="-1.85"/>
    <n v="-1.85"/>
    <n v="9.9999999999998201E-2"/>
    <n v="9.9999999999998201E-2"/>
    <n v="9.9999999999998201E-2"/>
    <n v="9.9999999999998201E-2"/>
    <n v="9.9999999999998201E-2"/>
    <n v="9.9999999999998201E-2"/>
    <n v="9.9999999999998201E-2"/>
    <n v="9.9999999999998201E-2"/>
    <n v="-1.85"/>
    <n v="9.9999999999998201E-2"/>
    <n v="9.9999999999998201E-2"/>
    <n v="-1.85"/>
    <n v="9.9999999999998201E-2"/>
    <n v="9.9999999999998201E-2"/>
    <n v="-1.85"/>
    <n v="9.9999999999998201E-2"/>
    <n v="9.9999999999998201E-2"/>
    <n v="0"/>
    <n v="0"/>
    <n v="0"/>
  </r>
  <r>
    <s v="BPTH"/>
    <x v="90"/>
    <d v="2019-03-07T00:00:00"/>
    <d v="1899-12-30T10:17:00"/>
    <d v="1899-12-30T10:36:00"/>
    <n v="2"/>
    <n v="29.4"/>
    <n v="10"/>
    <s v="BO"/>
    <s v="BUY"/>
    <n v="25.88"/>
    <n v="25.88"/>
    <n v="25.03"/>
    <n v="28.82"/>
    <n v="28.82"/>
    <n v="28.82"/>
    <n v="24.42"/>
    <n v="27.73"/>
    <n v="64"/>
    <b v="0"/>
    <n v="24.22"/>
    <b v="1"/>
    <m/>
    <n v="32.97"/>
    <n v="5"/>
    <n v="1.5"/>
    <n v="32.97"/>
    <n v="5"/>
    <n v="1.5"/>
    <b v="0"/>
    <x v="3"/>
    <x v="3"/>
    <s v="Healthcare"/>
    <x v="61"/>
    <m/>
    <s v="C"/>
    <s v="BPTH_+3_001.png"/>
    <n v="3.4588235294117751"/>
    <n v="3.4588235294117751"/>
    <n v="-1.7176470588235306"/>
    <x v="0"/>
    <n v="27.4"/>
    <x v="5"/>
    <n v="-1.9529000000000001"/>
    <n v="-463.60400000000021"/>
    <n v="2.176470588235301"/>
    <n v="0"/>
    <n v="0"/>
    <n v="0"/>
    <n v="44.847099999999998"/>
    <n v="44.847099999999998"/>
    <n v="3.4588000000000001"/>
    <n v="5"/>
    <n v="0"/>
    <n v="0"/>
    <n v="5"/>
    <n v="5"/>
    <n v="5"/>
    <n v="5"/>
    <n v="0"/>
    <n v="0"/>
    <n v="0"/>
    <n v="0"/>
    <n v="0"/>
    <n v="0"/>
    <n v="0"/>
    <n v="0"/>
    <n v="5"/>
    <n v="0"/>
    <n v="0"/>
    <n v="5"/>
    <n v="0"/>
    <n v="0"/>
    <n v="8.3411764705882554"/>
    <n v="0"/>
    <n v="0"/>
    <n v="5"/>
    <n v="0"/>
    <n v="0"/>
  </r>
  <r>
    <s v="TNXP"/>
    <x v="91"/>
    <d v="2019-03-08T00:00:00"/>
    <d v="1899-12-30T09:49:00"/>
    <d v="1899-12-30T09:55:00"/>
    <n v="2.02"/>
    <n v="23.1"/>
    <n v="66"/>
    <s v="BOT"/>
    <s v="SELL"/>
    <n v="3.34"/>
    <n v="3.35"/>
    <n v="3.4449999999999998"/>
    <n v="3"/>
    <n v="3"/>
    <n v="3.38"/>
    <n v="3"/>
    <b v="0"/>
    <n v="2.59"/>
    <b v="0"/>
    <n v="3.42"/>
    <b v="1"/>
    <m/>
    <n v="3"/>
    <n v="5"/>
    <b v="0"/>
    <n v="2.81"/>
    <n v="5"/>
    <b v="0"/>
    <b v="0"/>
    <x v="0"/>
    <x v="2"/>
    <s v="Healthcare"/>
    <x v="67"/>
    <m/>
    <s v="C"/>
    <s v="TNXP_+3.png"/>
    <n v="3.2380952380952372"/>
    <n v="3.3333333333333348"/>
    <n v="-0.28571428571428392"/>
    <x v="0"/>
    <n v="21.080000000000002"/>
    <x v="10"/>
    <n v="-0.66669999999999996"/>
    <n v="-442.52400000000023"/>
    <s v="FALSE"/>
    <n v="-9.5238095238097453E-2"/>
    <n v="0"/>
    <n v="-9.5238095238097453E-2"/>
    <n v="7.2381000000000002"/>
    <n v="7.1429"/>
    <n v="3.3332999999999999"/>
    <n v="5.0952380952380976"/>
    <n v="5.0952380952380976"/>
    <n v="5.0952380952380976"/>
    <n v="5.0952380952380976"/>
    <n v="5.0952380952380976"/>
    <n v="5.0952380952380976"/>
    <n v="5.0952380952380976"/>
    <n v="5.0952380952380976"/>
    <n v="5.0952380952380976"/>
    <n v="5.0952380952380976"/>
    <n v="5.0952380952380976"/>
    <n v="5.0952380952380976"/>
    <n v="5.0952380952380976"/>
    <n v="5.0952380952380976"/>
    <n v="5.0952380952380976"/>
    <n v="5.0952380952380976"/>
    <n v="5.0952380952380976"/>
    <n v="5.0952380952380976"/>
    <n v="5.0952380952380976"/>
    <n v="5.0952380952380976"/>
    <n v="5.0952380952380976"/>
    <n v="3.3333333333333348"/>
    <n v="3.3333333333333348"/>
    <n v="3.3333333333333348"/>
    <n v="5.0952380952380976"/>
    <n v="5.0952380952380976"/>
    <n v="5.0952380952380976"/>
  </r>
  <r>
    <s v="TROV"/>
    <x v="92"/>
    <d v="2019-03-08T00:00:00"/>
    <d v="1899-12-30T11:14:00"/>
    <d v="1899-12-30T11:16:00"/>
    <n v="2.0099999999999998"/>
    <n v="29.5"/>
    <n v="50"/>
    <s v="BO"/>
    <s v="BUY"/>
    <n v="8.25"/>
    <n v="8.26"/>
    <n v="8.0500000000000007"/>
    <n v="8.85"/>
    <n v="8.85"/>
    <n v="8.85"/>
    <n v="8.1999999999999993"/>
    <n v="9.64"/>
    <n v="9.64"/>
    <b v="0"/>
    <b v="0"/>
    <b v="1"/>
    <b v="0"/>
    <n v="8.0500000000000007"/>
    <n v="5"/>
    <n v="1.5"/>
    <n v="8.0500000000000007"/>
    <n v="5"/>
    <n v="1.5"/>
    <b v="0"/>
    <x v="0"/>
    <x v="0"/>
    <s v="Healthcare"/>
    <x v="68"/>
    <m/>
    <s v="C"/>
    <s v="TROV_+3.png"/>
    <n v="3.0000000000000089"/>
    <n v="2.9500000000000099"/>
    <n v="-0.30000000000000354"/>
    <x v="0"/>
    <n v="27.490000000000002"/>
    <x v="7"/>
    <s v="FALSE"/>
    <n v="-415.03400000000022"/>
    <n v="6.9500000000000277"/>
    <n v="4.9999999999999156E-2"/>
    <n v="0"/>
    <n v="4.9999999999999156E-2"/>
    <n v="6.9"/>
    <n v="6.95"/>
    <n v="2.95"/>
    <n v="4.9500000000000011"/>
    <n v="4.9500000000000011"/>
    <n v="4.9500000000000011"/>
    <n v="4.9500000000000011"/>
    <n v="4.9500000000000011"/>
    <n v="4.9500000000000011"/>
    <n v="4.9500000000000011"/>
    <n v="4.9500000000000011"/>
    <n v="4.9500000000000011"/>
    <n v="4.9500000000000011"/>
    <n v="4.9500000000000011"/>
    <n v="4.9500000000000011"/>
    <n v="4.9500000000000011"/>
    <n v="4.9500000000000011"/>
    <n v="4.9500000000000011"/>
    <n v="4.9500000000000011"/>
    <n v="4.9500000000000011"/>
    <n v="4.9500000000000011"/>
    <n v="4.9500000000000011"/>
    <n v="4.9500000000000011"/>
    <n v="4.9500000000000011"/>
    <n v="-1.0499999999999992"/>
    <n v="-4.9999999999999156E-2"/>
    <n v="-4.9999999999999156E-2"/>
    <n v="4.9500000000000011"/>
    <n v="4.9500000000000011"/>
    <n v="4.9500000000000011"/>
  </r>
  <r>
    <s v="MCRB"/>
    <x v="93"/>
    <d v="2019-03-11T00:00:00"/>
    <d v="1899-12-30T10:34:00"/>
    <d v="1899-12-30T10:40:00"/>
    <n v="2.02"/>
    <n v="24.63"/>
    <n v="50"/>
    <s v="BO"/>
    <s v="BUY"/>
    <n v="7.54"/>
    <n v="7.55"/>
    <n v="7.34"/>
    <n v="8.14"/>
    <n v="8.14"/>
    <n v="8.14"/>
    <n v="7.41"/>
    <n v="8.3800000000000008"/>
    <n v="8.3800000000000008"/>
    <b v="0"/>
    <b v="0"/>
    <b v="1"/>
    <m/>
    <n v="7.67"/>
    <b v="0"/>
    <b v="0"/>
    <n v="7.96"/>
    <n v="4"/>
    <b v="0"/>
    <b v="0"/>
    <x v="0"/>
    <x v="0"/>
    <s v="Healthcare"/>
    <x v="69"/>
    <m/>
    <s v="C"/>
    <s v="mcrb_+3.png"/>
    <n v="3"/>
    <n v="2.9500000000000011"/>
    <n v="-0.69999999999999774"/>
    <x v="0"/>
    <n v="22.61"/>
    <x v="10"/>
    <s v="FALSE"/>
    <n v="-392.42400000000021"/>
    <n v="4.2"/>
    <n v="4.9999999999998934E-2"/>
    <n v="0"/>
    <n v="4.9999999999998934E-2"/>
    <n v="4.1500000000000004"/>
    <n v="4.2"/>
    <n v="2.95"/>
    <n v="-1.0499999999999989"/>
    <n v="-4.9999999999998934E-2"/>
    <n v="-4.9999999999998934E-2"/>
    <n v="-1.0499999999999989"/>
    <n v="-1.0499999999999989"/>
    <n v="-1.0499999999999989"/>
    <n v="-1.0499999999999989"/>
    <n v="-4.9999999999998934E-2"/>
    <n v="-4.9999999999998934E-2"/>
    <n v="-4.9999999999998934E-2"/>
    <n v="-4.9999999999998934E-2"/>
    <n v="-4.9999999999998934E-2"/>
    <n v="-4.9999999999998934E-2"/>
    <n v="-4.9999999999998934E-2"/>
    <n v="-4.9999999999998934E-2"/>
    <n v="-1.0499999999999989"/>
    <n v="-4.9999999999998934E-2"/>
    <n v="-4.9999999999998934E-2"/>
    <n v="0.6"/>
    <n v="0.6"/>
    <n v="0.6"/>
    <n v="0.6"/>
    <n v="0.6"/>
    <n v="0.6"/>
    <n v="-1.0499999999999989"/>
    <n v="-4.9999999999998934E-2"/>
    <n v="-4.9999999999998934E-2"/>
  </r>
  <r>
    <s v="AXGT"/>
    <x v="94"/>
    <d v="2019-03-11T00:00:00"/>
    <d v="1899-12-30T10:40:00"/>
    <d v="1899-12-30T11:19:00"/>
    <n v="2.54"/>
    <n v="32.5"/>
    <n v="250"/>
    <s v="BO"/>
    <s v="SELL"/>
    <n v="2.08"/>
    <n v="2.09"/>
    <n v="2.12"/>
    <n v="1.96"/>
    <n v="1.96"/>
    <n v="2.14"/>
    <n v="1.96"/>
    <n v="2.02"/>
    <n v="1.9"/>
    <b v="0"/>
    <b v="0"/>
    <b v="1"/>
    <b v="1"/>
    <n v="1.94"/>
    <n v="4"/>
    <b v="0"/>
    <n v="1.94"/>
    <n v="4"/>
    <b v="0"/>
    <b v="0"/>
    <x v="2"/>
    <x v="2"/>
    <s v="Healthcare"/>
    <x v="70"/>
    <m/>
    <s v="C"/>
    <s v="AXGT_+3.png"/>
    <n v="3"/>
    <n v="3.2499999999999947"/>
    <n v="-1.2500000000000056"/>
    <x v="0"/>
    <n v="29.96"/>
    <x v="39"/>
    <s v="FALSE"/>
    <n v="-362.46400000000023"/>
    <n v="1.5"/>
    <n v="-0.24999999999999445"/>
    <n v="0"/>
    <n v="-0.24999999999999445"/>
    <n v="4.75"/>
    <n v="4.5"/>
    <n v="3.25"/>
    <n v="-0.75000000000000555"/>
    <n v="0.24999999999999445"/>
    <n v="-0.75000000000000555"/>
    <n v="0.24999999999999445"/>
    <n v="-0.75000000000000555"/>
    <n v="-0.75000000000000555"/>
    <n v="-0.75000000000000555"/>
    <n v="0.24999999999999445"/>
    <n v="0.24999999999999445"/>
    <n v="0.24999999999999445"/>
    <n v="0.24999999999999445"/>
    <n v="-0.75000000000000555"/>
    <n v="-0.75000000000000555"/>
    <n v="-0.75000000000000555"/>
    <n v="-0.75000000000000555"/>
    <n v="-0.75000000000000555"/>
    <n v="0.24999999999999445"/>
    <n v="-0.75000000000000555"/>
    <n v="3.7499999999999947"/>
    <n v="3.7499999999999947"/>
    <n v="3.7499999999999947"/>
    <n v="3.7499999999999947"/>
    <n v="3.7499999999999947"/>
    <n v="3.7499999999999947"/>
    <n v="-0.75000000000000555"/>
    <n v="0.24999999999999445"/>
    <n v="-0.75000000000000555"/>
  </r>
  <r>
    <s v="YTRA"/>
    <x v="95"/>
    <d v="2019-03-11T00:00:00"/>
    <d v="1899-12-30T11:28:00"/>
    <d v="1899-12-30T11:32:00"/>
    <n v="2.0099999999999998"/>
    <n v="-8.27"/>
    <n v="66"/>
    <s v="BOT"/>
    <s v="BUY"/>
    <n v="5.43"/>
    <n v="5.43"/>
    <n v="5.2799999999999994"/>
    <n v="5.88"/>
    <n v="5.3049999999999997"/>
    <n v="5.54"/>
    <n v="5.3049999999999997"/>
    <n v="5.54"/>
    <n v="5.54"/>
    <b v="0"/>
    <n v="5.31"/>
    <b v="0"/>
    <b v="0"/>
    <b v="0"/>
    <m/>
    <m/>
    <b v="0"/>
    <m/>
    <m/>
    <b v="0"/>
    <x v="2"/>
    <x v="1"/>
    <s v="Conglomerates"/>
    <x v="71"/>
    <m/>
    <s v="C"/>
    <s v="ytra_-1.png"/>
    <n v="2.9999999999999942"/>
    <n v="0.73333333333333373"/>
    <n v="-0.83333333333333137"/>
    <x v="1"/>
    <n v="-10.28"/>
    <x v="40"/>
    <n v="-0.8"/>
    <n v="-372.7440000000002"/>
    <n v="0.73333333333333373"/>
    <n v="0"/>
    <n v="-0.16666666666666863"/>
    <n v="-0.16666666666666863"/>
    <n v="0.73329999999999995"/>
    <n v="0.73329999999999995"/>
    <n v="-0.83330000000000004"/>
    <n v="-0.83330000000000004"/>
    <n v="-0.83330000000000004"/>
    <n v="-0.83330000000000004"/>
    <n v="-0.83330000000000004"/>
    <n v="-0.83330000000000004"/>
    <n v="-0.83330000000000004"/>
    <n v="-0.83330000000000004"/>
    <n v="-0.83330000000000004"/>
    <n v="-0.83330000000000004"/>
    <n v="-0.83330000000000004"/>
    <n v="-0.83330000000000004"/>
    <n v="-0.83330000000000004"/>
    <n v="-0.83330000000000004"/>
    <n v="-0.83330000000000004"/>
    <n v="-0.83330000000000004"/>
    <n v="-0.83330000000000004"/>
    <n v="-0.83330000000000004"/>
    <n v="-0.83330000000000004"/>
    <n v="-0.83330000000000004"/>
    <n v="-0.83330000000000004"/>
    <n v="-0.83330000000000004"/>
    <n v="-0.83330000000000004"/>
    <n v="-0.83330000000000004"/>
    <n v="-0.83330000000000004"/>
    <n v="-0.83330000000000004"/>
    <n v="-0.83330000000000004"/>
    <n v="-0.833300000000000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DE2769-87BE-429B-A26F-7F1DEC33BE93}" name="PivotTable4" cacheId="14"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F10:I29" firstHeaderRow="0" firstDataRow="1" firstDataCol="1"/>
  <pivotFields count="80">
    <pivotField showAll="0"/>
    <pivotField dataField="1" showAll="0"/>
    <pivotField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2"/>
        <item x="3"/>
        <item x="0"/>
        <item x="1"/>
        <item m="1" x="5"/>
        <item x="4"/>
        <item t="default"/>
      </items>
    </pivotField>
    <pivotField axis="axisRow" showAll="0">
      <items count="6">
        <item x="3"/>
        <item x="0"/>
        <item x="2"/>
        <item x="1"/>
        <item m="1" x="4"/>
        <item t="default"/>
      </items>
    </pivotField>
    <pivotField showAll="0"/>
    <pivotField showAll="0"/>
    <pivotField showAll="0"/>
    <pivotField showAll="0"/>
    <pivotField showAll="0"/>
    <pivotField showAll="0"/>
    <pivotField showAll="0"/>
    <pivotField dataField="1" numFmtId="167" showAll="0"/>
    <pivotField showAll="0"/>
    <pivotField showAll="0"/>
    <pivotField numFmtId="21"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pivotField showAll="0"/>
    <pivotField showAll="0"/>
    <pivotField showAll="0"/>
    <pivotField showAll="0"/>
    <pivotField numFmtId="167" showAll="0"/>
    <pivotField numFmtId="167" showAll="0"/>
    <pivotField dataField="1" numFmtId="167"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30"/>
    <field x="31"/>
  </rowFields>
  <rowItems count="19">
    <i>
      <x/>
    </i>
    <i r="1">
      <x/>
    </i>
    <i r="1">
      <x v="1"/>
    </i>
    <i r="1">
      <x v="2"/>
    </i>
    <i r="1">
      <x v="3"/>
    </i>
    <i>
      <x v="1"/>
    </i>
    <i r="1">
      <x/>
    </i>
    <i r="1">
      <x v="1"/>
    </i>
    <i r="1">
      <x v="2"/>
    </i>
    <i r="1">
      <x v="3"/>
    </i>
    <i>
      <x v="2"/>
    </i>
    <i r="1">
      <x v="1"/>
    </i>
    <i r="1">
      <x v="2"/>
    </i>
    <i r="1">
      <x v="3"/>
    </i>
    <i>
      <x v="3"/>
    </i>
    <i r="1">
      <x v="3"/>
    </i>
    <i>
      <x v="5"/>
    </i>
    <i r="1">
      <x v="1"/>
    </i>
    <i t="grand">
      <x/>
    </i>
  </rowItems>
  <colFields count="1">
    <field x="-2"/>
  </colFields>
  <colItems count="3">
    <i>
      <x/>
    </i>
    <i i="1">
      <x v="1"/>
    </i>
    <i i="2">
      <x v="2"/>
    </i>
  </colItems>
  <dataFields count="3">
    <dataField name="ספירה של No" fld="1" subtotal="count" baseField="24" baseItem="0"/>
    <dataField name="ממוצע של Hard RRR Potential" fld="50" subtotal="average" baseField="24" baseItem="0"/>
    <dataField name="ממוצע של Negative RRR in-trade" fld="39" subtotal="average" baseField="2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ABE4E8-0961-462B-B0F6-7D4189321DC3}" name="PivotTable1" cacheId="14"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A10:D28" firstHeaderRow="0" firstDataRow="1" firstDataCol="1"/>
  <pivotFields count="80">
    <pivotField showAll="0"/>
    <pivotField dataField="1" showAll="0"/>
    <pivotField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2"/>
        <item x="3"/>
        <item x="0"/>
        <item x="1"/>
        <item m="1" x="5"/>
        <item x="4"/>
        <item t="default"/>
      </items>
    </pivotField>
    <pivotField axis="axisRow" showAll="0">
      <items count="6">
        <item x="3"/>
        <item x="0"/>
        <item x="2"/>
        <item x="1"/>
        <item m="1" x="4"/>
        <item t="default"/>
      </items>
    </pivotField>
    <pivotField showAll="0"/>
    <pivotField showAll="0"/>
    <pivotField showAll="0"/>
    <pivotField showAll="0"/>
    <pivotField showAll="0"/>
    <pivotField showAll="0"/>
    <pivotField showAll="0"/>
    <pivotField dataField="1" numFmtId="167" showAll="0"/>
    <pivotField showAll="0"/>
    <pivotField showAll="0"/>
    <pivotField numFmtId="21"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pivotField showAll="0"/>
    <pivotField showAll="0"/>
    <pivotField showAll="0"/>
    <pivotField showAll="0"/>
    <pivotField numFmtId="167" showAll="0"/>
    <pivotField numFmtId="167" showAll="0"/>
    <pivotField dataField="1" numFmtId="167"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31"/>
    <field x="30"/>
  </rowFields>
  <rowItems count="18">
    <i>
      <x/>
    </i>
    <i r="1">
      <x/>
    </i>
    <i r="1">
      <x v="1"/>
    </i>
    <i>
      <x v="1"/>
    </i>
    <i r="1">
      <x/>
    </i>
    <i r="1">
      <x v="1"/>
    </i>
    <i r="1">
      <x v="2"/>
    </i>
    <i r="1">
      <x v="5"/>
    </i>
    <i>
      <x v="2"/>
    </i>
    <i r="1">
      <x/>
    </i>
    <i r="1">
      <x v="1"/>
    </i>
    <i r="1">
      <x v="2"/>
    </i>
    <i>
      <x v="3"/>
    </i>
    <i r="1">
      <x/>
    </i>
    <i r="1">
      <x v="1"/>
    </i>
    <i r="1">
      <x v="2"/>
    </i>
    <i r="1">
      <x v="3"/>
    </i>
    <i t="grand">
      <x/>
    </i>
  </rowItems>
  <colFields count="1">
    <field x="-2"/>
  </colFields>
  <colItems count="3">
    <i>
      <x/>
    </i>
    <i i="1">
      <x v="1"/>
    </i>
    <i i="2">
      <x v="2"/>
    </i>
  </colItems>
  <dataFields count="3">
    <dataField name="ספירה של No" fld="1" subtotal="count" baseField="25" baseItem="0"/>
    <dataField name="ממוצע של Hard RRR Potential" fld="50" subtotal="average" baseField="25" baseItem="0"/>
    <dataField name="ממוצע של Negative RRR in-trade" fld="39" subtotal="average" baseField="2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8B55D6-E05A-4F69-A39A-1DAFECEE2545}" name="PivotTable3" cacheId="14"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A3:N4" firstHeaderRow="0" firstDataRow="1" firstDataCol="0" rowPageCount="1" colPageCount="1"/>
  <pivotFields count="80">
    <pivotField showAll="0"/>
    <pivotField dataField="1" multipleItemSelectionAllowed="1" showAll="0"/>
    <pivotField numFmtId="165"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3">
        <item x="8"/>
        <item x="14"/>
        <item x="61"/>
        <item x="66"/>
        <item x="60"/>
        <item x="54"/>
        <item x="7"/>
        <item x="68"/>
        <item x="1"/>
        <item x="23"/>
        <item x="62"/>
        <item x="3"/>
        <item x="12"/>
        <item x="52"/>
        <item x="67"/>
        <item x="42"/>
        <item x="6"/>
        <item h="1" x="35"/>
        <item h="1" x="26"/>
        <item h="1" x="5"/>
        <item h="1" x="30"/>
        <item h="1" x="65"/>
        <item h="1" x="44"/>
        <item h="1" x="10"/>
        <item h="1" x="64"/>
        <item h="1" x="11"/>
        <item h="1" x="53"/>
        <item h="1" x="17"/>
        <item h="1" x="34"/>
        <item h="1" x="32"/>
        <item h="1" x="37"/>
        <item h="1" x="9"/>
        <item h="1" x="47"/>
        <item h="1" x="69"/>
        <item h="1" x="71"/>
        <item h="1" x="40"/>
        <item h="1" x="46"/>
        <item h="1" x="59"/>
        <item h="1" x="22"/>
        <item h="1" x="19"/>
        <item h="1" x="4"/>
        <item h="1" x="20"/>
        <item h="1" x="18"/>
        <item h="1" x="15"/>
        <item h="1" x="28"/>
        <item h="1" x="13"/>
        <item h="1" x="41"/>
        <item h="1" x="55"/>
        <item h="1" x="36"/>
        <item h="1" x="70"/>
        <item h="1" x="63"/>
        <item h="1" x="33"/>
        <item h="1" x="25"/>
        <item h="1" x="2"/>
        <item h="1" x="49"/>
        <item h="1" x="27"/>
        <item h="1" x="48"/>
        <item h="1" x="21"/>
        <item h="1" x="31"/>
        <item h="1" x="29"/>
        <item h="1" x="45"/>
        <item h="1" x="50"/>
        <item h="1" x="57"/>
        <item h="1" x="51"/>
        <item h="1" x="58"/>
        <item h="1" x="16"/>
        <item h="1" x="24"/>
        <item h="1" x="38"/>
        <item h="1" x="56"/>
        <item h="1" x="39"/>
        <item h="1" x="43"/>
        <item h="1" x="0"/>
        <item t="default"/>
      </items>
    </pivotField>
    <pivotField showAll="0"/>
    <pivotField showAll="0"/>
    <pivotField showAll="0"/>
    <pivotField showAll="0"/>
    <pivotField showAll="0"/>
    <pivotField numFmtId="167" showAll="0"/>
    <pivotField showAll="0"/>
    <pivotField showAll="0"/>
    <pivotField numFmtId="21"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pivotField showAll="0"/>
    <pivotField showAll="0"/>
    <pivotField showAll="0"/>
    <pivotField showAll="0"/>
    <pivotField numFmtId="167" showAll="0"/>
    <pivotField showAll="0"/>
    <pivotField numFmtId="167"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Fields count="1">
    <field x="-2"/>
  </colFields>
  <colItems count="14">
    <i>
      <x/>
    </i>
    <i i="1">
      <x v="1"/>
    </i>
    <i i="2">
      <x v="2"/>
    </i>
    <i i="3">
      <x v="3"/>
    </i>
    <i i="4">
      <x v="4"/>
    </i>
    <i i="5">
      <x v="5"/>
    </i>
    <i i="6">
      <x v="6"/>
    </i>
    <i i="7">
      <x v="7"/>
    </i>
    <i i="8">
      <x v="8"/>
    </i>
    <i i="9">
      <x v="9"/>
    </i>
    <i i="10">
      <x v="10"/>
    </i>
    <i i="11">
      <x v="11"/>
    </i>
    <i i="12">
      <x v="12"/>
    </i>
    <i i="13">
      <x v="13"/>
    </i>
  </colItems>
  <pageFields count="1">
    <pageField fld="33" hier="-1"/>
  </pageFields>
  <dataFields count="14">
    <dataField name="ספירה של No" fld="1" subtotal="count" baseField="0" baseItem="1"/>
    <dataField name="סכום של RRR Realized" fld="51" baseField="0" baseItem="0"/>
    <dataField name="סכום של RRR 5 with BE at 1.5R " fld="54" baseField="0" baseItem="0"/>
    <dataField name="סכום של RRR 5" fld="52" baseField="0" baseItem="6"/>
    <dataField name="סכום של RRR 5 with BE at 1R" fld="53" baseField="0" baseItem="0"/>
    <dataField name="סכום של RRR 5  with Volume Exit" fld="70" baseField="0" baseItem="0"/>
    <dataField name="סכום של RRR 5 R1 with Volume Exit" fld="71" baseField="0" baseItem="0"/>
    <dataField name="סכום של RRR 5 R1.5 with Volume Exit" fld="72" baseField="0" baseItem="0"/>
    <dataField name="סכום של  with Volume Exit" fld="73" baseField="0" baseItem="0"/>
    <dataField name="סכום של R1 with Volume Exit" fld="74" baseField="0" baseItem="0"/>
    <dataField name="סכום של  R1.5 with Volume Exit" fld="75" baseField="0" baseItem="0"/>
    <dataField name="סכום של RRR 5 Wick Exit" fld="76" baseField="0" baseItem="0"/>
    <dataField name="סכום של RRR 5 1R Wick Exit" fld="77" baseField="0" baseItem="0"/>
    <dataField name="סכום של RRR 5 1.5R Wick Exit" fld="7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F4DCFB-517C-448B-91E6-61CC51B80B22}" name="PivotTable2" cacheId="14"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A33:F36" firstHeaderRow="0" firstDataRow="1" firstDataCol="1"/>
  <pivotFields count="80">
    <pivotField showAll="0"/>
    <pivotField dataField="1" showAll="0"/>
    <pivotField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numFmtId="167" showAll="0"/>
    <pivotField axis="axisRow" showAll="0">
      <items count="3">
        <item x="1"/>
        <item x="0"/>
        <item t="default"/>
      </items>
    </pivotField>
    <pivotField showAll="0"/>
    <pivotField dataField="1" numFmtId="21"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pivotField showAll="0"/>
    <pivotField showAll="0"/>
    <pivotField showAll="0"/>
    <pivotField showAll="0"/>
    <pivotField numFmtId="167" showAll="0"/>
    <pivotField numFmtId="167" showAll="0"/>
    <pivotField dataField="1" numFmtId="167"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40"/>
  </rowFields>
  <rowItems count="3">
    <i>
      <x/>
    </i>
    <i>
      <x v="1"/>
    </i>
    <i t="grand">
      <x/>
    </i>
  </rowItems>
  <colFields count="1">
    <field x="-2"/>
  </colFields>
  <colItems count="5">
    <i>
      <x/>
    </i>
    <i i="1">
      <x v="1"/>
    </i>
    <i i="2">
      <x v="2"/>
    </i>
    <i i="3">
      <x v="3"/>
    </i>
    <i i="4">
      <x v="4"/>
    </i>
  </colItems>
  <dataFields count="5">
    <dataField name="ספירה של No" fld="1" subtotal="count" baseField="34" baseItem="1"/>
    <dataField name="ממוצע של Time" fld="42" subtotal="average" baseField="34" baseItem="0" numFmtId="164"/>
    <dataField name="ממוצע של RRR in-trade" fld="38" subtotal="average" baseField="34" baseItem="1"/>
    <dataField name="ממוצע של Negative RRR in-trade" fld="39" subtotal="average" baseField="34" baseItem="1"/>
    <dataField name="ממוצע של Hard RRR Potential" fld="50" subtotal="average" baseField="3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D15EC3-ECC8-4BE3-8EBF-711F6ABB8885}" name="PivotTable3" cacheId="14"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chartFormat="5">
  <location ref="Z4:AA101" firstHeaderRow="1" firstDataRow="1" firstDataCol="1"/>
  <pivotFields count="80">
    <pivotField showAll="0"/>
    <pivotField axis="axisRow" showAll="0" sortType="ascending" countSubtotal="1">
      <items count="98">
        <item m="1" x="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t="count"/>
      </items>
    </pivotField>
    <pivotField numFmtId="165"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7" showAll="0"/>
    <pivotField showAll="0"/>
    <pivotField showAll="0"/>
    <pivotField numFmtId="21"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pivotField dataField="1" showAll="0"/>
    <pivotField showAll="0"/>
    <pivotField showAll="0"/>
    <pivotField showAll="0"/>
    <pivotField numFmtId="167" showAll="0"/>
    <pivotField showAll="0"/>
    <pivotField numFmtId="167"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97">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t="grand">
      <x/>
    </i>
  </rowItems>
  <colItems count="1">
    <i/>
  </colItems>
  <dataFields count="1">
    <dataField name="סכום של Sum Gain" fld="44" baseField="1"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 count="1" selected="0">
            <x v="7"/>
          </reference>
        </references>
      </pivotArea>
    </chartFormat>
    <chartFormat chart="0" format="2">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0AF1825-D4E2-40C5-9CA6-9B2C4BB67187}" name="PivotTable2" cacheId="14"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chartFormat="1">
  <location ref="B10:C107" firstHeaderRow="1" firstDataRow="1" firstDataCol="1"/>
  <pivotFields count="80">
    <pivotField showAll="0"/>
    <pivotField axis="axisRow" showAl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m="1" x="96"/>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t="default"/>
      </items>
    </pivotField>
    <pivotField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7" showAll="0"/>
    <pivotField showAll="0"/>
    <pivotField showAll="0"/>
    <pivotField numFmtId="21" showAll="0"/>
    <pivotField showAll="0"/>
    <pivotField showAll="0"/>
    <pivotField showAll="0"/>
    <pivotField showAll="0"/>
    <pivotField showAll="0"/>
    <pivotField numFmtId="167" showAll="0"/>
    <pivotField numFmtId="167" showAll="0"/>
    <pivotField numFmtId="167"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1">
    <field x="1"/>
  </rowFields>
  <rowItems count="9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t="grand">
      <x/>
    </i>
  </rowItems>
  <colItems count="1">
    <i/>
  </colItems>
  <dataFields count="1">
    <dataField name="סכום של Negative RRR in-trade" fld="3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64F17B-C2DB-48E0-808B-9C783649EBBD}" name="ACTIONS" displayName="ACTIONS" ref="Q1:S8" totalsRowCount="1" headerRowDxfId="89">
  <autoFilter ref="Q1:S7" xr:uid="{7BA04AC5-5587-47D7-9DF1-76AF248AE713}">
    <filterColumn colId="0" hiddenButton="1"/>
    <filterColumn colId="1" hiddenButton="1"/>
    <filterColumn colId="2" hiddenButton="1"/>
  </autoFilter>
  <tableColumns count="3">
    <tableColumn id="1" xr3:uid="{7573492C-02E5-4684-8D79-E6BC334D7568}" name="Date" dataDxfId="88" totalsRowDxfId="87"/>
    <tableColumn id="2" xr3:uid="{5CCF5358-4EAF-4BC2-8C54-E7EBEE7BB09C}" name="Action"/>
    <tableColumn id="3" xr3:uid="{306BB871-253D-4596-B269-B72A78D759CD}" name="Amount" totalsRowDxfId="86"/>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2947B8-56FB-4131-A283-6435E2EF928A}" name="TABLE1" displayName="TABLE1" ref="A1:CD97">
  <tableColumns count="82">
    <tableColumn id="1" xr3:uid="{18A68890-283F-49F9-BFA0-F70BF0D507B5}" name="Instrument" totalsRowLabel="סה&quot;כ"/>
    <tableColumn id="2" xr3:uid="{AD0A9644-C57C-430E-9262-2C32F4119BB7}" name="No"/>
    <tableColumn id="3" xr3:uid="{5226E4E8-B2D6-436A-BE33-AEE756B358B6}" name="Entry Date" dataDxfId="85"/>
    <tableColumn id="24" xr3:uid="{522D57FC-7211-4622-BA36-3D14242BCDF8}" name="Entry Time" dataDxfId="84"/>
    <tableColumn id="4" xr3:uid="{FD1076AA-2FF3-4F86-B449-51109599350D}" name="Exit Time" dataDxfId="83"/>
    <tableColumn id="32" xr3:uid="{17BD89BD-FE59-43D8-8741-A5115C3774C6}" name="Comissions" dataDxfId="82"/>
    <tableColumn id="30" xr3:uid="{09F3D717-4D5D-41BD-A530-260B7992651B}" name="Gain/Loss" dataDxfId="81">
      <calculatedColumnFormula>59.88+2.04</calculatedColumnFormula>
    </tableColumn>
    <tableColumn id="7" xr3:uid="{136E8F8E-4142-4B5A-BE1F-C5718FC87596}" name="Quantity" dataDxfId="80"/>
    <tableColumn id="5" xr3:uid="{A102A4AD-A23A-4F8A-9C04-CED2EB13E824}" name="Setup"/>
    <tableColumn id="6" xr3:uid="{2DD87502-6723-436B-A7E8-A74F7CE89FF2}" name="Buy/Sell"/>
    <tableColumn id="48" xr3:uid="{88BD43B1-558A-41BF-87D7-65BE4D457B3A}" name="Intended Entry"/>
    <tableColumn id="8" xr3:uid="{0113421A-7B85-4864-8982-52DBC2E42F64}" name="Entry Price"/>
    <tableColumn id="9" xr3:uid="{567AD6EE-8289-4BA8-B3FE-B4348298B506}" name="SL Price"/>
    <tableColumn id="10" xr3:uid="{09C60BE8-22AB-465E-A658-C0A4A0DFAC62}" name="TP Price"/>
    <tableColumn id="11" xr3:uid="{C079AF1C-12DC-4DEB-91D0-82A64685EB4E}" name="Exit Price"/>
    <tableColumn id="12" xr3:uid="{D340A070-73E8-406B-B012-F1BCD068F602}" name="Highest Price"/>
    <tableColumn id="13" xr3:uid="{2A3929EA-F967-46DB-AC0A-DC578DD95E20}" name="Lowest Price"/>
    <tableColumn id="25" xr3:uid="{34B7367B-0177-4903-88BF-56F94D0A0C26}" name="Potential Price Before BE"/>
    <tableColumn id="14" xr3:uid="{2813D068-7FE8-44F1-99EC-6AC66A74CB26}" name="Potential Price"/>
    <tableColumn id="52" xr3:uid="{36864C91-1CB2-4549-864E-5FC2B63226CF}" name="Pattern SL"/>
    <tableColumn id="15" xr3:uid="{05AFB8CF-125A-44BC-8827-2003AB3BF9A8}" name="Retest Price"/>
    <tableColumn id="17" xr3:uid="{17F4511C-5C46-4E09-9CD6-EC1F75F2EF03}" name="TP Hit"/>
    <tableColumn id="36" xr3:uid="{A2756D79-CDDB-470F-A93C-E9B616EDDAB9}" name="Back to BE"/>
    <tableColumn id="29" xr3:uid="{923D2228-92A2-4B56-8196-18099BD5DFC5}" name="Volume Exit"/>
    <tableColumn id="90" xr3:uid="{36A6B8CE-6096-459D-9A23-FE0C218A54CB}" name="Volume Exit RRR Reach"/>
    <tableColumn id="83" xr3:uid="{75754A4B-4208-4A68-B843-679D863101D8}" name="Volume Exit BE"/>
    <tableColumn id="31" xr3:uid="{C4E67EFF-58C4-412D-A44A-E55133B0FE43}" name="TL Exit"/>
    <tableColumn id="91" xr3:uid="{D43196C0-BE49-4922-B2BD-662FC40F391C}" name="TL Exit RRR Reach"/>
    <tableColumn id="84" xr3:uid="{66AE174A-F2AF-417E-8906-41C461A4C503}" name="TL Exit BE"/>
    <tableColumn id="85" xr3:uid="{DB319D00-2D63-4B93-88C0-217FBF84DE5A}" name="Wick Exit"/>
    <tableColumn id="18" xr3:uid="{A01F8776-9014-4AB0-8853-E656F6AFC697}" name="Price Behaviour"/>
    <tableColumn id="19" xr3:uid="{24552331-86A7-4ABF-8D3F-9DCFC18555FE}" name="VPA"/>
    <tableColumn id="20" xr3:uid="{486BA32A-9D20-4049-84FF-9FB27BA347DF}" name="Sector"/>
    <tableColumn id="39" xr3:uid="{CF1134B4-AE49-445F-AECB-9AD9485A9458}" name="Float"/>
    <tableColumn id="21" xr3:uid="{CE9C6FD7-7F7A-4A81-8851-EFAA4C67A1E6}" name="Pattern"/>
    <tableColumn id="22" xr3:uid="{09129EF1-B576-4E57-82EC-581ED992BFEC}" name="Catalyst"/>
    <tableColumn id="28" xr3:uid="{9329C3C9-2908-4D29-8AA0-014753C01F5B}" name="Picture" dataDxfId="79" dataCellStyle="היפר-קישור"/>
    <tableColumn id="16" xr3:uid="{ACACEDD2-E4B3-404C-BF5E-0B4C701CE2A4}" name="RRR Planned" dataDxfId="78">
      <calculatedColumnFormula>(TABLE1[[#This Row],[TP Price]]-TABLE1[[#This Row],[Intended Entry]])/(TABLE1[[#This Row],[Intended Entry]]-TABLE1[[#This Row],[SL Price]])</calculatedColumnFormula>
    </tableColumn>
    <tableColumn id="38" xr3:uid="{DF6F6CEF-0438-4279-81B9-85AFD6AF7FCB}" name="RRR in-trade" dataDxfId="77">
      <calculatedColumnFormula>IF(TABLE1[[#This Row],[Buy/Sell]]="BUY",(TABLE1[[#This Row],[Highest Price]]-TABLE1[[#This Row],[Entry Price]])/(TABLE1[[#This Row],[Intended Entry]]-TABLE1[[#This Row],[SL Price]]),(TABLE1[[#This Row],[Entry Price]]-TABLE1[[#This Row],[Lowest Price]])/(TABLE1[[#This Row],[SL Price]]-TABLE1[[#This Row],[Intended Entry]]))</calculatedColumnFormula>
    </tableColumn>
    <tableColumn id="65" xr3:uid="{1D138DA8-9B61-435D-8D5B-0ABA055A2597}" name="Negative RRR in-trade" dataDxfId="76">
      <calculatedColumnFormula>IF(TABLE1[[#This Row],[Buy/Sell]]="BUY",(TABLE1[[#This Row],[Entry Price]]-TABLE1[[#This Row],[Lowest Price]])/(TABLE1[[#This Row],[SL Price]]-TABLE1[[#This Row],[Intended Entry]]),(TABLE1[[#This Row],[Entry Price]]-TABLE1[[#This Row],[Highest Price]])/(TABLE1[[#This Row],[SL Price]]-TABLE1[[#This Row],[Intended Entry]]))</calculatedColumnFormula>
    </tableColumn>
    <tableColumn id="26" xr3:uid="{EA7FF293-0A2C-45E1-95B9-2FE5698D0DAE}" name="Outcome" dataDxfId="75">
      <calculatedColumnFormula>IF(TABLE1[[#This Row],[Gain/Loss]]&lt;0, "LOSER", "WINNER")</calculatedColumnFormula>
    </tableColumn>
    <tableColumn id="27" xr3:uid="{9D5EE3C0-C758-496A-8799-F2B6B5CB5DAC}" name="Net Gain/Loss" dataDxfId="74">
      <calculatedColumnFormula>TABLE1[[#This Row],[Gain/Loss]]-TABLE1[[#This Row],[Comissions]]</calculatedColumnFormula>
    </tableColumn>
    <tableColumn id="33" xr3:uid="{63998133-BA2D-49F6-93DD-6651E3B28D92}" name="Time" dataDxfId="73">
      <calculatedColumnFormula>TABLE1[[#This Row],[Exit Time]]-TABLE1[[#This Row],[Entry Time]]</calculatedColumnFormula>
    </tableColumn>
    <tableColumn id="45" xr3:uid="{25B5A177-B2F1-4365-93D5-80106B81DAF1}" name="RRR Closing Price" dataDxfId="72">
      <calculatedColumnFormula>IF(TABLE1[[#This Row],[Retest Price]]&lt;&gt;FALSE,ROUND((TABLE1[[#This Row],[Retest Price]]-TABLE1[[#This Row],[Entry Price]])/(TABLE1[[#This Row],[Intended Entry]]-TABLE1[[#This Row],[SL Price]]),4), "FALSE")</calculatedColumnFormula>
    </tableColumn>
    <tableColumn id="37" xr3:uid="{FAB4E36F-3089-4CF4-BFBC-E5D348F5D8CE}" name="Sum Gain" dataDxfId="71">
      <calculatedColumnFormula>TABLE1[[#This Row],[Net Gain/Loss]]+AS1</calculatedColumnFormula>
    </tableColumn>
    <tableColumn id="34" xr3:uid="{3CABC6C5-4029-4CFE-94DE-EB15F2581A41}" name="Hard RRR Before BE" dataDxfId="70">
      <calculatedColumnFormula>IF(TABLE1[[#This Row],[Potential Price Before BE]]=FALSE,"FALSE",( TABLE1[[#This Row],[Potential Price Before BE]]-TABLE1[[#This Row],[Intended Entry]])/(TABLE1[[#This Row],[Intended Entry]]-TABLE1[[#This Row],[SL Price]]))</calculatedColumnFormula>
    </tableColumn>
    <tableColumn id="66" xr3:uid="{654442CA-2959-466E-9E00-353AA340305E}" name="Missed RRR on Entry" dataDxfId="69">
      <calculatedColumnFormula>(IF(TABLE1[[#This Row],[Buy/Sell]]="BUY",(TABLE1[[#This Row],[Entry Price]]-TABLE1[[#This Row],[SL Price]])/(TABLE1[[#This Row],[Intended Entry]]-TABLE1[[#This Row],[SL Price]]),(TABLE1[[#This Row],[SL Price]]-TABLE1[[#This Row],[Entry Price]])/(TABLE1[[#This Row],[SL Price]]-TABLE1[[#This Row],[Intended Entry]])))-1</calculatedColumnFormula>
    </tableColumn>
    <tableColumn id="56" xr3:uid="{C42FB152-D47D-416F-9520-251CAC1D4C43}" name="Missed RRR on Exit" dataDxfId="68">
      <calculatedColumnFormula>-(IF(AND(TABLE1[[#This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calculatedColumnFormula>
    </tableColumn>
    <tableColumn id="46" xr3:uid="{CEFD69BA-28BA-4A38-93A7-E8E320B527DF}" name="Missed RRR" dataDxfId="67">
      <calculatedColumnFormula>TABLE1[[#This Row],[Missed RRR on Entry]]+TABLE1[[#This Row],[Missed RRR on Exit]]</calculatedColumnFormula>
    </tableColumn>
    <tableColumn id="35" xr3:uid="{77D3B45D-7782-45D7-9C10-11ED7CC17B43}" name="RRR Potential" totalsRowFunction="count" dataDxfId="66">
      <calculatedColumnFormula>ROUND((TABLE1[[#This Row],[Potential Price]]-TABLE1[[#This Row],[Entry Price]])/(TABLE1[[#This Row],[Intended Entry]]-TABLE1[[#This Row],[SL Price]]),4)</calculatedColumnFormula>
    </tableColumn>
    <tableColumn id="49" xr3:uid="{0CD3DAF9-BFA0-4B1C-A74C-F37A9F9F298F}" name="Hard RRR Potential" dataDxfId="65">
      <calculatedColumnFormula>ROUND((TABLE1[[#This Row],[Potential Price]]-TABLE1[[#This Row],[Intended Entry]])/(TABLE1[[#This Row],[Intended Entry]]-TABLE1[[#This Row],[SL Price]]),4)</calculatedColumnFormula>
    </tableColumn>
    <tableColumn id="41" xr3:uid="{F501CF25-D36D-49CB-AD5D-3D00A11CD4BD}" name="RRR Difference" dataDxfId="64"/>
    <tableColumn id="23" xr3:uid="{9430F169-2159-47C9-8D21-D996EB23AE11}" name="RRR Realized" dataDxfId="63">
      <calculatedColumnFormula>ROUND((TABLE1[[#This Row],[Exit Price]]-TABLE1[[#This Row],[Entry Price]])/(TABLE1[[#This Row],[Intended Entry]]-TABLE1[[#This Row],[SL Price]]),4)</calculatedColumnFormula>
    </tableColumn>
    <tableColumn id="44" xr3:uid="{C380389F-8661-46FF-A9CB-0E9F99C4EF1C}" name="RRR 5" dataDxfId="62">
      <calculatedColumnFormula>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calculatedColumnFormula>
    </tableColumn>
    <tableColumn id="50" xr3:uid="{B8182458-E4FC-4F53-9428-59E399BBB0D8}" name="RRR 5 with BE at 1R" dataDxfId="61">
      <calculatedColumnFormula>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calculatedColumnFormula>
    </tableColumn>
    <tableColumn id="51" xr3:uid="{BBC50BFC-ABE5-402D-A98F-7646F7BF1F35}" name="RRR 5 with BE at 1.5R " dataDxfId="60">
      <calculatedColumnFormula>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calculatedColumnFormula>
    </tableColumn>
    <tableColumn id="60" xr3:uid="{488F1825-111F-4C6D-83AD-704D1FAC6981}" name="RRR 5  Fast Reversal at 0" dataDxfId="59">
      <calculatedColumnFormula>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calculatedColumnFormula>
    </tableColumn>
    <tableColumn id="67" xr3:uid="{E3B9F90D-F9E6-410B-9331-8128A58C3E59}" name="RRR 5 Fast Reversal at 1" dataDxfId="58">
      <calculatedColumnFormula>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calculatedColumnFormula>
    </tableColumn>
    <tableColumn id="68" xr3:uid="{50BDBA55-2940-428A-9AB3-B0910A4BF180}" name="RRR 5 Fast Reversal at 1.5" dataDxfId="57">
      <calculatedColumnFormula>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calculatedColumnFormula>
    </tableColumn>
    <tableColumn id="69" xr3:uid="{08FAA8C1-4B0B-44B1-89C1-26E37ECC9248}" name="RRR 5  Fast Reversal at 2" dataDxfId="56">
      <calculatedColumnFormula>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calculatedColumnFormula>
    </tableColumn>
    <tableColumn id="57" xr3:uid="{7FB9E0CB-32FC-46A3-85F3-375475F9D2DC}" name="RRR 5 1R Fast Reversal at 0" dataDxfId="55">
      <calculatedColumnFormula>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calculatedColumnFormula>
    </tableColumn>
    <tableColumn id="53" xr3:uid="{B7FB24C8-9671-4276-A11B-4F362E1B755C}" name="RRR 5 1R Fast Reversal at 1" dataDxfId="54">
      <calculatedColumnFormula>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calculatedColumnFormula>
    </tableColumn>
    <tableColumn id="54" xr3:uid="{6F54A59F-7D69-4E63-B14C-07C203959D26}" name="RRR 5 1R Fast Reversal at 1.5" dataDxfId="53">
      <calculatedColumnFormula>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calculatedColumnFormula>
    </tableColumn>
    <tableColumn id="55" xr3:uid="{FE33F82F-0B82-4818-93A5-B51EA0845B0D}" name="RRR 5 1R Fast Reversal at 2" dataDxfId="52">
      <calculatedColumnFormula>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calculatedColumnFormula>
    </tableColumn>
    <tableColumn id="61" xr3:uid="{7BD63D90-6C89-46AD-B05D-154E002F4C1E}" name="RRR 5 1.5R Fast Reversal at 0" dataDxfId="51">
      <calculatedColumnFormula>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calculatedColumnFormula>
    </tableColumn>
    <tableColumn id="62" xr3:uid="{71672EAE-DBE5-4A6E-9016-5F07DE65FD70}" name="RRR 5 1.5R Fast Reversal at 1" dataDxfId="50">
      <calculatedColumnFormula>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calculatedColumnFormula>
    </tableColumn>
    <tableColumn id="63" xr3:uid="{325A0DA7-1BEC-42F8-819E-485ED17593D3}" name="RRR 5 1.5R Fast Reversal at 1.5" dataDxfId="49">
      <calculatedColumnFormula>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calculatedColumnFormula>
    </tableColumn>
    <tableColumn id="64" xr3:uid="{7A4006A1-817E-43A2-B735-467AB376527F}" name="RRR 5 1.5R Fast Reversal at 2" dataDxfId="48">
      <calculatedColumnFormula>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calculatedColumnFormula>
    </tableColumn>
    <tableColumn id="70" xr3:uid="{297C4E65-C2D4-4F8B-8DE8-26E653F5ED18}" name="RRR 5  with SL at pattern break" dataDxfId="47">
      <calculatedColumnFormula>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calculatedColumnFormula>
    </tableColumn>
    <tableColumn id="58" xr3:uid="{B595586E-D5CE-4FDA-8FC2-04BA7684AB2A}" name="RRR 5 R1 with SL at pattern break" dataDxfId="46">
      <calculatedColumnFormula>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calculatedColumnFormula>
    </tableColumn>
    <tableColumn id="59" xr3:uid="{3AF3578B-A75E-4253-B33C-BA292BB9B8D9}" name="RRR 5 R1.5 with SL at pattern break" dataDxfId="45">
      <calculatedColumnFormula>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calculatedColumnFormula>
    </tableColumn>
    <tableColumn id="92" xr3:uid="{F49CFDF1-3CB6-4A0F-9624-7D0E9DB65CB2}" name="RRR 5  with Volume Exit" dataDxfId="44">
      <calculatedColumnFormula>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calculatedColumnFormula>
    </tableColumn>
    <tableColumn id="93" xr3:uid="{9391C435-2B4E-41EE-8C27-BFD175B7A63F}" name="RRR 5 R1 with Volume Exit" dataDxfId="43">
      <calculatedColumnFormula>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calculatedColumnFormula>
    </tableColumn>
    <tableColumn id="94" xr3:uid="{A083D8EB-8F77-4BD8-BCB7-74A07022AF12}" name="RRR 5 R1.5 with Volume Exit" dataDxfId="42">
      <calculatedColumnFormula>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calculatedColumnFormula>
    </tableColumn>
    <tableColumn id="77" xr3:uid="{95E4E598-8688-406E-9767-4377517E11B2}" name="RRR Volume Exit" dataDxfId="41">
      <calculatedColumnFormula>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calculatedColumnFormula>
    </tableColumn>
    <tableColumn id="78" xr3:uid="{C91F2D62-6EC1-4749-86C0-C515A0C42342}" name="R1 with Volume Exit" dataDxfId="40">
      <calculatedColumnFormula>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calculatedColumnFormula>
    </tableColumn>
    <tableColumn id="79" xr3:uid="{A9A28BC4-78A1-4395-8A2F-5031E5B59912}" name=" R1.5 with Volume Exit" dataDxfId="39">
      <calculatedColumnFormula>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calculatedColumnFormula>
    </tableColumn>
    <tableColumn id="43" xr3:uid="{3F903A98-F868-43BD-AC07-72BFC360DD51}" name="RRR Joint Wick and Volume Exit" dataDxfId="0">
      <calculatedColumnFormula>IF( TABLE1[[#This Row],[Wick Exit]]&lt;&gt; FALSE,TABLE1[[#This Row],[RRR Wick Exit]],IF(TABLE1[[#This Row],[Volume Exit]]&lt;&gt; FALSE,TABLE1[[#This Row],[RRR Volume Exit]],TABLE1[[#This Row],[RRR Realized]]))</calculatedColumnFormula>
    </tableColumn>
    <tableColumn id="40" xr3:uid="{BEB161BA-61A6-47CF-86A2-4C3B87203B80}" name="RRR Wick Exit" dataDxfId="1">
      <calculatedColumnFormula>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calculatedColumnFormula>
    </tableColumn>
    <tableColumn id="98" xr3:uid="{D86BD4DA-F840-4953-B4BE-C4FE470F0226}" name="RRR 5 Wick Exit" dataDxfId="38">
      <calculatedColumnFormula>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calculatedColumnFormula>
    </tableColumn>
    <tableColumn id="99" xr3:uid="{52E76F31-82DF-46C8-8EA2-6ABE569A6A51}" name="RRR 5 1R Wick Exit" dataDxfId="37">
      <calculatedColumnFormula>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calculatedColumnFormula>
    </tableColumn>
    <tableColumn id="100" xr3:uid="{5BF995FE-A697-4D46-B392-19B656B1D4EB}" name="RRR 5 1.5R Wick Exit" dataDxfId="36">
      <calculatedColumnFormula>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calculatedColumnFormula>
    </tableColumn>
  </tableColumns>
  <tableStyleInfo name="TableStyleDark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EB4B0BA-D928-4A7C-93D6-78A68783D825}" name="table2" displayName="table2" ref="A1:BX7" totalsRowShown="0" headerRowDxfId="35" tableBorderDxfId="34">
  <autoFilter ref="A1:BX7" xr:uid="{1B4AA961-92D7-416C-BB99-8A6AE0E9131E}"/>
  <tableColumns count="76">
    <tableColumn id="1" xr3:uid="{8AC03965-A9FA-4014-87FC-0B248DF44321}" name="Instrument"/>
    <tableColumn id="2" xr3:uid="{877F8150-08D1-4760-A53A-DC6E3C6AD977}" name="No"/>
    <tableColumn id="3" xr3:uid="{D202259E-1446-450F-AFA9-74DC5E505FF4}" name="Entry Date"/>
    <tableColumn id="4" xr3:uid="{E03691CE-1E6B-4E3B-98B3-C839BBA7A44A}" name="Entry Time"/>
    <tableColumn id="5" xr3:uid="{FB9EF2DE-8B87-482C-B263-F529D1AED287}" name="Exit Time"/>
    <tableColumn id="6" xr3:uid="{7EE4E727-EDA8-4DC9-8BD8-CB14C5FC2D1C}" name="Setup"/>
    <tableColumn id="7" xr3:uid="{DB8EBF93-B97F-43FE-9007-3E018B15C990}" name="Buy/Sell"/>
    <tableColumn id="8" xr3:uid="{AEA8E60C-26E5-46FA-87A2-88AC138EFD42}" name="Quantity"/>
    <tableColumn id="9" xr3:uid="{70994F9B-4802-4ACD-8535-BE58C0AFBBFA}" name="Intended Entry"/>
    <tableColumn id="10" xr3:uid="{A401A460-0AB3-448D-B83B-E2AF7BEA9FDB}" name="SL Price"/>
    <tableColumn id="11" xr3:uid="{E60EB02B-1535-460B-9A64-F1344ACADDA0}" name="TP Price"/>
    <tableColumn id="12" xr3:uid="{4FC4D2C3-0183-4A65-8E8B-C2B9938FDFDF}" name="Entry Price"/>
    <tableColumn id="13" xr3:uid="{1AB3CCA2-BCF7-49D8-A565-EAAB419CA6C8}" name="Exit Price"/>
    <tableColumn id="14" xr3:uid="{60860800-ABBD-4783-A212-D611790B36E9}" name="Highest Price"/>
    <tableColumn id="15" xr3:uid="{A8875F46-B9C8-40F1-A644-6029A02D1430}" name="Lowest Price"/>
    <tableColumn id="16" xr3:uid="{958917E3-50D1-48A7-B58E-BE3D9E683083}" name="Price Before BE"/>
    <tableColumn id="17" xr3:uid="{8E3CF634-83DD-4637-8EB7-6C01AFB654C6}" name="Potential Price"/>
    <tableColumn id="18" xr3:uid="{3E9D415B-1C13-4A58-91DB-694B92A8E9AB}" name="Pattern SL"/>
    <tableColumn id="19" xr3:uid="{2DC225C6-AD73-46DC-B98F-263B840A48AD}" name="Percent Gain"/>
    <tableColumn id="20" xr3:uid="{EC587944-CAE6-4BDF-B35A-238ADA863AD8}" name="Comissions"/>
    <tableColumn id="21" xr3:uid="{46F883AC-DD0D-40BD-93B6-C59D14FEB543}" name="TP Hit"/>
    <tableColumn id="30" xr3:uid="{D290B4F1-9E77-447A-A0B2-684606A2C312}" name="Fundamentals"/>
    <tableColumn id="22" xr3:uid="{63ABB0AD-A634-4C32-9375-2B3476459DA3}" name="Back to BE"/>
    <tableColumn id="23" xr3:uid="{68DDE594-2F47-4357-9C59-9A0ADA58632E}" name="High Risk"/>
    <tableColumn id="24" xr3:uid="{7F6D3B98-B569-4877-9768-DC6727D61258}" name="Gain/Loss"/>
    <tableColumn id="25" xr3:uid="{B37FF8BF-B59D-4466-92D7-0A2FAFDA0FF6}" name="Price Behaviour"/>
    <tableColumn id="26" xr3:uid="{89FEF7F2-6670-4417-BCF0-F758D21FE711}" name="VPA"/>
    <tableColumn id="27" xr3:uid="{812FD8A4-134C-4708-80BD-157F255842B7}" name="Secotor"/>
    <tableColumn id="28" xr3:uid="{BE4E163A-6F9C-42DD-86D6-E151A9D7CC92}" name="SPX"/>
    <tableColumn id="29" xr3:uid="{1EFDC27F-9F01-4C96-831B-A2E0862F6F35}" name="Catalyst"/>
    <tableColumn id="31" xr3:uid="{3257E11E-3EC2-4804-8414-8E0D92BB9036}" name="Picture"/>
    <tableColumn id="32" xr3:uid="{7C8BDFEC-FD9C-45BD-8F51-C8C452882997}" name="RRR Planned" dataDxfId="33">
      <calculatedColumnFormula>(table2[[#This Row],[TP Price]]-table2[[#This Row],[Intended Entry]])/(table2[[#This Row],[Intended Entry]]-table2[[#This Row],[SL Price]])</calculatedColumnFormula>
    </tableColumn>
    <tableColumn id="33" xr3:uid="{AE6E7AFA-603D-4564-B3D4-A8952D9B36C9}" name="RRR in-trade" dataDxfId="32">
      <calculatedColumnFormula>IF(table2[[#This Row],[Buy/Sell]]="BUY",(table2[[#This Row],[Highest Price]]-table2[[#This Row],[Entry Price]])/(table2[[#This Row],[Intended Entry]]-table2[[#This Row],[SL Price]]),(table2[[#This Row],[Entry Price]]-table2[[#This Row],[Lowest Price]])/(table2[[#This Row],[SL Price]]-table2[[#This Row],[Intended Entry]]))</calculatedColumnFormula>
    </tableColumn>
    <tableColumn id="34" xr3:uid="{12F237EC-8BC6-4AA7-9FB5-2F0334542E22}" name="Negative RRR in-trade" dataDxfId="31">
      <calculatedColumnFormula>IF(table2[[#This Row],[Buy/Sell]]="BUY",(table2[[#This Row],[Entry Price]]-table2[[#This Row],[Lowest Price]])/(table2[[#This Row],[SL Price]]-table2[[#This Row],[Intended Entry]]),(table2[[#This Row],[Entry Price]]-table2[[#This Row],[Highest Price]])/(table2[[#This Row],[SL Price]]-table2[[#This Row],[Intended Entry]]))</calculatedColumnFormula>
    </tableColumn>
    <tableColumn id="35" xr3:uid="{DA767A08-66BA-407D-9F53-E24260218120}" name="Outcome" dataDxfId="30">
      <calculatedColumnFormula>IF(table2[[#This Row],[Gain/Loss]]&lt;0, "LOSER", "WINNER")</calculatedColumnFormula>
    </tableColumn>
    <tableColumn id="36" xr3:uid="{5CD85501-4505-4BF7-9428-E51DD9354C61}" name="Net Gain/Loss" dataDxfId="29">
      <calculatedColumnFormula>table2[[#This Row],[Gain/Loss]]-table2[[#This Row],[Comissions]]</calculatedColumnFormula>
    </tableColumn>
    <tableColumn id="37" xr3:uid="{49536DAD-0444-4483-9958-FDEF26048847}" name="Time" dataDxfId="28">
      <calculatedColumnFormula>table2[[#This Row],[Exit Time]]-table2[[#This Row],[Entry Time]]</calculatedColumnFormula>
    </tableColumn>
    <tableColumn id="38" xr3:uid="{96F84B16-7450-4769-B3FA-93E298996D77}" name="RRR Before BE" dataDxfId="27">
      <calculatedColumnFormula>IF(table2[[#This Row],[Price Before BE]]=FALSE,"FALSE",( table2[[#This Row],[Price Before BE]]-table2[[#This Row],[Entry Price]])/(table2[[#This Row],[Intended Entry]]-table2[[#This Row],[SL Price]]))</calculatedColumnFormula>
    </tableColumn>
    <tableColumn id="39" xr3:uid="{BB4B9005-BDD4-4B62-A85D-EA6650661514}" name="RRR Closing Price" dataDxfId="26">
      <calculatedColumnFormula>IF(table2[[#This Row],[Percent Gain]]&lt;&gt;FALSE,ROUND((table2[[#This Row],[Percent Gain]]-table2[[#This Row],[Entry Price]])/(table2[[#This Row],[Intended Entry]]-table2[[#This Row],[SL Price]]),4), "FALSE")</calculatedColumnFormula>
    </tableColumn>
    <tableColumn id="40" xr3:uid="{E6D81A17-88DD-4523-9542-066AA544FC1F}" name="Sum Gain">
      <calculatedColumnFormula>TABLE1[[#This Row],[Net Gain/Loss]]+AN1</calculatedColumnFormula>
    </tableColumn>
    <tableColumn id="41" xr3:uid="{2404DD04-D462-48BA-891A-7158BF21236F}" name="Missed RRR on Entry" dataDxfId="25">
      <calculatedColumnFormula>(IF(table2[[#This Row],[Buy/Sell]]="BUY",(table2[[#This Row],[Entry Price]]-table2[[#This Row],[SL Price]])/(table2[[#This Row],[Intended Entry]]-table2[[#This Row],[SL Price]]),(table2[[#This Row],[SL Price]]-table2[[#This Row],[Entry Price]])/(table2[[#This Row],[SL Price]]-table2[[#This Row],[Intended Entry]])))-1</calculatedColumnFormula>
    </tableColumn>
    <tableColumn id="42" xr3:uid="{6D892590-0449-49CC-AE23-77F72417C0B2}" name="Missed RRR on Exit" dataDxfId="24">
      <calculatedColumnFormula>-(IF(AND(table2[[#This Row],[Buy/Sell]]="BUY",table2[[#This Row],[TP Hit]]=TRUE),(table2[[#This Row],[Exit Price]]-table2[[#This Row],[TP Price]])/(table2[[#This Row],[Entry Price]]-table2[[#This Row],[SL Price]]),IF(AND(table2[[#This Row],[Buy/Sell]]="BUY",table2[[#This Row],[TP Hit]]=FALSE),(table2[[#This Row],[Exit Price]]-table2[[#This Row],[SL Price]])/(table2[[#This Row],[Intended Entry]]-table2[[#This Row],[SL Price]]),IF(AND(table2[[#This Row],[Buy/Sell]]="SELL",table2[[#This Row],[TP Hit]]=TRUE),(table2[[#This Row],[Exit Price]]-table2[[#This Row],[TP Price]])/(table2[[#This Row],[Entry Price]]-table2[[#This Row],[SL Price]]),IF(AND(table2[[#This Row],[Buy/Sell]]="SELL",table2[[#This Row],[TP Hit]]=FALSE),(table2[[#This Row],[Exit Price]]-table2[[#This Row],[SL Price]])/(table2[[#This Row],[Entry Price]]-table2[[#This Row],[SL Price]]),0)))))</calculatedColumnFormula>
    </tableColumn>
    <tableColumn id="43" xr3:uid="{9569E8EA-6F83-4894-8CC3-C4B5FAB8C034}" name="Missed RRR" dataDxfId="23">
      <calculatedColumnFormula>table2[[#This Row],[Missed RRR on Entry]]+table2[[#This Row],[Missed RRR on Exit]]</calculatedColumnFormula>
    </tableColumn>
    <tableColumn id="44" xr3:uid="{6E835020-556B-437D-8BE5-618D6A036D00}" name="RRR Potential" dataDxfId="22">
      <calculatedColumnFormula>ROUND((table2[[#This Row],[Potential Price]]-table2[[#This Row],[Entry Price]])/(table2[[#This Row],[Intended Entry]]-table2[[#This Row],[SL Price]]),4)</calculatedColumnFormula>
    </tableColumn>
    <tableColumn id="45" xr3:uid="{5B0660FB-0DD1-477A-A878-C51412E3F2BD}" name="Hard RRR Potential" dataDxfId="21">
      <calculatedColumnFormula>ROUND((table2[[#This Row],[Potential Price]]-table2[[#This Row],[Intended Entry]])/(table2[[#This Row],[Intended Entry]]-table2[[#This Row],[SL Price]]),4)</calculatedColumnFormula>
    </tableColumn>
    <tableColumn id="46" xr3:uid="{BF6F06F5-4B0C-4990-B063-3F72905A6DD2}" name="RRR Realized" dataDxfId="20">
      <calculatedColumnFormula>ROUND((table2[[#This Row],[Exit Price]]-table2[[#This Row],[Entry Price]])/(table2[[#This Row],[Intended Entry]]-table2[[#This Row],[SL Price]]),4)</calculatedColumnFormula>
    </tableColumn>
    <tableColumn id="47" xr3:uid="{20F4D863-F83D-4E7D-98F0-E3D7F026C234}" name="RRR with BE at 1R" dataDxfId="19">
      <calculatedColumnFormula>IF(OR(AND(table2[[#This Row],[RRR Before BE]]&gt;1,table2[[#This Row],[RRR Before BE]]&lt;&gt;"FALSE",table2[[#This Row],[RRR Before BE]]&lt;3)),0-table2[[#This Row],[Missed RRR]],IF(OR(AND((table2[[#This Row],[TP Hit]])=TRUE,(table2[[#This Row],[RRR Before BE]])="FALSE"),AND((table2[[#This Row],[TP Hit]])=TRUE,(table2[[#This Row],[RRR Before BE]])&lt;table2[[#This Row],[RRR Realized]])),table2[[#This Row],[RRR Realized]], table2[[#This Row],[RRR Realized]]))</calculatedColumnFormula>
    </tableColumn>
    <tableColumn id="48" xr3:uid="{39AD3B3A-01BC-40CC-BC89-223EEA66D8AB}" name="RRR with BE at 1.5R" dataDxfId="18">
      <calculatedColumnFormula>IF(OR(AND(table2[[#This Row],[RRR Before BE]]&gt;1.5,table2[[#This Row],[RRR Before BE]]&lt;&gt;"FALSE",table2[[#This Row],[RRR Before BE]]&lt;3)),0-table2[[#This Row],[Missed RRR]],IF(OR(AND((table2[[#This Row],[TP Hit]])=TRUE,(table2[[#This Row],[RRR Before BE]])="FALSE"),AND((table2[[#This Row],[TP Hit]])=TRUE,(table2[[#This Row],[RRR Before BE]])&lt;table2[[#This Row],[RRR Realized]])),table2[[#This Row],[RRR Realized]], table2[[#This Row],[RRR Realized]]))</calculatedColumnFormula>
    </tableColumn>
    <tableColumn id="49" xr3:uid="{9A853C3E-8CA7-4BE7-AE0B-B756B0015B8B}" name="RRR 4" dataDxfId="17">
      <calculatedColumnFormula>IF(table2[[#This Row],[Hard RRR Potential]]&gt;=4, 4-table2[[#This Row],[Missed RRR]], IF(AND( table2[[#This Row],[Hard RRR Potential]]&lt;4, table2[[#This Row],[RRR Realized]]&gt;0,table2[[#This Row],[TP Hit]]=FALSE),table2[[#This Row],[RRR Closing Price]], IF(AND(table2[[#This Row],[TP Hit]]=TRUE,table2[[#This Row],[Hard RRR Potential]]&gt;=3, (table2[[#This Row],[Time]])&gt;0.22), table2[[#This Row],[RRR Closing Price]],-1-(table2[[#This Row],[Missed RRR]]))))</calculatedColumnFormula>
    </tableColumn>
    <tableColumn id="50" xr3:uid="{6102322F-7DD8-4021-9A87-B086794064EA}" name="RRR 4 with BE at 1R" dataDxfId="16">
      <calculatedColumnFormula>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calculatedColumnFormula>
    </tableColumn>
    <tableColumn id="51" xr3:uid="{07579163-B063-486E-B5CF-2E73DE11B38B}" name="RRR 4 with BE at 1.5R" dataDxfId="15">
      <calculatedColumnFormula>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Potential]]&gt;1,table2[[#This Row],[RRR Before BE]]="FALSE"),table2[[#This Row],[RRR Closing Price]], table2[[#This Row],[RRR Realized]]))))</calculatedColumnFormula>
    </tableColumn>
    <tableColumn id="52" xr3:uid="{D83BBAF2-5E07-4A36-82F5-AFEC8B29065B}" name="RRR 4 with BE at 3R" dataDxfId="14">
      <calculatedColumnFormula>IF(OR(AND(table2[[#This Row],[Hard RRR Potential]]&gt;=4,table2[[#This Row],[RRR Before BE]]&gt;=4),AND(table2[[#This Row],[RRR Before BE]]="FALSE",table2[[#This Row],[Hard RRR Potential]]&gt;=4),AND(table2[[#This Row],[Hard RRR Potential]]&gt;=4,table2[[#This Row],[RRR Before BE]]&lt;=3),AND(table2[[#This Row],[RRR Before BE]]="FALSE",table2[[#This Row],[Hard RRR Potential]]&gt;=4)), 4-table2[[#This Row],[Missed RRR]], IF(AND(table2[[#This Row],[RRR Before BE]]&lt;&gt;"FALSE",table2[[#This Row],[RRR Before BE]]&gt;3), 0-table2[[#This Row],[Missed RRR]], IF(AND(table2[[#This Row],[Hard RRR Potential]]&lt;4,table2[[#This Row],[Hard RRR Potential]]&gt;1,OR(table2[[#This Row],[RRR Before BE]]="FALSE",table2[[#This Row],[RRR Before BE]]&lt;3), table2[[#This Row],[RRR Closing Price]]&lt;&gt;"FALSE"),table2[[#This Row],[RRR Closing Price]], table2[[#This Row],[RRR Realized]])))</calculatedColumnFormula>
    </tableColumn>
    <tableColumn id="53" xr3:uid="{7C870158-BC4A-44E0-B8E0-5C44B7ACE434}" name="RRR 5" dataDxfId="13">
      <calculatedColumnFormula>IF(table2[[#This Row],[Hard RRR Potential]]&gt;=5, 5-table2[[#This Row],[Missed RRR]], IF(AND( table2[[#This Row],[Hard RRR Potential]]&lt;5, table2[[#This Row],[RRR Realized]]&gt;0,table2[[#This Row],[TP Hit]]=FALSE),table2[[#This Row],[RRR Closing Price]], IF(AND(table2[[#This Row],[TP Hit]]=TRUE,table2[[#This Row],[Hard RRR Potential]]&gt;=3), table2[[#This Row],[RRR Closing Price]], table2[[#This Row],[RRR Realized]])))</calculatedColumnFormula>
    </tableColumn>
    <tableColumn id="54" xr3:uid="{D7F96ED4-7706-4B41-A121-3D2D3FA4DF33}" name="RRR 5 with BE at 1R" dataDxfId="12">
      <calculatedColumnFormula>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Potential]]&gt;1,table2[[#This Row],[RRR Before BE]]="FALSE"),table2[[#This Row],[RRR Closing Price]], table2[[#This Row],[RRR Realized]]))))</calculatedColumnFormula>
    </tableColumn>
    <tableColumn id="55" xr3:uid="{0C09CF53-6D23-44D8-92E1-D2F96D13B0A5}" name="RRR 5 with BE at 1.5R"/>
    <tableColumn id="56" xr3:uid="{34B6DB2C-DFA8-4DC6-B12D-3F1953EC6B41}" name="RRR 4 1R Fast Reversal at 0" dataDxfId="11">
      <calculatedColumnFormula>IF(AND((table2[[#This Row],[Back to BE]])=TRUE,(table2[[#This Row],[Price Behaviour]])="Fast Reversal"), 0-(table2[[#This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calculatedColumnFormula>
    </tableColumn>
    <tableColumn id="57" xr3:uid="{F74A9FCB-8942-424D-BB9E-FF3D8EF7220A}" name="RRR 4 1R Fast Reversal at 1" dataDxfId="10">
      <calculatedColumnFormula>IF(AND((table2[[#This Row],[Hard RRR Potential]])&gt;=1,(table2[[#This Row],[Price Behaviour]])="Fast Reversal"), 1-(table2[[#This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calculatedColumnFormula>
    </tableColumn>
    <tableColumn id="58" xr3:uid="{8F02DDB5-4806-4218-A9DB-F54B71FDEA76}" name="RRR 4 1R Fast Reversal at 1.5" dataDxfId="9">
      <calculatedColumnFormula>IF(AND((table2[[#This Row],[Hard RRR Potential]])&gt;=1.5,(table2[[#This Row],[Price Behaviour]])="Fast Reversal"), 1.5-(table2[[#This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calculatedColumnFormula>
    </tableColumn>
    <tableColumn id="59" xr3:uid="{1C659D39-A6A5-439F-A568-7EA0BC6BE246}" name="RRR 4 1R Fast Reversal at 2" dataDxfId="8">
      <calculatedColumnFormula>IF(AND((table2[[#This Row],[Hard RRR Potential]])&gt;=2,(table2[[#This Row],[Price Behaviour]])="Fast Reversal"), 2-(table2[[#This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calculatedColumnFormula>
    </tableColumn>
    <tableColumn id="60" xr3:uid="{D9363D57-9628-4006-A739-CE4E57B26C06}" name="RRR 4 1.5R Fast Reversal at 0" dataDxfId="7">
      <calculatedColumnFormula>IF(AND((table2[[#This Row],[Back to BE]])="True",(table2[[#This Row],[Price Behaviour]])="Fast Reversal"), 0-(table2[[#This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calculatedColumnFormula>
    </tableColumn>
    <tableColumn id="61" xr3:uid="{E942BAD9-3551-4F89-B724-0817142CCBC8}" name="RRR 4 1.5R Fast Reversal at 1" dataDxfId="6">
      <calculatedColumnFormula>IF(AND((table2[[#This Row],[Hard RRR Potential]])&gt;=1,(table2[[#This Row],[Price Behaviour]])="Fast Reversal"), 1-(table2[[#This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calculatedColumnFormula>
    </tableColumn>
    <tableColumn id="62" xr3:uid="{4A690BF6-DF82-43DC-B59C-B89C59402045}" name="RRR 4 1.5R Fast Reversal at 1.5" dataDxfId="5">
      <calculatedColumnFormula>IF(AND((table2[[#This Row],[Hard RRR Potential]])&gt;=1.5,(table2[[#This Row],[Price Behaviour]])="Fast Reversal"), 1.5-(table2[[#This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calculatedColumnFormula>
    </tableColumn>
    <tableColumn id="63" xr3:uid="{D94FF573-759E-4689-9B41-9E10D969DC7A}" name="RRR 4 1.5R Fast Reversal at 2" dataDxfId="4">
      <calculatedColumnFormula>IF(AND((table2[[#This Row],[Hard RRR Potential]])&gt;=2,(table2[[#This Row],[Price Behaviour]])="Fast Reversal"), 2-(table2[[#This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calculatedColumnFormula>
    </tableColumn>
    <tableColumn id="64" xr3:uid="{E97CC3BB-9D15-4580-9E7C-297FD5E6915E}" name="RRR 4 R1 with SL at pattern break" dataDxfId="3">
      <calculatedColumnFormula>IF((table2[[#This Row],[Pattern SL]])&lt;&gt;FALSE,((table2[[#This Row],[Pattern SL]])-(table2[[#This Row],[Entry Price]]))/((table2[[#This Row],[Intended Entry]])-(table2[[#This Row],[SL Price]])),IF(OR(AND(table2[[#This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calculatedColumnFormula>
    </tableColumn>
    <tableColumn id="65" xr3:uid="{631632C4-230A-4090-89CC-C0A07D829F4D}" name="RRR 4 R1.5 with SL at pattern break" dataDxfId="2">
      <calculatedColumnFormula>IF((table2[[#This Row],[Pattern SL]])&lt;&gt;FALSE,((table2[[#This Row],[Pattern SL]])-(table2[[#This Row],[Entry Price]]))/((table2[[#This Row],[Intended Entry]])-(table2[[#This Row],[SL Price]])),IF(OR(AND(table2[[#This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calculatedColumnFormula>
    </tableColumn>
    <tableColumn id="66" xr3:uid="{BE841F49-6A29-45C3-BFD2-D0866BF9826A}" name="עמודה2"/>
    <tableColumn id="67" xr3:uid="{5B93AA0A-E0AA-40F6-BF99-ED9E8704196C}" name="RRR 4 1R Fast Reversal at 02">
      <calculatedColumnFormula>IF(AND((TABLE1[[#This Row],[Back to BE]])=TRUE,(TABLE1[[#This Row],[Price Behaviour]])="Fast Reversal"), 0-(TABLE1[[#This Row],[Missed RRR on Entry]]),IF(OR(AND(TABLE1[[#This Row],[Hard RRR Potential]]&gt;=3,TABLE1[[#This Row],[Hard RRR Before BE]]&gt;=3),AND(TABLE1[[#This Row],[Hard RRR Before BE]]="FALSE",TABLE1[[#This Row],[Hard RRR Potential]]&gt;=3)), 3-TABLE1[[#This Row],[Missed RRR]], IF(AND(TABLE1[[#This Row],[Hard RRR Before BE]]="FALSE",TABLE1[[#This Row],[RRR Realized]]&gt;0),TABLE1[[#This Row],[RRR Realized]], IF(AND(TABLE1[[#This Row],[Hard RRR Before BE]]&lt;&gt;"FALSE",TABLE1[[#This Row],[Hard RRR Before BE]]&gt;1), 0-TABLE1[[#This Row],[Missed RRR]], IF(AND(TABLE1[[#This Row],[Hard RRR Potential]]&lt;3,TABLE1[[#This Row],[Hard RRR Potential]]&gt;1,TABLE1[[#This Row],[Hard RRR Before BE]]="FALSE"),TABLE1[[#This Row],[RRR Closing Price]], TABLE1[[#This Row],[RRR Realized]])))))</calculatedColumnFormula>
    </tableColumn>
    <tableColumn id="68" xr3:uid="{4004BBEE-986B-473B-AE3B-1BE0670C9690}" name="RRR 4 1R Fast Reversal at 13">
      <calculatedColumnFormula>IF(AND((TABLE1[[#This Row],[Hard RRR Potential]])&gt;=1,(TABLE1[[#This Row],[Price Behaviour]])="Fast Reversal"), 1-(TABLE1[[#This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calculatedColumnFormula>
    </tableColumn>
    <tableColumn id="69" xr3:uid="{AAFD92A7-4CCF-4B02-9988-0AE30A469E38}" name="RRR 4 1R Fast Reversal at 1.54">
      <calculatedColumnFormula>IF(AND((TABLE1[[#This Row],[Hard RRR Potential]])&gt;=1.5,(TABLE1[[#This Row],[Price Behaviour]])="Fast Reversal"), 1.5-(TABLE1[[#This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calculatedColumnFormula>
    </tableColumn>
    <tableColumn id="70" xr3:uid="{BE6B0474-FD73-43B5-A578-B2863D9BFBE3}" name="RRR 4 1R Fast Reversal at 25">
      <calculatedColumnFormula>IF(AND((TABLE1[[#This Row],[Hard RRR Potential]])&gt;=2,(TABLE1[[#This Row],[Price Behaviour]])="Fast Reversal"), 2-(TABLE1[[#This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calculatedColumnFormula>
    </tableColumn>
    <tableColumn id="71" xr3:uid="{33C8EB87-505B-41D9-8CB4-093F82DDF807}" name="RRR 4 1.5R Fast Reversal at 06">
      <calculatedColumnFormula>IF(AND((TABLE1[[#This Row],[Back to BE]])="True",(TABLE1[[#This Row],[Price Behaviour]])="Fast Reversal"), 0-(TABLE1[[#This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calculatedColumnFormula>
    </tableColumn>
    <tableColumn id="72" xr3:uid="{B3EE527E-7A5E-4758-BF07-9831E9F57C02}" name="RRR 4 1.5R Fast Reversal at 17">
      <calculatedColumnFormula>IF(AND((TABLE1[[#This Row],[Hard RRR Potential]])&gt;=1,(TABLE1[[#This Row],[Price Behaviour]])="Fast Reversal"), 1-(TABLE1[[#This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calculatedColumnFormula>
    </tableColumn>
    <tableColumn id="73" xr3:uid="{AE5A98E4-3EAA-4606-B8D0-69DE5D3E6CFB}" name="RRR 4 1.5R Fast Reversal at 1.58">
      <calculatedColumnFormula>IF(AND((TABLE1[[#This Row],[Hard RRR Potential]])&gt;=1.5,(TABLE1[[#This Row],[Price Behaviour]])="Fast Reversal"), 1.5-(TABLE1[[#This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calculatedColumnFormula>
    </tableColumn>
    <tableColumn id="74" xr3:uid="{64FEEBC2-10BB-4D12-AC7C-4E835F4874C6}" name="RRR 4 1.5R Fast Reversal at 29">
      <calculatedColumnFormula>IF(AND((TABLE1[[#This Row],[Hard RRR Potential]])&gt;=2,(TABLE1[[#This Row],[Price Behaviour]])="Fast Reversal"), 2-(TABLE1[[#This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calculatedColumnFormula>
    </tableColumn>
    <tableColumn id="75" xr3:uid="{05B52138-A922-4467-886B-28ECF3171F8C}" name="RRR 4 R1 with SL at pattern break2">
      <calculatedColumnFormula>IF((TABLE1[[#This Row],[Pattern SL]])&lt;&gt;FALSE,((TABLE1[[#This Row],[Pattern SL]])-(TABLE1[[#This Row],[Entry Price]]))/((TABLE1[[#This Row],[Intended Entry]])-(TABLE1[[#This Row],[SL Price]])),IF(OR(AND(TABLE1[[#This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calculatedColumnFormula>
    </tableColumn>
    <tableColumn id="76" xr3:uid="{4704D286-30CF-4616-B65C-B4A2FBA0E7D2}" name="RRR 4 R1.5 with SL at pattern break3">
      <calculatedColumnFormula>IF((TABLE1[[#This Row],[Pattern SL]])&lt;&gt;FALSE,((TABLE1[[#This Row],[Pattern SL]])-(TABLE1[[#This Row],[Entry Price]]))/((TABLE1[[#This Row],[Intended Entry]])-(TABLE1[[#This Row],[SL Price]])),IF(OR(AND(TABLE1[[#This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AppData/Roaming/Microsoft/Excel/pran%20-1.png" TargetMode="External"/><Relationship Id="rId21" Type="http://schemas.openxmlformats.org/officeDocument/2006/relationships/hyperlink" Target="../../../AppData/Roaming/Microsoft/Excel/codx%20-1.jpg" TargetMode="External"/><Relationship Id="rId34" Type="http://schemas.openxmlformats.org/officeDocument/2006/relationships/hyperlink" Target="../../../AppData/Roaming/Microsoft/Excel/AGEN_-1.png" TargetMode="External"/><Relationship Id="rId42" Type="http://schemas.openxmlformats.org/officeDocument/2006/relationships/hyperlink" Target="../../../AppData/Roaming/Microsoft/Excel/TPNL%20+3.png" TargetMode="External"/><Relationship Id="rId47" Type="http://schemas.openxmlformats.org/officeDocument/2006/relationships/hyperlink" Target="../../../AppData/Roaming/Microsoft/Excel/cccl_-1.png" TargetMode="External"/><Relationship Id="rId50" Type="http://schemas.openxmlformats.org/officeDocument/2006/relationships/hyperlink" Target="../../../AppData/Roaming/Microsoft/Excel/CVE_+3.png" TargetMode="External"/><Relationship Id="rId55" Type="http://schemas.openxmlformats.org/officeDocument/2006/relationships/hyperlink" Target="../../../AppData/Roaming/Microsoft/Excel/SKYS%20+3.png" TargetMode="External"/><Relationship Id="rId63" Type="http://schemas.openxmlformats.org/officeDocument/2006/relationships/hyperlink" Target="../../../AppData/Roaming/Microsoft/Excel/KNDI_-1.png" TargetMode="External"/><Relationship Id="rId68" Type="http://schemas.openxmlformats.org/officeDocument/2006/relationships/hyperlink" Target="../../../AppData/Roaming/Microsoft/Excel/TXMD%20-1.png" TargetMode="External"/><Relationship Id="rId76" Type="http://schemas.openxmlformats.org/officeDocument/2006/relationships/hyperlink" Target="../../../AppData/Roaming/Microsoft/Excel/vnet%20-1.jpg" TargetMode="External"/><Relationship Id="rId84" Type="http://schemas.openxmlformats.org/officeDocument/2006/relationships/hyperlink" Target="../../../AppData/Roaming/Microsoft/Excel/STKL_-1.png" TargetMode="External"/><Relationship Id="rId89" Type="http://schemas.openxmlformats.org/officeDocument/2006/relationships/hyperlink" Target="..\..\..\AppData\Roaming\Microsoft\Excel\seel_-1.png" TargetMode="External"/><Relationship Id="rId97" Type="http://schemas.openxmlformats.org/officeDocument/2006/relationships/table" Target="../tables/table2.xml"/><Relationship Id="rId7" Type="http://schemas.openxmlformats.org/officeDocument/2006/relationships/hyperlink" Target="../../../AppData/Roaming/Microsoft/Excel/ftk%20-1.jpg" TargetMode="External"/><Relationship Id="rId71" Type="http://schemas.openxmlformats.org/officeDocument/2006/relationships/hyperlink" Target="../../../AppData/Roaming/Microsoft/Excel/PPDF__-1.png" TargetMode="External"/><Relationship Id="rId92" Type="http://schemas.openxmlformats.org/officeDocument/2006/relationships/hyperlink" Target="../../../AppData/Roaming/Microsoft/Excel/TROV_+3.png" TargetMode="External"/><Relationship Id="rId2" Type="http://schemas.openxmlformats.org/officeDocument/2006/relationships/hyperlink" Target="../../../AppData/Roaming/Microsoft/Excel/AXSM_-1_.png" TargetMode="External"/><Relationship Id="rId16" Type="http://schemas.openxmlformats.org/officeDocument/2006/relationships/hyperlink" Target="../../../AppData/Roaming/Microsoft/Excel/CORV%20+3.png" TargetMode="External"/><Relationship Id="rId29" Type="http://schemas.openxmlformats.org/officeDocument/2006/relationships/hyperlink" Target="../../../AppData/Roaming/Microsoft/Excel/qtm_-1.png" TargetMode="External"/><Relationship Id="rId11" Type="http://schemas.openxmlformats.org/officeDocument/2006/relationships/hyperlink" Target="../../../AppData/Roaming/Microsoft/Excel/UXIN_+3.png" TargetMode="External"/><Relationship Id="rId24" Type="http://schemas.openxmlformats.org/officeDocument/2006/relationships/hyperlink" Target="../../../AppData/Roaming/Microsoft/Excel/EGO_.png" TargetMode="External"/><Relationship Id="rId32" Type="http://schemas.openxmlformats.org/officeDocument/2006/relationships/hyperlink" Target="../../../AppData/Roaming/Microsoft/Excel/mxwl_+.png" TargetMode="External"/><Relationship Id="rId37" Type="http://schemas.openxmlformats.org/officeDocument/2006/relationships/hyperlink" Target="../../../AppData/Roaming/Microsoft/Excel/YECO_+3.png" TargetMode="External"/><Relationship Id="rId40" Type="http://schemas.openxmlformats.org/officeDocument/2006/relationships/hyperlink" Target="../../../AppData/Roaming/Microsoft/Excel/insy%20-1.png" TargetMode="External"/><Relationship Id="rId45" Type="http://schemas.openxmlformats.org/officeDocument/2006/relationships/hyperlink" Target="../../../AppData/Roaming/Microsoft/Excel/wonx%20-1.png" TargetMode="External"/><Relationship Id="rId53" Type="http://schemas.openxmlformats.org/officeDocument/2006/relationships/hyperlink" Target="../../../AppData/Roaming/Microsoft/Excel/ivc+3.png" TargetMode="External"/><Relationship Id="rId58" Type="http://schemas.openxmlformats.org/officeDocument/2006/relationships/hyperlink" Target="../../../AppData/Roaming/Microsoft/Excel/INSY%20-11.png" TargetMode="External"/><Relationship Id="rId66" Type="http://schemas.openxmlformats.org/officeDocument/2006/relationships/hyperlink" Target="../../../AppData/Roaming/Microsoft/Excel/CRK_-1_.png" TargetMode="External"/><Relationship Id="rId74" Type="http://schemas.openxmlformats.org/officeDocument/2006/relationships/hyperlink" Target="../../../AppData/Roaming/Microsoft/Excel/MDR_+3.png" TargetMode="External"/><Relationship Id="rId79" Type="http://schemas.openxmlformats.org/officeDocument/2006/relationships/hyperlink" Target="../../../AppData/Roaming/Microsoft/Excel/sqbg%20-1.png" TargetMode="External"/><Relationship Id="rId87" Type="http://schemas.openxmlformats.org/officeDocument/2006/relationships/hyperlink" Target="../../../AppData/Roaming/Microsoft/Excel/dss_-1.png" TargetMode="External"/><Relationship Id="rId5" Type="http://schemas.openxmlformats.org/officeDocument/2006/relationships/hyperlink" Target="../../../AppData/Roaming/Microsoft/Excel/RHE_-1.png" TargetMode="External"/><Relationship Id="rId61" Type="http://schemas.openxmlformats.org/officeDocument/2006/relationships/hyperlink" Target="../../../AppData/Roaming/Microsoft/Excel/KNDI_-1.png" TargetMode="External"/><Relationship Id="rId82" Type="http://schemas.openxmlformats.org/officeDocument/2006/relationships/hyperlink" Target="../../../AppData/Roaming/Microsoft/Excel/BPTH_+3.png" TargetMode="External"/><Relationship Id="rId90" Type="http://schemas.openxmlformats.org/officeDocument/2006/relationships/hyperlink" Target="../../../AppData/Roaming/Microsoft/Excel/BPTH_+3_001.png" TargetMode="External"/><Relationship Id="rId95" Type="http://schemas.openxmlformats.org/officeDocument/2006/relationships/hyperlink" Target="../../../AppData/Roaming/Microsoft/Excel/ytra_-1.png" TargetMode="External"/><Relationship Id="rId19" Type="http://schemas.openxmlformats.org/officeDocument/2006/relationships/hyperlink" Target="../../../AppData/Roaming/Microsoft/Excel/tell_-1.png" TargetMode="External"/><Relationship Id="rId14" Type="http://schemas.openxmlformats.org/officeDocument/2006/relationships/hyperlink" Target="../../../AppData/Roaming/Microsoft/Excel/CRMD_-1.png" TargetMode="External"/><Relationship Id="rId22" Type="http://schemas.openxmlformats.org/officeDocument/2006/relationships/hyperlink" Target="../../../AppData/Roaming/Microsoft/Excel/RMBS%20-1.png" TargetMode="External"/><Relationship Id="rId27" Type="http://schemas.openxmlformats.org/officeDocument/2006/relationships/hyperlink" Target="../../../AppData/Roaming/Microsoft/Excel/MRT%20-1.png" TargetMode="External"/><Relationship Id="rId30" Type="http://schemas.openxmlformats.org/officeDocument/2006/relationships/hyperlink" Target="../../../AppData/Roaming/Microsoft/Excel/ADIL_+3.png" TargetMode="External"/><Relationship Id="rId35" Type="http://schemas.openxmlformats.org/officeDocument/2006/relationships/hyperlink" Target="../../../AppData/Roaming/Microsoft/Excel/alqa_-2.png" TargetMode="External"/><Relationship Id="rId43" Type="http://schemas.openxmlformats.org/officeDocument/2006/relationships/hyperlink" Target="../../../AppData/Roaming/Microsoft/Excel/spi%20-1.png" TargetMode="External"/><Relationship Id="rId48" Type="http://schemas.openxmlformats.org/officeDocument/2006/relationships/hyperlink" Target="../../../AppData/Roaming/Microsoft/Excel/CCCL%20-1.png" TargetMode="External"/><Relationship Id="rId56" Type="http://schemas.openxmlformats.org/officeDocument/2006/relationships/hyperlink" Target="../../../AppData/Roaming/Microsoft/Excel/eca%20+3.png" TargetMode="External"/><Relationship Id="rId64" Type="http://schemas.openxmlformats.org/officeDocument/2006/relationships/hyperlink" Target="../../../AppData/Roaming/Microsoft/Excel/ADIL_+3_001.png" TargetMode="External"/><Relationship Id="rId69" Type="http://schemas.openxmlformats.org/officeDocument/2006/relationships/hyperlink" Target="../../../AppData/Roaming/Microsoft/Excel/cifs_+3.png" TargetMode="External"/><Relationship Id="rId77" Type="http://schemas.openxmlformats.org/officeDocument/2006/relationships/hyperlink" Target="../../../AppData/Roaming/Microsoft/Excel/CPE%20-1.png" TargetMode="External"/><Relationship Id="rId8" Type="http://schemas.openxmlformats.org/officeDocument/2006/relationships/hyperlink" Target="../../../AppData/Roaming/Microsoft/Excel/ftk%20-1.jpg" TargetMode="External"/><Relationship Id="rId51" Type="http://schemas.openxmlformats.org/officeDocument/2006/relationships/hyperlink" Target="../../../AppData/Roaming/Microsoft/Excel/SNAP_+3.png" TargetMode="External"/><Relationship Id="rId72" Type="http://schemas.openxmlformats.org/officeDocument/2006/relationships/hyperlink" Target="../../../AppData/Roaming/Microsoft/Excel/GSM_-1.png" TargetMode="External"/><Relationship Id="rId80" Type="http://schemas.openxmlformats.org/officeDocument/2006/relationships/hyperlink" Target="../../../AppData/Roaming/Microsoft/Excel/rkda%20+3.jpg" TargetMode="External"/><Relationship Id="rId85" Type="http://schemas.openxmlformats.org/officeDocument/2006/relationships/hyperlink" Target="../../../AppData/Roaming/Microsoft/Excel/CIFS_-1.png" TargetMode="External"/><Relationship Id="rId93" Type="http://schemas.openxmlformats.org/officeDocument/2006/relationships/hyperlink" Target="../../../AppData/Roaming/Microsoft/Excel/mcrb_+3.png" TargetMode="External"/><Relationship Id="rId3" Type="http://schemas.openxmlformats.org/officeDocument/2006/relationships/hyperlink" Target="../../../AppData/Roaming/Microsoft/Excel/mynd_-1.png" TargetMode="External"/><Relationship Id="rId12" Type="http://schemas.openxmlformats.org/officeDocument/2006/relationships/hyperlink" Target="../../../AppData/Roaming/Microsoft/Excel/INSG.png" TargetMode="External"/><Relationship Id="rId17" Type="http://schemas.openxmlformats.org/officeDocument/2006/relationships/hyperlink" Target="../../../AppData/Roaming/Microsoft/Excel/rand_+3.png" TargetMode="External"/><Relationship Id="rId25" Type="http://schemas.openxmlformats.org/officeDocument/2006/relationships/hyperlink" Target="../../../AppData/Roaming/Microsoft/Excel/EGO_.png" TargetMode="External"/><Relationship Id="rId33" Type="http://schemas.openxmlformats.org/officeDocument/2006/relationships/hyperlink" Target="../../../AppData/Roaming/Microsoft/Excel/inpx_+3.png" TargetMode="External"/><Relationship Id="rId38" Type="http://schemas.openxmlformats.org/officeDocument/2006/relationships/hyperlink" Target="../../../AppData/Roaming/Microsoft/Excel/FLKS_-1.png" TargetMode="External"/><Relationship Id="rId46" Type="http://schemas.openxmlformats.org/officeDocument/2006/relationships/hyperlink" Target="../../../AppData/Roaming/Microsoft/Excel/APDN%20-1.png" TargetMode="External"/><Relationship Id="rId59" Type="http://schemas.openxmlformats.org/officeDocument/2006/relationships/hyperlink" Target="../../../AppData/Roaming/Microsoft/Excel/RIOT%20+3.jpg" TargetMode="External"/><Relationship Id="rId67" Type="http://schemas.openxmlformats.org/officeDocument/2006/relationships/hyperlink" Target="../../../AppData/Roaming/Microsoft/Excel/infn%20-1.png" TargetMode="External"/><Relationship Id="rId20" Type="http://schemas.openxmlformats.org/officeDocument/2006/relationships/hyperlink" Target="../../../AppData/Roaming/Microsoft/Excel/codx%20-1.jpg" TargetMode="External"/><Relationship Id="rId41" Type="http://schemas.openxmlformats.org/officeDocument/2006/relationships/hyperlink" Target="../../../AppData/Roaming/Microsoft/Excel/trvn%20+3.png" TargetMode="External"/><Relationship Id="rId54" Type="http://schemas.openxmlformats.org/officeDocument/2006/relationships/hyperlink" Target="../../../AppData/Roaming/Microsoft/Excel/SPWR%20-1.png" TargetMode="External"/><Relationship Id="rId62" Type="http://schemas.openxmlformats.org/officeDocument/2006/relationships/hyperlink" Target="../../../AppData/Roaming/Microsoft/Excel/lksd_+3.png" TargetMode="External"/><Relationship Id="rId70" Type="http://schemas.openxmlformats.org/officeDocument/2006/relationships/hyperlink" Target="../../../AppData/Roaming/Microsoft/Excel/atec_+3.png" TargetMode="External"/><Relationship Id="rId75" Type="http://schemas.openxmlformats.org/officeDocument/2006/relationships/hyperlink" Target="../../../AppData/Roaming/Microsoft/Excel/GSM_-1.png" TargetMode="External"/><Relationship Id="rId83" Type="http://schemas.openxmlformats.org/officeDocument/2006/relationships/hyperlink" Target="../../../AppData/Roaming/Microsoft/Excel/BPTH_+3.png" TargetMode="External"/><Relationship Id="rId88" Type="http://schemas.openxmlformats.org/officeDocument/2006/relationships/hyperlink" Target="../../../AppData/Roaming/Microsoft/Excel/BPTH%20+33.jpg" TargetMode="External"/><Relationship Id="rId91" Type="http://schemas.openxmlformats.org/officeDocument/2006/relationships/hyperlink" Target="../../../AppData/Roaming/Microsoft/Excel/TNXP_+3.png" TargetMode="External"/><Relationship Id="rId96" Type="http://schemas.openxmlformats.org/officeDocument/2006/relationships/printerSettings" Target="../printerSettings/printerSettings2.bin"/><Relationship Id="rId1" Type="http://schemas.openxmlformats.org/officeDocument/2006/relationships/hyperlink" Target="../../../AppData/Roaming/Microsoft/Excel/AXSM_-1_.png" TargetMode="External"/><Relationship Id="rId6" Type="http://schemas.openxmlformats.org/officeDocument/2006/relationships/hyperlink" Target="../../../AppData/Roaming/Microsoft/Excel/inpx_+3_0011.png" TargetMode="External"/><Relationship Id="rId15" Type="http://schemas.openxmlformats.org/officeDocument/2006/relationships/hyperlink" Target="../../../AppData/Roaming/Microsoft/Excel/BSTI_-1.png" TargetMode="External"/><Relationship Id="rId23" Type="http://schemas.openxmlformats.org/officeDocument/2006/relationships/hyperlink" Target="../../../AppData/Roaming/Microsoft/Excel/nbev%20-1.png" TargetMode="External"/><Relationship Id="rId28" Type="http://schemas.openxmlformats.org/officeDocument/2006/relationships/hyperlink" Target="../../../AppData/Roaming/Microsoft/Excel/pran%20-1.png" TargetMode="External"/><Relationship Id="rId36" Type="http://schemas.openxmlformats.org/officeDocument/2006/relationships/hyperlink" Target="../../../AppData/Roaming/Microsoft/Excel/YECO_+3.png" TargetMode="External"/><Relationship Id="rId49" Type="http://schemas.openxmlformats.org/officeDocument/2006/relationships/hyperlink" Target="../../../AppData/Roaming/Microsoft/Excel/cccl_-1.png" TargetMode="External"/><Relationship Id="rId57" Type="http://schemas.openxmlformats.org/officeDocument/2006/relationships/hyperlink" Target="../../../AppData/Roaming/Microsoft/Excel/INSY%20-11.png" TargetMode="External"/><Relationship Id="rId10" Type="http://schemas.openxmlformats.org/officeDocument/2006/relationships/hyperlink" Target="../../../AppData/Roaming/Microsoft/Excel/TYME_+3.png" TargetMode="External"/><Relationship Id="rId31" Type="http://schemas.openxmlformats.org/officeDocument/2006/relationships/hyperlink" Target="../../../AppData/Roaming/Microsoft/Excel/dova_+3.png" TargetMode="External"/><Relationship Id="rId44" Type="http://schemas.openxmlformats.org/officeDocument/2006/relationships/hyperlink" Target="../../../AppData/Roaming/Microsoft/Excel/CLD%20-1.png" TargetMode="External"/><Relationship Id="rId52" Type="http://schemas.openxmlformats.org/officeDocument/2006/relationships/hyperlink" Target="../../../AppData/Roaming/Microsoft/Excel/SNAP_+3.png" TargetMode="External"/><Relationship Id="rId60" Type="http://schemas.openxmlformats.org/officeDocument/2006/relationships/hyperlink" Target="../../../AppData/Roaming/Microsoft/Excel/PVG%20+3.jpg" TargetMode="External"/><Relationship Id="rId65" Type="http://schemas.openxmlformats.org/officeDocument/2006/relationships/hyperlink" Target="../../../AppData/Roaming/Microsoft/Excel/or_-1.png" TargetMode="External"/><Relationship Id="rId73" Type="http://schemas.openxmlformats.org/officeDocument/2006/relationships/hyperlink" Target="../../../AppData/Roaming/Microsoft/Excel/ACB_-1.png" TargetMode="External"/><Relationship Id="rId78" Type="http://schemas.openxmlformats.org/officeDocument/2006/relationships/hyperlink" Target="../../../AppData/Roaming/Microsoft/Excel/tgtx%20-1.jpg" TargetMode="External"/><Relationship Id="rId81" Type="http://schemas.openxmlformats.org/officeDocument/2006/relationships/hyperlink" Target="../../../AppData/Roaming/Microsoft/Excel/SSY_-1.png" TargetMode="External"/><Relationship Id="rId86" Type="http://schemas.openxmlformats.org/officeDocument/2006/relationships/hyperlink" Target="../../../AppData/Roaming/Microsoft/Excel/DBVT_-1.png" TargetMode="External"/><Relationship Id="rId94" Type="http://schemas.openxmlformats.org/officeDocument/2006/relationships/hyperlink" Target="../../../AppData/Roaming/Microsoft/Excel/AXGT_+3.png" TargetMode="External"/><Relationship Id="rId4" Type="http://schemas.openxmlformats.org/officeDocument/2006/relationships/hyperlink" Target="../../../AppData/Roaming/Microsoft/Excel/MAXR_-1_001.png" TargetMode="External"/><Relationship Id="rId9" Type="http://schemas.openxmlformats.org/officeDocument/2006/relationships/hyperlink" Target="../../../AppData/Roaming/Microsoft/Excel/apha%20-1.jpg" TargetMode="External"/><Relationship Id="rId13" Type="http://schemas.openxmlformats.org/officeDocument/2006/relationships/hyperlink" Target="../../../AppData/Roaming/Microsoft/Excel/CENX_-.png" TargetMode="External"/><Relationship Id="rId18" Type="http://schemas.openxmlformats.org/officeDocument/2006/relationships/hyperlink" Target="../../../AppData/Roaming/Microsoft/Excel/ESV_-1.png" TargetMode="External"/><Relationship Id="rId39" Type="http://schemas.openxmlformats.org/officeDocument/2006/relationships/hyperlink" Target="../../../AppData/Roaming/Microsoft/Excel/bw_-1.pn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AppData/Roaming/Microsoft/Excel/slm_-3.png" TargetMode="External"/><Relationship Id="rId7" Type="http://schemas.openxmlformats.org/officeDocument/2006/relationships/table" Target="../tables/table3.xml"/><Relationship Id="rId2" Type="http://schemas.openxmlformats.org/officeDocument/2006/relationships/hyperlink" Target="../../../AppData/Roaming/Microsoft/Excel/pcg_-1.png" TargetMode="External"/><Relationship Id="rId1" Type="http://schemas.openxmlformats.org/officeDocument/2006/relationships/hyperlink" Target="../../../AppData/Roaming/Microsoft/Excel/corv_+_TLR.png" TargetMode="External"/><Relationship Id="rId6" Type="http://schemas.openxmlformats.org/officeDocument/2006/relationships/hyperlink" Target="../../../AppData/Roaming/Microsoft/Excel/BTX_-1.png" TargetMode="External"/><Relationship Id="rId5" Type="http://schemas.openxmlformats.org/officeDocument/2006/relationships/hyperlink" Target="../../../AppData/Roaming/Microsoft/Excel/slm_-3.png" TargetMode="External"/><Relationship Id="rId4" Type="http://schemas.openxmlformats.org/officeDocument/2006/relationships/hyperlink" Target="../../../AppData/Roaming/Microsoft/Excel/slm_-3.png" TargetMode="Externa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7079F-D9E8-4CFD-A64D-A56F41463128}">
  <sheetPr codeName="Worksheet______1"/>
  <dimension ref="A1:T31"/>
  <sheetViews>
    <sheetView zoomScaleNormal="100" workbookViewId="0">
      <selection activeCell="B30" sqref="B30:F31"/>
    </sheetView>
  </sheetViews>
  <sheetFormatPr defaultRowHeight="15" x14ac:dyDescent="0.25"/>
  <cols>
    <col min="1" max="1" width="11.42578125" bestFit="1" customWidth="1"/>
    <col min="2" max="2" width="12.28515625" customWidth="1"/>
    <col min="8" max="8" width="14.85546875" bestFit="1" customWidth="1"/>
    <col min="9" max="9" width="17.140625" bestFit="1" customWidth="1"/>
    <col min="10" max="10" width="18.7109375" bestFit="1" customWidth="1"/>
    <col min="11" max="11" width="13.28515625" bestFit="1" customWidth="1"/>
    <col min="12" max="12" width="14.85546875" bestFit="1" customWidth="1"/>
    <col min="13" max="13" width="12.85546875" bestFit="1" customWidth="1"/>
    <col min="14" max="14" width="14.85546875" bestFit="1" customWidth="1"/>
    <col min="15" max="15" width="12.85546875" bestFit="1" customWidth="1"/>
    <col min="16" max="16" width="6.7109375" bestFit="1" customWidth="1"/>
    <col min="17" max="17" width="10.5703125" bestFit="1" customWidth="1"/>
    <col min="18" max="18" width="15.7109375" bestFit="1" customWidth="1"/>
    <col min="19" max="19" width="11.28515625" bestFit="1" customWidth="1"/>
    <col min="20" max="22" width="6.7109375" bestFit="1" customWidth="1"/>
    <col min="23" max="23" width="4.7109375" bestFit="1" customWidth="1"/>
    <col min="24" max="26" width="6.7109375" bestFit="1" customWidth="1"/>
    <col min="27" max="27" width="4.7109375" bestFit="1" customWidth="1"/>
    <col min="28" max="29" width="6.7109375" bestFit="1" customWidth="1"/>
    <col min="30" max="32" width="4.7109375" bestFit="1" customWidth="1"/>
    <col min="33" max="34" width="6.7109375" bestFit="1" customWidth="1"/>
    <col min="35" max="35" width="4.7109375" bestFit="1" customWidth="1"/>
    <col min="36" max="36" width="6.7109375" bestFit="1" customWidth="1"/>
    <col min="37" max="37" width="4.7109375" bestFit="1" customWidth="1"/>
    <col min="38" max="38" width="6.7109375" bestFit="1" customWidth="1"/>
    <col min="39" max="41" width="4.7109375" bestFit="1" customWidth="1"/>
    <col min="42" max="42" width="6.7109375" bestFit="1" customWidth="1"/>
    <col min="43" max="48" width="4.7109375" bestFit="1" customWidth="1"/>
    <col min="49" max="49" width="3.7109375" bestFit="1" customWidth="1"/>
    <col min="50" max="50" width="8.7109375" bestFit="1" customWidth="1"/>
  </cols>
  <sheetData>
    <row r="1" spans="1:20" ht="21" x14ac:dyDescent="0.35">
      <c r="A1" s="11" t="s">
        <v>85</v>
      </c>
      <c r="B1" s="89" t="s">
        <v>94</v>
      </c>
      <c r="C1" s="89"/>
      <c r="D1" s="89"/>
      <c r="E1" s="89"/>
      <c r="F1" s="89"/>
      <c r="H1" s="90" t="s">
        <v>275</v>
      </c>
      <c r="I1" s="91"/>
      <c r="J1" s="91"/>
      <c r="K1" s="91"/>
      <c r="L1" s="88" t="s">
        <v>86</v>
      </c>
      <c r="M1" s="88"/>
      <c r="N1" s="88" t="s">
        <v>87</v>
      </c>
      <c r="O1" s="88"/>
      <c r="Q1" s="10" t="s">
        <v>85</v>
      </c>
      <c r="R1" s="10" t="s">
        <v>83</v>
      </c>
      <c r="S1" s="10" t="s">
        <v>84</v>
      </c>
      <c r="T1" s="7"/>
    </row>
    <row r="2" spans="1:20" ht="18.75" x14ac:dyDescent="0.3">
      <c r="A2" s="82">
        <v>43442</v>
      </c>
      <c r="B2" s="84" t="s">
        <v>161</v>
      </c>
      <c r="C2" s="84"/>
      <c r="D2" s="84"/>
      <c r="E2" s="84"/>
      <c r="F2" s="85"/>
      <c r="H2" s="8" t="s">
        <v>90</v>
      </c>
      <c r="I2" s="14">
        <f>(SUM((ACTIONS[Amount])))+SUM((TABLE1[Net Gain/Loss]))+SUM((table2[Net Gain/Loss]))</f>
        <v>29264.646000000001</v>
      </c>
      <c r="J2" s="8" t="s">
        <v>272</v>
      </c>
      <c r="K2" s="30">
        <f>(AVERAGEIF((TABLE1[Outcome]), "WINNER", (TABLE1[RRR Realized])))</f>
        <v>2.9870485714285713</v>
      </c>
      <c r="L2" s="8" t="s">
        <v>88</v>
      </c>
      <c r="M2" s="14">
        <f ca="1">IF(WEEKDAY(TODAY())=6,SUMIFS((TABLE1[Net Gain/Loss]),(TABLE1[Entry Date]),"&lt;="&amp;TODAY(), (TABLE1[Entry Date]),"&gt;="&amp;(TODAY()-4)),IF(WEEKDAY(TODAY())=5,SUMIFS((TABLE1[Net Gain/Loss]),(TABLE1[Entry Date]),"&lt;="&amp;TODAY(), (TABLE1[Entry Date]),"&gt;="&amp;(TODAY()-3)),IF(WEEKDAY(TODAY())=4,SUMIFS((TABLE1[Net Gain/Loss]),(TABLE1[Entry Date]),"&lt;="&amp;TODAY(), (TABLE1[Entry Date]),"&gt;="&amp;(TODAY()-2)), IF(WEEKDAY(TODAY())=3,SUMIFS((TABLE1[Net Gain/Loss]),(TABLE1[Entry Date]),"&lt;="&amp;TODAY(), (TABLE1[Entry Date]),"&gt;="&amp;(TODAY()-1)), IF(WEEKDAY(TODAY())=2,SUMIFS((TABLE1[Net Gain/Loss]),(TABLE1[Entry Date]),"&lt;="&amp;TODAY(), (TABLE1[Entry Date]),"&gt;="&amp;(TODAY()-0)),IF(WEEKDAY(TODAY())=7,SUMIFS((TABLE1[Net Gain/Loss]),(TABLE1[Entry Date]),"&lt;="&amp;TODAY(), (TABLE1[Entry Date]),"&gt;="&amp;(TODAY()-6)), IF(WEEKDAY(TODAY())=1,SUMIFS((TABLE1[Net Gain/Loss]),(TABLE1[Entry Date]),"&lt;="&amp;TODAY(), (TABLE1[Entry Date]),"&gt;="&amp;(TODAY()-7)))))))))</f>
        <v>0</v>
      </c>
      <c r="N2" s="8" t="s">
        <v>88</v>
      </c>
      <c r="O2" s="14">
        <f ca="1">SUMIF((TABLE1[Entry Date]),"="&amp;TODAY(),(TABLE1[Net Gain/Loss]))</f>
        <v>0</v>
      </c>
      <c r="Q2" s="6">
        <v>43406</v>
      </c>
      <c r="R2" t="s">
        <v>121</v>
      </c>
      <c r="S2">
        <v>29711.279999999999</v>
      </c>
    </row>
    <row r="3" spans="1:20" ht="18.75" x14ac:dyDescent="0.3">
      <c r="A3" s="83"/>
      <c r="B3" s="86"/>
      <c r="C3" s="86"/>
      <c r="D3" s="86"/>
      <c r="E3" s="86"/>
      <c r="F3" s="87"/>
      <c r="H3" s="8" t="s">
        <v>91</v>
      </c>
      <c r="I3" s="19">
        <f>(COUNTIF((TABLE1[Outcome]),"WINNER"))/(COUNTA((TABLE1[Outcome])))</f>
        <v>0.36458333333333331</v>
      </c>
      <c r="J3" s="8" t="s">
        <v>273</v>
      </c>
      <c r="K3" s="75">
        <f>(AVERAGEIF((TABLE1[Outcome]), "LOSER", (TABLE1[RRR Realized])))</f>
        <v>-1.7677409836065576</v>
      </c>
      <c r="L3" s="8" t="s">
        <v>91</v>
      </c>
      <c r="M3" s="13"/>
      <c r="N3" s="8" t="s">
        <v>91</v>
      </c>
      <c r="O3" s="19" t="e">
        <f ca="1">(DCOUNTA(TABLE,"Outcome",Notes!O1:P2))/(DCOUNTA(TABLE,"Outcome",Notes!P1:P2))</f>
        <v>#DIV/0!</v>
      </c>
      <c r="Q3" s="6">
        <v>43417</v>
      </c>
      <c r="R3" t="s">
        <v>122</v>
      </c>
      <c r="S3">
        <f>44.47-(0.37+13.9*2)</f>
        <v>16.299999999999997</v>
      </c>
    </row>
    <row r="4" spans="1:20" ht="18.75" x14ac:dyDescent="0.3">
      <c r="A4" s="82">
        <v>43467</v>
      </c>
      <c r="B4" s="84" t="s">
        <v>179</v>
      </c>
      <c r="C4" s="84"/>
      <c r="D4" s="84"/>
      <c r="E4" s="84"/>
      <c r="F4" s="85"/>
      <c r="H4" s="8" t="s">
        <v>89</v>
      </c>
      <c r="I4" s="14">
        <f>AVERAGE((TABLE1[Net Gain/Loss]))</f>
        <v>-3.8827500000000019</v>
      </c>
      <c r="J4" s="8" t="s">
        <v>274</v>
      </c>
      <c r="K4" s="8">
        <f>AVERAGE(TABLE1[RRR Realized],table2[RRR Realized])</f>
        <v>-8.2760784313725425E-2</v>
      </c>
      <c r="L4" s="8" t="s">
        <v>89</v>
      </c>
      <c r="M4" s="14" t="e">
        <f ca="1">IF(WEEKDAY(TODAY())=6,AVERAGEIFS((TABLE1[Net Gain/Loss]),(TABLE1[Entry Date]),"&lt;="&amp;TODAY(), (TABLE1[Entry Date]),"&gt;="&amp;(TODAY()-4)),IF(WEEKDAY(TODAY())=5,AVERAGEIFS((TABLE1[Net Gain/Loss]),(TABLE1[Entry Date]),"&lt;="&amp;TODAY(), (TABLE1[Entry Date]),"&gt;="&amp;(TODAY()-3)),IF(WEEKDAY(TODAY())=4,AVERAGEIFS((TABLE1[Net Gain/Loss]),(TABLE1[Entry Date]),"&lt;="&amp;TODAY(), (TABLE1[Entry Date]),"&gt;="&amp;(TODAY()-2)), IF(WEEKDAY(TODAY())=3,AVERAGEIFS((TABLE1[Net Gain/Loss]),(TABLE1[Entry Date]),"&lt;="&amp;TODAY(), (TABLE1[Entry Date]),"&gt;="&amp;(TODAY()-1)), IF(WEEKDAY(TODAY())=2,AVERAGEIFS((TABLE1[Net Gain/Loss]),(TABLE1[Entry Date]),"&lt;="&amp;TODAY(), (TABLE1[Entry Date]),"&gt;="&amp;(TODAY()-0)),IF(WEEKDAY(TODAY())=7,AVERAGEIFS((TABLE1[Net Gain/Loss]),(TABLE1[Entry Date]),"&lt;="&amp;TODAY(), (TABLE1[Entry Date]),"&gt;="&amp;(TODAY()-5)), IF(WEEKDAY(TODAY())=1,AVERAGEIFS((TABLE1[Net Gain/Loss]),(TABLE1[Entry Date]),"&lt;="&amp;TODAY(), (TABLE1[Entry Date]),"&gt;="&amp;(TODAY()-6)))))))))</f>
        <v>#DIV/0!</v>
      </c>
      <c r="N4" s="8" t="s">
        <v>89</v>
      </c>
      <c r="O4" s="14" t="e">
        <f ca="1">AVERAGEIF((TABLE1[Entry Date]),"="&amp;TODAY(),(TABLE1[Net Gain/Loss]))</f>
        <v>#DIV/0!</v>
      </c>
      <c r="Q4" s="6"/>
    </row>
    <row r="5" spans="1:20" ht="18.75" x14ac:dyDescent="0.3">
      <c r="A5" s="83"/>
      <c r="B5" s="86"/>
      <c r="C5" s="86"/>
      <c r="D5" s="86"/>
      <c r="E5" s="86"/>
      <c r="F5" s="87"/>
      <c r="H5" s="8" t="s">
        <v>95</v>
      </c>
      <c r="I5" s="30">
        <f>COUNT((TABLE1[No]))</f>
        <v>96</v>
      </c>
      <c r="J5" s="8" t="s">
        <v>95</v>
      </c>
      <c r="L5" s="8" t="s">
        <v>95</v>
      </c>
      <c r="N5" s="8" t="s">
        <v>95</v>
      </c>
      <c r="Q5" s="6"/>
    </row>
    <row r="6" spans="1:20" ht="21" customHeight="1" x14ac:dyDescent="0.35">
      <c r="A6" s="82">
        <v>43468</v>
      </c>
      <c r="B6" s="84" t="s">
        <v>185</v>
      </c>
      <c r="C6" s="84"/>
      <c r="D6" s="84"/>
      <c r="E6" s="84"/>
      <c r="F6" s="85"/>
      <c r="H6" s="15" t="s">
        <v>19</v>
      </c>
      <c r="I6" s="16"/>
      <c r="J6" s="15" t="s">
        <v>262</v>
      </c>
      <c r="K6" s="16"/>
      <c r="L6" s="15" t="s">
        <v>234</v>
      </c>
      <c r="M6" s="16"/>
      <c r="N6" s="15"/>
      <c r="O6" s="16"/>
      <c r="Q6" s="6"/>
    </row>
    <row r="7" spans="1:20" ht="18.75" x14ac:dyDescent="0.3">
      <c r="A7" s="83"/>
      <c r="B7" s="86"/>
      <c r="C7" s="86"/>
      <c r="D7" s="86"/>
      <c r="E7" s="86"/>
      <c r="F7" s="87"/>
      <c r="H7" s="8" t="s">
        <v>88</v>
      </c>
      <c r="I7" s="14">
        <f>SUMIFS((TABLE1[Net Gain/Loss]),(TABLE1[Setup]), "BO")</f>
        <v>-385.09000000000032</v>
      </c>
      <c r="J7" s="8" t="s">
        <v>88</v>
      </c>
      <c r="K7" s="14">
        <f>SUMIFS((TABLE1[Net Gain/Loss]),(TABLE1[Setup]), "BOT")</f>
        <v>12.346000000000009</v>
      </c>
      <c r="L7" s="8" t="s">
        <v>88</v>
      </c>
      <c r="M7" s="14">
        <f>SUMIFS((table2[Net Gain/Loss]),(table2[Setup]), "TLR")</f>
        <v>-90.19</v>
      </c>
      <c r="N7" s="8" t="s">
        <v>88</v>
      </c>
      <c r="Q7" s="6"/>
    </row>
    <row r="8" spans="1:20" ht="18.75" customHeight="1" x14ac:dyDescent="0.3">
      <c r="A8" s="82">
        <v>43517</v>
      </c>
      <c r="B8" s="84" t="s">
        <v>338</v>
      </c>
      <c r="C8" s="84"/>
      <c r="D8" s="84"/>
      <c r="E8" s="84"/>
      <c r="F8" s="85"/>
      <c r="H8" s="8" t="s">
        <v>91</v>
      </c>
      <c r="I8" s="19">
        <f>(COUNTIFS((TABLE1[Outcome]),"Winner",(TABLE1[Setup]),"BO")/(COUNTIF(TABLE1[Setup],"BO")))</f>
        <v>0.35632183908045978</v>
      </c>
      <c r="J8" s="8" t="s">
        <v>91</v>
      </c>
      <c r="K8" s="19">
        <f>(COUNTIFS((TABLE1[Outcome]),"Winner",(TABLE1[Setup]),"BOT")/(COUNTIF(TABLE1[Setup],"BOT")))</f>
        <v>0.44444444444444442</v>
      </c>
      <c r="L8" s="8" t="s">
        <v>91</v>
      </c>
      <c r="M8" s="19">
        <f>(COUNTIFS((table2[Outcome]),"Winner",(table2[Setup]),"TLR")/(COUNTIF(table2[Setup],"TLR")))</f>
        <v>0.16666666666666666</v>
      </c>
      <c r="N8" s="8" t="s">
        <v>91</v>
      </c>
      <c r="Q8" s="6"/>
      <c r="S8" s="31"/>
    </row>
    <row r="9" spans="1:20" ht="18.75" x14ac:dyDescent="0.3">
      <c r="A9" s="83"/>
      <c r="B9" s="86"/>
      <c r="C9" s="86"/>
      <c r="D9" s="86"/>
      <c r="E9" s="86"/>
      <c r="F9" s="87"/>
      <c r="H9" s="8" t="s">
        <v>89</v>
      </c>
      <c r="I9" s="14">
        <f>AVERAGEIFS((TABLE1[Net Gain/Loss]),(TABLE1[Setup]), "BO")</f>
        <v>-4.4263218390804635</v>
      </c>
      <c r="J9" s="8" t="s">
        <v>89</v>
      </c>
      <c r="K9" s="14">
        <f>AVERAGEIFS((TABLE1[Net Gain/Loss]),(TABLE1[Setup]), "BOT")</f>
        <v>1.3717777777777789</v>
      </c>
      <c r="L9" s="8" t="s">
        <v>89</v>
      </c>
      <c r="M9" s="14">
        <f>AVERAGEIFS((table2[Net Gain/Loss]),(table2[Setup]), "TLR")</f>
        <v>-15.031666666666666</v>
      </c>
      <c r="N9" s="8" t="s">
        <v>89</v>
      </c>
    </row>
    <row r="10" spans="1:20" ht="18.75" customHeight="1" x14ac:dyDescent="0.3">
      <c r="A10" s="82">
        <v>43522</v>
      </c>
      <c r="B10" s="84" t="s">
        <v>373</v>
      </c>
      <c r="C10" s="84"/>
      <c r="D10" s="84"/>
      <c r="E10" s="84"/>
      <c r="F10" s="85"/>
      <c r="H10" s="8" t="s">
        <v>95</v>
      </c>
      <c r="I10" s="30">
        <f>COUNTIF((TABLE1[Setup]),"BO")</f>
        <v>87</v>
      </c>
      <c r="J10" s="8" t="s">
        <v>95</v>
      </c>
      <c r="K10" s="30">
        <f>COUNTIF((TABLE1[Setup]),"BOT")</f>
        <v>9</v>
      </c>
      <c r="L10" s="8" t="s">
        <v>95</v>
      </c>
      <c r="M10" s="13">
        <f>COUNTIF((table2[Setup]),"TLR")</f>
        <v>6</v>
      </c>
      <c r="N10" s="8" t="s">
        <v>95</v>
      </c>
    </row>
    <row r="11" spans="1:20" ht="18.75" x14ac:dyDescent="0.3">
      <c r="A11" s="83"/>
      <c r="B11" s="86"/>
      <c r="C11" s="86"/>
      <c r="D11" s="86"/>
      <c r="E11" s="86"/>
      <c r="F11" s="87"/>
      <c r="H11" s="8" t="s">
        <v>272</v>
      </c>
      <c r="I11" s="75">
        <f>(AVERAGEIFS(TABLE1[RRR Realized],TABLE1[Outcome], "WINNER", TABLE1[Setup],"BO"))</f>
        <v>2.979367741935484</v>
      </c>
      <c r="J11" s="8" t="s">
        <v>272</v>
      </c>
      <c r="K11" s="30">
        <f>(AVERAGEIFS(TABLE1[RRR Realized],TABLE1[Outcome], "WINNER", TABLE1[Setup],"BOT"))</f>
        <v>3.0465749999999998</v>
      </c>
      <c r="L11" s="8" t="s">
        <v>272</v>
      </c>
      <c r="M11" s="75">
        <f>(AVERAGEIFS(table2[RRR Realized],table2[Outcome], "WINNER", table2[Setup],"TLR"))</f>
        <v>1.8605</v>
      </c>
      <c r="N11" s="8" t="s">
        <v>272</v>
      </c>
      <c r="O11" s="30"/>
    </row>
    <row r="12" spans="1:20" ht="18.75" customHeight="1" x14ac:dyDescent="0.3">
      <c r="A12" s="82">
        <v>43473</v>
      </c>
      <c r="B12" s="84" t="s">
        <v>218</v>
      </c>
      <c r="C12" s="84"/>
      <c r="D12" s="84"/>
      <c r="E12" s="84"/>
      <c r="F12" s="85"/>
      <c r="H12" s="8" t="s">
        <v>273</v>
      </c>
      <c r="I12" s="75">
        <f>(AVERAGEIFS(TABLE1[RRR Realized],TABLE1[Outcome], "LOSER", TABLE1[Setup],"BO"))</f>
        <v>-1.8077785714285715</v>
      </c>
      <c r="J12" s="8" t="s">
        <v>273</v>
      </c>
      <c r="K12" s="75">
        <f>(AVERAGEIFS(TABLE1[RRR Realized],TABLE1[Outcome], "LOSER", TABLE1[Setup],"BOT"))</f>
        <v>-1.31932</v>
      </c>
      <c r="L12" s="8" t="s">
        <v>273</v>
      </c>
      <c r="M12" s="75">
        <f>(AVERAGEIFS(table2[RRR Realized],table2[Outcome], "LOSER", table2[Setup],"TLR"))</f>
        <v>-1.4033200000000001</v>
      </c>
      <c r="N12" s="8" t="s">
        <v>273</v>
      </c>
      <c r="O12" s="75"/>
    </row>
    <row r="13" spans="1:20" ht="18.75" x14ac:dyDescent="0.3">
      <c r="A13" s="83"/>
      <c r="B13" s="86"/>
      <c r="C13" s="86"/>
      <c r="D13" s="86"/>
      <c r="E13" s="86"/>
      <c r="F13" s="87"/>
      <c r="H13" s="8" t="s">
        <v>274</v>
      </c>
      <c r="I13" s="75">
        <f>AVERAGEIF(TABLE1[Setup],"BO",TABLE1[RRR Realized])</f>
        <v>-0.10201379310344819</v>
      </c>
      <c r="J13" s="8" t="s">
        <v>274</v>
      </c>
      <c r="K13" s="75">
        <f>AVERAGEIF(TABLE1[Setup],"BOT",TABLE1[RRR Realized])</f>
        <v>0.62107777777777773</v>
      </c>
      <c r="L13" s="8" t="s">
        <v>274</v>
      </c>
      <c r="M13" s="75">
        <f>AVERAGEIF(table2[Setup],"TLR",table2[RRR Realized])</f>
        <v>-0.85935000000000006</v>
      </c>
      <c r="N13" s="8" t="s">
        <v>274</v>
      </c>
      <c r="O13" s="8"/>
    </row>
    <row r="14" spans="1:20" ht="15" customHeight="1" x14ac:dyDescent="0.25">
      <c r="A14" s="82">
        <v>43474</v>
      </c>
      <c r="B14" s="92" t="s">
        <v>237</v>
      </c>
      <c r="C14" s="92"/>
      <c r="D14" s="92"/>
      <c r="E14" s="92"/>
      <c r="F14" s="93"/>
    </row>
    <row r="15" spans="1:20" x14ac:dyDescent="0.25">
      <c r="A15" s="83"/>
      <c r="B15" s="94"/>
      <c r="C15" s="94"/>
      <c r="D15" s="94"/>
      <c r="E15" s="94"/>
      <c r="F15" s="95"/>
    </row>
    <row r="16" spans="1:20" ht="15" customHeight="1" x14ac:dyDescent="0.25">
      <c r="A16" s="82" t="s">
        <v>248</v>
      </c>
      <c r="B16" s="96" t="s">
        <v>249</v>
      </c>
      <c r="C16" s="96"/>
      <c r="D16" s="96"/>
      <c r="E16" s="96"/>
      <c r="F16" s="97"/>
    </row>
    <row r="17" spans="1:6" x14ac:dyDescent="0.25">
      <c r="A17" s="83"/>
      <c r="B17" s="98"/>
      <c r="C17" s="98"/>
      <c r="D17" s="98"/>
      <c r="E17" s="98"/>
      <c r="F17" s="99"/>
    </row>
    <row r="18" spans="1:6" ht="15" customHeight="1" x14ac:dyDescent="0.25">
      <c r="A18" s="82" t="s">
        <v>248</v>
      </c>
      <c r="B18" s="84" t="s">
        <v>250</v>
      </c>
      <c r="C18" s="84"/>
      <c r="D18" s="84"/>
      <c r="E18" s="84"/>
      <c r="F18" s="85"/>
    </row>
    <row r="19" spans="1:6" x14ac:dyDescent="0.25">
      <c r="A19" s="83"/>
      <c r="B19" s="86"/>
      <c r="C19" s="86"/>
      <c r="D19" s="86"/>
      <c r="E19" s="86"/>
      <c r="F19" s="87"/>
    </row>
    <row r="20" spans="1:6" ht="15" customHeight="1" x14ac:dyDescent="0.25">
      <c r="A20" s="82">
        <v>43500</v>
      </c>
      <c r="B20" s="84" t="s">
        <v>276</v>
      </c>
      <c r="C20" s="84"/>
      <c r="D20" s="84"/>
      <c r="E20" s="84"/>
      <c r="F20" s="85"/>
    </row>
    <row r="21" spans="1:6" x14ac:dyDescent="0.25">
      <c r="A21" s="83"/>
      <c r="B21" s="86"/>
      <c r="C21" s="86"/>
      <c r="D21" s="86"/>
      <c r="E21" s="86"/>
      <c r="F21" s="87"/>
    </row>
    <row r="22" spans="1:6" ht="14.45" customHeight="1" x14ac:dyDescent="0.25">
      <c r="A22" s="82">
        <v>43508</v>
      </c>
      <c r="B22" s="84" t="s">
        <v>290</v>
      </c>
      <c r="C22" s="84"/>
      <c r="D22" s="84"/>
      <c r="E22" s="84"/>
      <c r="F22" s="85"/>
    </row>
    <row r="23" spans="1:6" x14ac:dyDescent="0.25">
      <c r="A23" s="83"/>
      <c r="B23" s="86"/>
      <c r="C23" s="86"/>
      <c r="D23" s="86"/>
      <c r="E23" s="86"/>
      <c r="F23" s="87"/>
    </row>
    <row r="24" spans="1:6" ht="14.45" customHeight="1" x14ac:dyDescent="0.25">
      <c r="A24" s="82">
        <v>43508</v>
      </c>
      <c r="B24" s="84" t="s">
        <v>308</v>
      </c>
      <c r="C24" s="84"/>
      <c r="D24" s="84"/>
      <c r="E24" s="84"/>
      <c r="F24" s="85"/>
    </row>
    <row r="25" spans="1:6" x14ac:dyDescent="0.25">
      <c r="A25" s="83"/>
      <c r="B25" s="86"/>
      <c r="C25" s="86"/>
      <c r="D25" s="86"/>
      <c r="E25" s="86"/>
      <c r="F25" s="87"/>
    </row>
    <row r="26" spans="1:6" ht="14.45" customHeight="1" x14ac:dyDescent="0.25">
      <c r="A26" s="82">
        <v>43516</v>
      </c>
      <c r="B26" s="84" t="s">
        <v>332</v>
      </c>
      <c r="C26" s="84"/>
      <c r="D26" s="84"/>
      <c r="E26" s="84"/>
      <c r="F26" s="85"/>
    </row>
    <row r="27" spans="1:6" x14ac:dyDescent="0.25">
      <c r="A27" s="83"/>
      <c r="B27" s="86"/>
      <c r="C27" s="86"/>
      <c r="D27" s="86"/>
      <c r="E27" s="86"/>
      <c r="F27" s="87"/>
    </row>
    <row r="28" spans="1:6" ht="14.45" customHeight="1" x14ac:dyDescent="0.25">
      <c r="A28" s="82">
        <v>43524</v>
      </c>
      <c r="B28" s="84" t="s">
        <v>378</v>
      </c>
      <c r="C28" s="84"/>
      <c r="D28" s="84"/>
      <c r="E28" s="84"/>
      <c r="F28" s="85"/>
    </row>
    <row r="29" spans="1:6" x14ac:dyDescent="0.25">
      <c r="A29" s="83"/>
      <c r="B29" s="86"/>
      <c r="C29" s="86"/>
      <c r="D29" s="86"/>
      <c r="E29" s="86"/>
      <c r="F29" s="87"/>
    </row>
    <row r="30" spans="1:6" ht="14.45" customHeight="1" x14ac:dyDescent="0.25">
      <c r="A30" s="82"/>
      <c r="B30" s="84"/>
      <c r="C30" s="84"/>
      <c r="D30" s="84"/>
      <c r="E30" s="84"/>
      <c r="F30" s="85"/>
    </row>
    <row r="31" spans="1:6" x14ac:dyDescent="0.25">
      <c r="A31" s="83"/>
      <c r="B31" s="86"/>
      <c r="C31" s="86"/>
      <c r="D31" s="86"/>
      <c r="E31" s="86"/>
      <c r="F31" s="87"/>
    </row>
  </sheetData>
  <mergeCells count="34">
    <mergeCell ref="A30:A31"/>
    <mergeCell ref="B30:F31"/>
    <mergeCell ref="A28:A29"/>
    <mergeCell ref="B28:F29"/>
    <mergeCell ref="B4:F5"/>
    <mergeCell ref="A4:A5"/>
    <mergeCell ref="B10:F11"/>
    <mergeCell ref="A10:A11"/>
    <mergeCell ref="A8:A9"/>
    <mergeCell ref="B8:F9"/>
    <mergeCell ref="A12:A13"/>
    <mergeCell ref="B12:F13"/>
    <mergeCell ref="B20:F21"/>
    <mergeCell ref="A20:A21"/>
    <mergeCell ref="B18:F19"/>
    <mergeCell ref="B16:F17"/>
    <mergeCell ref="A14:A15"/>
    <mergeCell ref="B14:F15"/>
    <mergeCell ref="L1:M1"/>
    <mergeCell ref="B6:F7"/>
    <mergeCell ref="A6:A7"/>
    <mergeCell ref="N1:O1"/>
    <mergeCell ref="B1:F1"/>
    <mergeCell ref="H1:K1"/>
    <mergeCell ref="A2:A3"/>
    <mergeCell ref="B2:F3"/>
    <mergeCell ref="A18:A19"/>
    <mergeCell ref="A16:A17"/>
    <mergeCell ref="A26:A27"/>
    <mergeCell ref="B26:F27"/>
    <mergeCell ref="A22:A23"/>
    <mergeCell ref="B22:F23"/>
    <mergeCell ref="A24:A25"/>
    <mergeCell ref="B24:F25"/>
  </mergeCells>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10C8A-8522-4B7F-AC2F-01F05E12A6D2}">
  <sheetPr codeName="Worksheet______2"/>
  <dimension ref="A1:CD97"/>
  <sheetViews>
    <sheetView tabSelected="1" topLeftCell="AD1" zoomScaleNormal="100" workbookViewId="0">
      <selection activeCell="AG1" sqref="AG1"/>
    </sheetView>
  </sheetViews>
  <sheetFormatPr defaultRowHeight="15" x14ac:dyDescent="0.25"/>
  <cols>
    <col min="1" max="1" width="12.28515625" customWidth="1"/>
    <col min="2" max="2" width="5.7109375" bestFit="1" customWidth="1"/>
    <col min="3" max="3" width="11.7109375" style="2" bestFit="1" customWidth="1"/>
    <col min="4" max="4" width="11.85546875" style="1" bestFit="1" customWidth="1"/>
    <col min="5" max="5" width="10.7109375" style="1" bestFit="1" customWidth="1"/>
    <col min="6" max="6" width="7.7109375" style="5" bestFit="1" customWidth="1"/>
    <col min="7" max="7" width="9.7109375" bestFit="1" customWidth="1"/>
    <col min="8" max="8" width="10.28515625" bestFit="1" customWidth="1"/>
    <col min="9" max="9" width="15.140625" bestFit="1" customWidth="1"/>
    <col min="10" max="10" width="7.28515625" bestFit="1" customWidth="1"/>
    <col min="11" max="11" width="7.42578125" bestFit="1" customWidth="1"/>
    <col min="12" max="12" width="9.7109375" bestFit="1" customWidth="1"/>
    <col min="13" max="13" width="8.42578125" bestFit="1" customWidth="1"/>
    <col min="14" max="14" width="11.42578125" bestFit="1" customWidth="1"/>
    <col min="15" max="15" width="11.28515625" bestFit="1" customWidth="1"/>
    <col min="16" max="16" width="13.7109375" bestFit="1" customWidth="1"/>
    <col min="17" max="17" width="15" bestFit="1" customWidth="1"/>
    <col min="18" max="18" width="11.42578125" bestFit="1" customWidth="1"/>
    <col min="19" max="19" width="12.85546875" bestFit="1" customWidth="1"/>
    <col min="20" max="20" width="12.28515625" bestFit="1" customWidth="1"/>
    <col min="21" max="21" width="8" bestFit="1" customWidth="1"/>
    <col min="22" max="22" width="8" customWidth="1"/>
    <col min="23" max="23" width="11.85546875" bestFit="1" customWidth="1"/>
    <col min="24" max="25" width="11.85546875" customWidth="1"/>
    <col min="26" max="26" width="10.42578125" bestFit="1" customWidth="1"/>
    <col min="27" max="27" width="10.42578125" customWidth="1"/>
    <col min="28" max="29" width="8.42578125" customWidth="1"/>
    <col min="30" max="30" width="10.7109375" bestFit="1" customWidth="1"/>
    <col min="31" max="31" width="16" bestFit="1" customWidth="1"/>
    <col min="32" max="32" width="7.7109375" bestFit="1" customWidth="1"/>
    <col min="33" max="33" width="15" bestFit="1" customWidth="1"/>
    <col min="34" max="34" width="15" customWidth="1"/>
    <col min="35" max="35" width="13.28515625" bestFit="1" customWidth="1"/>
    <col min="36" max="36" width="9.7109375" bestFit="1" customWidth="1"/>
    <col min="37" max="37" width="16.140625" bestFit="1" customWidth="1"/>
    <col min="38" max="39" width="13.42578125" style="23" bestFit="1" customWidth="1"/>
    <col min="40" max="40" width="21.28515625" style="23" bestFit="1" customWidth="1"/>
    <col min="41" max="41" width="10.7109375" bestFit="1" customWidth="1"/>
    <col min="42" max="42" width="14.7109375" bestFit="1" customWidth="1"/>
    <col min="43" max="43" width="7.28515625" bestFit="1" customWidth="1"/>
    <col min="44" max="44" width="17.28515625" bestFit="1" customWidth="1"/>
    <col min="45" max="45" width="10.7109375" bestFit="1" customWidth="1"/>
    <col min="46" max="46" width="19.7109375" style="4" bestFit="1" customWidth="1"/>
    <col min="47" max="47" width="20.140625" style="4" bestFit="1" customWidth="1"/>
    <col min="48" max="48" width="18.7109375" style="4" bestFit="1" customWidth="1"/>
    <col min="49" max="49" width="12.7109375" bestFit="1" customWidth="1"/>
    <col min="50" max="50" width="14.28515625" bestFit="1" customWidth="1"/>
    <col min="51" max="51" width="18.7109375" bestFit="1" customWidth="1"/>
    <col min="52" max="52" width="18.7109375" customWidth="1"/>
    <col min="53" max="53" width="13.7109375" bestFit="1" customWidth="1"/>
    <col min="54" max="54" width="12.7109375" bestFit="1" customWidth="1"/>
    <col min="55" max="55" width="19.42578125" bestFit="1" customWidth="1"/>
    <col min="56" max="56" width="21.42578125" bestFit="1" customWidth="1"/>
    <col min="57" max="57" width="23.28515625" bestFit="1" customWidth="1"/>
    <col min="58" max="58" width="22.85546875" bestFit="1" customWidth="1"/>
    <col min="59" max="59" width="24.5703125" bestFit="1" customWidth="1"/>
    <col min="60" max="60" width="23.28515625" bestFit="1" customWidth="1"/>
    <col min="61" max="62" width="25.5703125" bestFit="1" customWidth="1"/>
    <col min="63" max="63" width="27.140625" bestFit="1" customWidth="1"/>
    <col min="64" max="64" width="25.5703125" bestFit="1" customWidth="1"/>
    <col min="65" max="66" width="27.140625" bestFit="1" customWidth="1"/>
    <col min="67" max="67" width="28.7109375" bestFit="1" customWidth="1"/>
    <col min="68" max="68" width="27.140625" bestFit="1" customWidth="1"/>
    <col min="69" max="69" width="28.7109375" bestFit="1" customWidth="1"/>
    <col min="70" max="70" width="30.7109375" bestFit="1" customWidth="1"/>
    <col min="71" max="71" width="32.42578125" bestFit="1" customWidth="1"/>
    <col min="72" max="72" width="22.7109375" bestFit="1" customWidth="1"/>
    <col min="73" max="73" width="13.7109375" customWidth="1"/>
    <col min="74" max="74" width="21.28515625" customWidth="1"/>
    <col min="75" max="75" width="17.42578125" bestFit="1" customWidth="1"/>
    <col min="76" max="76" width="19.7109375" bestFit="1" customWidth="1"/>
    <col min="77" max="77" width="21.7109375" bestFit="1" customWidth="1"/>
    <col min="78" max="79" width="21.7109375" customWidth="1"/>
  </cols>
  <sheetData>
    <row r="1" spans="1:82" x14ac:dyDescent="0.25">
      <c r="A1" t="s">
        <v>0</v>
      </c>
      <c r="B1" t="s">
        <v>1</v>
      </c>
      <c r="C1" s="2" t="s">
        <v>2</v>
      </c>
      <c r="D1" s="1" t="s">
        <v>57</v>
      </c>
      <c r="E1" s="1" t="s">
        <v>58</v>
      </c>
      <c r="F1" s="5" t="s">
        <v>75</v>
      </c>
      <c r="G1" t="s">
        <v>67</v>
      </c>
      <c r="H1" t="s">
        <v>5</v>
      </c>
      <c r="I1" t="s">
        <v>3</v>
      </c>
      <c r="J1" t="s">
        <v>4</v>
      </c>
      <c r="K1" t="s">
        <v>114</v>
      </c>
      <c r="L1" t="s">
        <v>6</v>
      </c>
      <c r="M1" t="s">
        <v>12</v>
      </c>
      <c r="N1" t="s">
        <v>11</v>
      </c>
      <c r="O1" t="s">
        <v>7</v>
      </c>
      <c r="P1" t="s">
        <v>8</v>
      </c>
      <c r="Q1" t="s">
        <v>9</v>
      </c>
      <c r="R1" t="s">
        <v>438</v>
      </c>
      <c r="S1" t="s">
        <v>10</v>
      </c>
      <c r="T1" t="s">
        <v>130</v>
      </c>
      <c r="U1" t="s">
        <v>188</v>
      </c>
      <c r="V1" t="s">
        <v>13</v>
      </c>
      <c r="W1" t="s">
        <v>131</v>
      </c>
      <c r="X1" t="s">
        <v>291</v>
      </c>
      <c r="Y1" t="s">
        <v>339</v>
      </c>
      <c r="Z1" t="s">
        <v>299</v>
      </c>
      <c r="AA1" t="s">
        <v>292</v>
      </c>
      <c r="AB1" t="s">
        <v>340</v>
      </c>
      <c r="AC1" t="s">
        <v>298</v>
      </c>
      <c r="AD1" t="s">
        <v>309</v>
      </c>
      <c r="AE1" t="s">
        <v>17</v>
      </c>
      <c r="AF1" t="s">
        <v>16</v>
      </c>
      <c r="AG1" t="s">
        <v>442</v>
      </c>
      <c r="AH1" t="s">
        <v>428</v>
      </c>
      <c r="AI1" t="s">
        <v>430</v>
      </c>
      <c r="AJ1" t="s">
        <v>167</v>
      </c>
      <c r="AK1" s="27" t="s">
        <v>72</v>
      </c>
      <c r="AL1" s="23" t="s">
        <v>65</v>
      </c>
      <c r="AM1" t="s">
        <v>76</v>
      </c>
      <c r="AN1" t="s">
        <v>148</v>
      </c>
      <c r="AO1" t="s">
        <v>64</v>
      </c>
      <c r="AP1" t="s">
        <v>68</v>
      </c>
      <c r="AQ1" s="4" t="s">
        <v>69</v>
      </c>
      <c r="AR1" t="s">
        <v>115</v>
      </c>
      <c r="AS1" t="s">
        <v>96</v>
      </c>
      <c r="AT1" t="s">
        <v>303</v>
      </c>
      <c r="AU1" t="s">
        <v>152</v>
      </c>
      <c r="AV1" t="s">
        <v>151</v>
      </c>
      <c r="AW1" t="s">
        <v>118</v>
      </c>
      <c r="AX1" t="s">
        <v>71</v>
      </c>
      <c r="AY1" t="s">
        <v>117</v>
      </c>
      <c r="AZ1" t="s">
        <v>437</v>
      </c>
      <c r="BA1" s="28" t="s">
        <v>66</v>
      </c>
      <c r="BB1" t="s">
        <v>123</v>
      </c>
      <c r="BC1" t="s">
        <v>124</v>
      </c>
      <c r="BD1" s="27" t="s">
        <v>411</v>
      </c>
      <c r="BE1" t="s">
        <v>426</v>
      </c>
      <c r="BF1" t="s">
        <v>425</v>
      </c>
      <c r="BG1" t="s">
        <v>424</v>
      </c>
      <c r="BH1" t="s">
        <v>423</v>
      </c>
      <c r="BI1" t="s">
        <v>422</v>
      </c>
      <c r="BJ1" t="s">
        <v>421</v>
      </c>
      <c r="BK1" t="s">
        <v>420</v>
      </c>
      <c r="BL1" t="s">
        <v>419</v>
      </c>
      <c r="BM1" t="s">
        <v>418</v>
      </c>
      <c r="BN1" t="s">
        <v>417</v>
      </c>
      <c r="BO1" t="s">
        <v>416</v>
      </c>
      <c r="BP1" s="23" t="s">
        <v>415</v>
      </c>
      <c r="BQ1" s="76" t="s">
        <v>414</v>
      </c>
      <c r="BR1" s="23" t="s">
        <v>413</v>
      </c>
      <c r="BS1" s="23" t="s">
        <v>412</v>
      </c>
      <c r="BT1" s="81" t="s">
        <v>346</v>
      </c>
      <c r="BU1" s="23" t="s">
        <v>347</v>
      </c>
      <c r="BV1" s="23" t="s">
        <v>355</v>
      </c>
      <c r="BW1" s="81" t="s">
        <v>440</v>
      </c>
      <c r="BX1" s="23" t="s">
        <v>294</v>
      </c>
      <c r="BY1" s="23" t="s">
        <v>293</v>
      </c>
      <c r="BZ1" s="23" t="s">
        <v>441</v>
      </c>
      <c r="CA1" s="23" t="s">
        <v>439</v>
      </c>
      <c r="CB1" t="s">
        <v>345</v>
      </c>
      <c r="CC1" t="s">
        <v>348</v>
      </c>
      <c r="CD1" t="s">
        <v>349</v>
      </c>
    </row>
    <row r="2" spans="1:82" x14ac:dyDescent="0.25">
      <c r="A2" t="s">
        <v>162</v>
      </c>
      <c r="B2">
        <v>1</v>
      </c>
      <c r="C2" s="2">
        <v>43447</v>
      </c>
      <c r="D2" s="1">
        <v>0.41388888888888892</v>
      </c>
      <c r="E2" s="1">
        <v>0.41597222222222219</v>
      </c>
      <c r="F2" s="5">
        <v>2.04</v>
      </c>
      <c r="G2">
        <v>54</v>
      </c>
      <c r="H2">
        <v>200</v>
      </c>
      <c r="I2" t="s">
        <v>19</v>
      </c>
      <c r="J2" t="s">
        <v>22</v>
      </c>
      <c r="K2">
        <v>5.3</v>
      </c>
      <c r="L2">
        <v>5.32</v>
      </c>
      <c r="M2">
        <v>5.2</v>
      </c>
      <c r="N2">
        <v>5.6</v>
      </c>
      <c r="O2">
        <v>5.6</v>
      </c>
      <c r="P2">
        <v>5.6</v>
      </c>
      <c r="Q2">
        <v>5.24</v>
      </c>
      <c r="R2">
        <v>6.57</v>
      </c>
      <c r="S2">
        <v>6.58</v>
      </c>
      <c r="T2" t="b">
        <v>0</v>
      </c>
      <c r="U2" t="b">
        <v>0</v>
      </c>
      <c r="V2" t="b">
        <v>1</v>
      </c>
      <c r="X2">
        <v>6</v>
      </c>
      <c r="Y2">
        <v>5</v>
      </c>
      <c r="Z2" t="b">
        <v>0</v>
      </c>
      <c r="AA2">
        <v>5.9</v>
      </c>
      <c r="AB2">
        <v>5</v>
      </c>
      <c r="AC2" t="b">
        <v>0</v>
      </c>
      <c r="AD2" t="b">
        <v>0</v>
      </c>
      <c r="AE2" t="s">
        <v>26</v>
      </c>
      <c r="AF2" t="s">
        <v>29</v>
      </c>
      <c r="AG2" t="s">
        <v>37</v>
      </c>
      <c r="AI2" t="s">
        <v>431</v>
      </c>
      <c r="AJ2" t="s">
        <v>163</v>
      </c>
      <c r="AK2" s="26" t="s">
        <v>270</v>
      </c>
      <c r="AL2" s="23">
        <f>(TABLE1[[#This Row],[TP Price]]-TABLE1[[#This Row],[Intended Entry]])/(TABLE1[[#This Row],[Intended Entry]]-TABLE1[[#This Row],[SL Price]])</f>
        <v>3.0000000000000089</v>
      </c>
      <c r="AM2" s="21">
        <f>IF(TABLE1[[#This Row],[Buy/Sell]]="BUY",(TABLE1[[#This Row],[Highest Price]]-TABLE1[[#This Row],[Entry Price]])/(TABLE1[[#This Row],[Intended Entry]]-TABLE1[[#This Row],[SL Price]]),(TABLE1[[#This Row],[Entry Price]]-TABLE1[[#This Row],[Lowest Price]])/(TABLE1[[#This Row],[SL Price]]-TABLE1[[#This Row],[Intended Entry]]))</f>
        <v>2.8000000000000034</v>
      </c>
      <c r="AN2" s="21">
        <f>IF(TABLE1[[#This Row],[Buy/Sell]]="BUY",(TABLE1[[#This Row],[Entry Price]]-TABLE1[[#This Row],[Lowest Price]])/(TABLE1[[#This Row],[SL Price]]-TABLE1[[#This Row],[Intended Entry]]),(TABLE1[[#This Row],[Entry Price]]-TABLE1[[#This Row],[Highest Price]])/(TABLE1[[#This Row],[SL Price]]-TABLE1[[#This Row],[Intended Entry]]))</f>
        <v>-0.8000000000000036</v>
      </c>
      <c r="AO2" t="str">
        <f>IF(AND(TABLE1[[#This Row],[RRR Realized]]&lt;0.5,TABLE1[[#This Row],[RRR Realized]]&gt;-0.6),"BE",IF(TABLE1[[#This Row],[Gain/Loss]]&lt;0, "LOSER", "WINNER"))</f>
        <v>WINNER</v>
      </c>
      <c r="AP2">
        <f>TABLE1[[#This Row],[Gain/Loss]]-TABLE1[[#This Row],[Comissions]]</f>
        <v>51.96</v>
      </c>
      <c r="AQ2" s="4">
        <f>TABLE1[[#This Row],[Exit Time]]-TABLE1[[#This Row],[Entry Time]]</f>
        <v>2.0833333333332704E-3</v>
      </c>
      <c r="AR2" s="21" t="str">
        <f>IF(TABLE1[[#This Row],[Retest Price]]&lt;&gt;FALSE,ROUND((TABLE1[[#This Row],[Retest Price]]-TABLE1[[#This Row],[Entry Price]])/(TABLE1[[#This Row],[Intended Entry]]-TABLE1[[#This Row],[SL Price]]),4), "FALSE")</f>
        <v>FALSE</v>
      </c>
      <c r="AS2" s="5">
        <v>51.96</v>
      </c>
      <c r="AT2">
        <f>IF(TABLE1[[#This Row],[Potential Price Before BE]]=FALSE,"FALSE",( TABLE1[[#This Row],[Potential Price Before BE]]-TABLE1[[#This Row],[Intended Entry]])/(TABLE1[[#This Row],[Intended Entry]]-TABLE1[[#This Row],[SL Price]]))</f>
        <v>12.700000000000049</v>
      </c>
      <c r="AU2" s="5">
        <f>(IF(TABLE1[[#This Row],[Buy/Sell]]="BUY",(TABLE1[[#This Row],[Entry Price]]-TABLE1[[#This Row],[SL Price]])/(TABLE1[[#This Row],[Intended Entry]]-TABLE1[[#This Row],[SL Price]]),(TABLE1[[#This Row],[SL Price]]-TABLE1[[#This Row],[Entry Price]])/(TABLE1[[#This Row],[SL Price]]-TABLE1[[#This Row],[Intended Entry]])))-1</f>
        <v>0.20000000000000528</v>
      </c>
      <c r="AV2"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W2" s="21">
        <f>TABLE1[[#This Row],[Missed RRR on Entry]]+TABLE1[[#This Row],[Missed RRR on Exit]]</f>
        <v>0.20000000000000528</v>
      </c>
      <c r="AX2" s="21">
        <f>ROUND((TABLE1[[#This Row],[Potential Price]]-TABLE1[[#This Row],[Entry Price]])/(TABLE1[[#This Row],[Intended Entry]]-TABLE1[[#This Row],[SL Price]]),4)</f>
        <v>12.6</v>
      </c>
      <c r="AY2" s="21">
        <f>ROUND((TABLE1[[#This Row],[Potential Price]]-TABLE1[[#This Row],[Intended Entry]])/(TABLE1[[#This Row],[Intended Entry]]-TABLE1[[#This Row],[SL Price]]),4)</f>
        <v>12.8</v>
      </c>
      <c r="AZ2" s="21">
        <f>TABLE1[[#This Row],[RRR Potential]]-TABLE1[[#This Row],[RRR Realized]]</f>
        <v>9.8000000000000007</v>
      </c>
      <c r="BA2" s="28">
        <f>ROUND((TABLE1[[#This Row],[Exit Price]]-TABLE1[[#This Row],[Entry Price]])/(TABLE1[[#This Row],[Intended Entry]]-TABLE1[[#This Row],[SL Price]]),4)</f>
        <v>2.8</v>
      </c>
      <c r="BB2"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4.7999999999999945</v>
      </c>
      <c r="BC2"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4.7999999999999945</v>
      </c>
      <c r="BD2"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4.7999999999999945</v>
      </c>
      <c r="BE2"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4.7999999999999945</v>
      </c>
      <c r="BF2"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4.7999999999999945</v>
      </c>
      <c r="BG2"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4.7999999999999945</v>
      </c>
      <c r="BH2"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4.7999999999999945</v>
      </c>
      <c r="BI2"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4.7999999999999945</v>
      </c>
      <c r="BJ2"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4.7999999999999945</v>
      </c>
      <c r="BK2"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4.7999999999999945</v>
      </c>
      <c r="BL2"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4.7999999999999945</v>
      </c>
      <c r="BM2"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4.7999999999999945</v>
      </c>
      <c r="BN2"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4.7999999999999945</v>
      </c>
      <c r="BO2"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4.7999999999999945</v>
      </c>
      <c r="BP2"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4.7999999999999945</v>
      </c>
      <c r="BQ2"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4.7999999999999945</v>
      </c>
      <c r="BR2"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4.7999999999999945</v>
      </c>
      <c r="BS2"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4.7999999999999945</v>
      </c>
      <c r="BT2"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4.7999999999999945</v>
      </c>
      <c r="BU2"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4.7999999999999945</v>
      </c>
      <c r="BV2"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4.7999999999999945</v>
      </c>
      <c r="BW2"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6.8000000000000211</v>
      </c>
      <c r="BX2"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6.8000000000000211</v>
      </c>
      <c r="BY2"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6.8000000000000211</v>
      </c>
      <c r="BZ2" s="24">
        <f>IF( TABLE1[[#This Row],[Wick Exit]]&lt;&gt; FALSE,TABLE1[[#This Row],[RRR Wick Exit]],IF(TABLE1[[#This Row],[Volume Exit]]&lt;&gt; FALSE,TABLE1[[#This Row],[RRR Volume Exit]],TABLE1[[#This Row],[RRR Realized]]))</f>
        <v>6.8000000000000211</v>
      </c>
      <c r="CA2"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2.8</v>
      </c>
      <c r="CB2"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4.7999999999999945</v>
      </c>
      <c r="CC2"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4.7999999999999945</v>
      </c>
      <c r="CD2"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4.7999999999999945</v>
      </c>
    </row>
    <row r="3" spans="1:82" x14ac:dyDescent="0.25">
      <c r="A3" t="s">
        <v>162</v>
      </c>
      <c r="B3">
        <v>2</v>
      </c>
      <c r="C3" s="2">
        <v>43447</v>
      </c>
      <c r="D3" s="1">
        <v>0.42430555555555555</v>
      </c>
      <c r="E3" s="1">
        <v>0.42430555555555555</v>
      </c>
      <c r="F3" s="5">
        <v>2.04</v>
      </c>
      <c r="G3">
        <v>61.92</v>
      </c>
      <c r="H3">
        <v>200</v>
      </c>
      <c r="I3" t="s">
        <v>19</v>
      </c>
      <c r="J3" t="s">
        <v>22</v>
      </c>
      <c r="K3">
        <v>6.12</v>
      </c>
      <c r="L3">
        <v>6.11</v>
      </c>
      <c r="M3">
        <v>6.02</v>
      </c>
      <c r="N3">
        <v>6.42</v>
      </c>
      <c r="O3">
        <v>6.42</v>
      </c>
      <c r="P3">
        <v>6.42</v>
      </c>
      <c r="Q3">
        <v>6.11</v>
      </c>
      <c r="R3">
        <v>6.57</v>
      </c>
      <c r="S3">
        <v>6.58</v>
      </c>
      <c r="T3" t="b">
        <v>0</v>
      </c>
      <c r="U3" t="b">
        <v>0</v>
      </c>
      <c r="V3" t="b">
        <v>1</v>
      </c>
      <c r="X3">
        <v>6.4</v>
      </c>
      <c r="Y3">
        <v>4</v>
      </c>
      <c r="Z3" t="b">
        <v>0</v>
      </c>
      <c r="AA3" t="b">
        <v>0</v>
      </c>
      <c r="AB3">
        <v>4</v>
      </c>
      <c r="AD3" t="b">
        <v>0</v>
      </c>
      <c r="AE3" t="s">
        <v>26</v>
      </c>
      <c r="AF3" t="s">
        <v>29</v>
      </c>
      <c r="AG3" t="s">
        <v>37</v>
      </c>
      <c r="AI3" t="s">
        <v>432</v>
      </c>
      <c r="AJ3" t="s">
        <v>163</v>
      </c>
      <c r="AK3" s="26" t="s">
        <v>270</v>
      </c>
      <c r="AL3" s="23">
        <f>(TABLE1[[#This Row],[TP Price]]-TABLE1[[#This Row],[Intended Entry]])/(TABLE1[[#This Row],[Intended Entry]]-TABLE1[[#This Row],[SL Price]])</f>
        <v>2.9999999999999822</v>
      </c>
      <c r="AM3" s="21">
        <f>IF(TABLE1[[#This Row],[Buy/Sell]]="BUY",(TABLE1[[#This Row],[Highest Price]]-TABLE1[[#This Row],[Entry Price]])/(TABLE1[[#This Row],[Intended Entry]]-TABLE1[[#This Row],[SL Price]]),(TABLE1[[#This Row],[Entry Price]]-TABLE1[[#This Row],[Lowest Price]])/(TABLE1[[#This Row],[SL Price]]-TABLE1[[#This Row],[Intended Entry]]))</f>
        <v>3.0999999999999797</v>
      </c>
      <c r="AN3" s="21">
        <f>IF(TABLE1[[#This Row],[Buy/Sell]]="BUY",(TABLE1[[#This Row],[Entry Price]]-TABLE1[[#This Row],[Lowest Price]])/(TABLE1[[#This Row],[SL Price]]-TABLE1[[#This Row],[Intended Entry]]),(TABLE1[[#This Row],[Entry Price]]-TABLE1[[#This Row],[Highest Price]])/(TABLE1[[#This Row],[SL Price]]-TABLE1[[#This Row],[Intended Entry]]))</f>
        <v>0</v>
      </c>
      <c r="AO3" t="str">
        <f>IF(TABLE1[[#This Row],[Gain/Loss]]&lt;0, "LOSER", "WINNER")</f>
        <v>WINNER</v>
      </c>
      <c r="AP3">
        <f>TABLE1[[#This Row],[Gain/Loss]]-TABLE1[[#This Row],[Comissions]]</f>
        <v>59.88</v>
      </c>
      <c r="AQ3" s="4">
        <f>TABLE1[[#This Row],[Exit Time]]-TABLE1[[#This Row],[Entry Time]]</f>
        <v>0</v>
      </c>
      <c r="AR3" s="21" t="str">
        <f>IF(TABLE1[[#This Row],[Retest Price]]&lt;&gt;FALSE,ROUND((TABLE1[[#This Row],[Retest Price]]-TABLE1[[#This Row],[Entry Price]])/(TABLE1[[#This Row],[Intended Entry]]-TABLE1[[#This Row],[SL Price]]),4), "FALSE")</f>
        <v>FALSE</v>
      </c>
      <c r="AS3" s="5">
        <f>TABLE1[[#This Row],[Net Gain/Loss]]+AS2</f>
        <v>111.84</v>
      </c>
      <c r="AT3">
        <f>IF(TABLE1[[#This Row],[Potential Price Before BE]]=FALSE,"FALSE",( TABLE1[[#This Row],[Potential Price Before BE]]-TABLE1[[#This Row],[Intended Entry]])/(TABLE1[[#This Row],[Intended Entry]]-TABLE1[[#This Row],[SL Price]]))</f>
        <v>4.4999999999999778</v>
      </c>
      <c r="AU3" s="5">
        <f>(IF(TABLE1[[#This Row],[Buy/Sell]]="BUY",(TABLE1[[#This Row],[Entry Price]]-TABLE1[[#This Row],[SL Price]])/(TABLE1[[#This Row],[Intended Entry]]-TABLE1[[#This Row],[SL Price]]),(TABLE1[[#This Row],[SL Price]]-TABLE1[[#This Row],[Entry Price]])/(TABLE1[[#This Row],[SL Price]]-TABLE1[[#This Row],[Intended Entry]])))-1</f>
        <v>-9.9999999999997313E-2</v>
      </c>
      <c r="AV3"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W3" s="21">
        <f>TABLE1[[#This Row],[Missed RRR on Entry]]+TABLE1[[#This Row],[Missed RRR on Exit]]</f>
        <v>-9.9999999999997313E-2</v>
      </c>
      <c r="AX3" s="21">
        <f>ROUND((TABLE1[[#This Row],[Potential Price]]-TABLE1[[#This Row],[Entry Price]])/(TABLE1[[#This Row],[Intended Entry]]-TABLE1[[#This Row],[SL Price]]),4)</f>
        <v>4.7</v>
      </c>
      <c r="AY3" s="21">
        <f>ROUND((TABLE1[[#This Row],[Potential Price]]-TABLE1[[#This Row],[Intended Entry]])/(TABLE1[[#This Row],[Intended Entry]]-TABLE1[[#This Row],[SL Price]]),4)</f>
        <v>4.5999999999999996</v>
      </c>
      <c r="AZ3" s="21">
        <f>TABLE1[[#This Row],[RRR Potential]]-TABLE1[[#This Row],[RRR Realized]]</f>
        <v>1.6</v>
      </c>
      <c r="BA3" s="28">
        <f>ROUND((TABLE1[[#This Row],[Exit Price]]-TABLE1[[#This Row],[Entry Price]])/(TABLE1[[#This Row],[Intended Entry]]-TABLE1[[#This Row],[SL Price]]),4)</f>
        <v>3.1</v>
      </c>
      <c r="BB3"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-0.90000000000000269</v>
      </c>
      <c r="BC3"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9.9999999999997313E-2</v>
      </c>
      <c r="BD3"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9.9999999999997313E-2</v>
      </c>
      <c r="BE3"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-0.90000000000000269</v>
      </c>
      <c r="BF3"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-0.90000000000000269</v>
      </c>
      <c r="BG3"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-0.90000000000000269</v>
      </c>
      <c r="BH3"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-0.90000000000000269</v>
      </c>
      <c r="BI3"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9.9999999999997313E-2</v>
      </c>
      <c r="BJ3"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9.9999999999997313E-2</v>
      </c>
      <c r="BK3"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9.9999999999997313E-2</v>
      </c>
      <c r="BL3"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9.9999999999997313E-2</v>
      </c>
      <c r="BM3"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9.9999999999997313E-2</v>
      </c>
      <c r="BN3"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9.9999999999997313E-2</v>
      </c>
      <c r="BO3"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9.9999999999997313E-2</v>
      </c>
      <c r="BP3"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9.9999999999997313E-2</v>
      </c>
      <c r="BQ3"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-0.90000000000000269</v>
      </c>
      <c r="BR3"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9.9999999999997313E-2</v>
      </c>
      <c r="BS3"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9.9999999999997313E-2</v>
      </c>
      <c r="BT3"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2.8999999999999848</v>
      </c>
      <c r="BU3"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2.8999999999999848</v>
      </c>
      <c r="BV3"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2.8999999999999848</v>
      </c>
      <c r="BW3"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2.8999999999999848</v>
      </c>
      <c r="BX3"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2.8999999999999848</v>
      </c>
      <c r="BY3"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2.8999999999999848</v>
      </c>
      <c r="BZ3" s="24">
        <f>IF( TABLE1[[#This Row],[Wick Exit]]&lt;&gt; FALSE,TABLE1[[#This Row],[RRR Wick Exit]],IF(TABLE1[[#This Row],[Volume Exit]]&lt;&gt; FALSE,TABLE1[[#This Row],[RRR Volume Exit]],TABLE1[[#This Row],[RRR Realized]]))</f>
        <v>2.8999999999999848</v>
      </c>
      <c r="CA3"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3.1</v>
      </c>
      <c r="CB3"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-0.90000000000000269</v>
      </c>
      <c r="CC3"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9.9999999999997313E-2</v>
      </c>
      <c r="CD3"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9.9999999999997313E-2</v>
      </c>
    </row>
    <row r="4" spans="1:82" x14ac:dyDescent="0.25">
      <c r="A4" t="s">
        <v>164</v>
      </c>
      <c r="B4">
        <v>3</v>
      </c>
      <c r="C4" s="2">
        <v>43448</v>
      </c>
      <c r="D4" s="1">
        <v>0.43124999999999997</v>
      </c>
      <c r="E4" s="1">
        <v>0.4368055555555555</v>
      </c>
      <c r="F4" s="5">
        <v>4.5599999999999996</v>
      </c>
      <c r="G4" s="5">
        <v>-40</v>
      </c>
      <c r="H4">
        <v>400</v>
      </c>
      <c r="I4" t="s">
        <v>19</v>
      </c>
      <c r="J4" t="s">
        <v>22</v>
      </c>
      <c r="K4">
        <v>3.26</v>
      </c>
      <c r="L4">
        <v>3.25</v>
      </c>
      <c r="M4">
        <v>3.21</v>
      </c>
      <c r="N4">
        <f>3.26+0.15</f>
        <v>3.4099999999999997</v>
      </c>
      <c r="O4">
        <f>3.26-0.1</f>
        <v>3.1599999999999997</v>
      </c>
      <c r="P4">
        <v>3.31</v>
      </c>
      <c r="Q4">
        <v>3.16</v>
      </c>
      <c r="R4">
        <v>3.31</v>
      </c>
      <c r="S4">
        <v>3.31</v>
      </c>
      <c r="T4" t="b">
        <v>0</v>
      </c>
      <c r="U4" t="b">
        <v>0</v>
      </c>
      <c r="V4" t="b">
        <v>0</v>
      </c>
      <c r="X4" t="b">
        <v>0</v>
      </c>
      <c r="AA4" t="b">
        <v>0</v>
      </c>
      <c r="AD4" t="b">
        <v>0</v>
      </c>
      <c r="AE4" t="s">
        <v>25</v>
      </c>
      <c r="AF4" t="s">
        <v>32</v>
      </c>
      <c r="AG4" t="s">
        <v>34</v>
      </c>
      <c r="AH4">
        <v>3.91</v>
      </c>
      <c r="AI4" t="s">
        <v>431</v>
      </c>
      <c r="AJ4" t="s">
        <v>166</v>
      </c>
      <c r="AK4" s="26" t="s">
        <v>269</v>
      </c>
      <c r="AL4" s="22">
        <f>(TABLE1[[#This Row],[TP Price]]-TABLE1[[#This Row],[Intended Entry]])/(TABLE1[[#This Row],[Intended Entry]]-TABLE1[[#This Row],[SL Price]])</f>
        <v>3.0000000000000089</v>
      </c>
      <c r="AM4" s="5">
        <f>IF(TABLE1[[#This Row],[Buy/Sell]]="BUY",(TABLE1[[#This Row],[Highest Price]]-TABLE1[[#This Row],[Entry Price]])/(TABLE1[[#This Row],[Intended Entry]]-TABLE1[[#This Row],[SL Price]]),(TABLE1[[#This Row],[Entry Price]]-TABLE1[[#This Row],[Lowest Price]])/(TABLE1[[#This Row],[SL Price]]-TABLE1[[#This Row],[Intended Entry]]))</f>
        <v>1.2000000000000053</v>
      </c>
      <c r="AN4" s="21">
        <f>IF(TABLE1[[#This Row],[Buy/Sell]]="BUY",(TABLE1[[#This Row],[Entry Price]]-TABLE1[[#This Row],[Lowest Price]])/(TABLE1[[#This Row],[SL Price]]-TABLE1[[#This Row],[Intended Entry]]),(TABLE1[[#This Row],[Entry Price]]-TABLE1[[#This Row],[Highest Price]])/(TABLE1[[#This Row],[SL Price]]-TABLE1[[#This Row],[Intended Entry]]))</f>
        <v>-1.8000000000000036</v>
      </c>
      <c r="AO4" s="5" t="str">
        <f>IF(TABLE1[[#This Row],[Gain/Loss]]&lt;0, "LOSER", "WINNER")</f>
        <v>LOSER</v>
      </c>
      <c r="AP4" s="5">
        <f>TABLE1[[#This Row],[Gain/Loss]]-TABLE1[[#This Row],[Comissions]]</f>
        <v>-44.56</v>
      </c>
      <c r="AQ4" s="4">
        <f>TABLE1[[#This Row],[Exit Time]]-TABLE1[[#This Row],[Entry Time]]</f>
        <v>5.5555555555555358E-3</v>
      </c>
      <c r="AR4" s="21" t="str">
        <f>IF(TABLE1[[#This Row],[Retest Price]]&lt;&gt;FALSE,ROUND((TABLE1[[#This Row],[Retest Price]]-TABLE1[[#This Row],[Entry Price]])/(TABLE1[[#This Row],[Intended Entry]]-TABLE1[[#This Row],[SL Price]]),4), "FALSE")</f>
        <v>FALSE</v>
      </c>
      <c r="AS4" s="5">
        <f>TABLE1[[#This Row],[Net Gain/Loss]]+AS3</f>
        <v>67.28</v>
      </c>
      <c r="AT4" s="5">
        <f>IF(TABLE1[[#This Row],[Potential Price Before BE]]=FALSE,"FALSE",( TABLE1[[#This Row],[Potential Price Before BE]]-TABLE1[[#This Row],[Intended Entry]])/(TABLE1[[#This Row],[Intended Entry]]-TABLE1[[#This Row],[SL Price]]))</f>
        <v>1.0000000000000089</v>
      </c>
      <c r="AU4" s="5">
        <f>(IF(TABLE1[[#This Row],[Buy/Sell]]="BUY",(TABLE1[[#This Row],[Entry Price]]-TABLE1[[#This Row],[SL Price]])/(TABLE1[[#This Row],[Intended Entry]]-TABLE1[[#This Row],[SL Price]]),(TABLE1[[#This Row],[SL Price]]-TABLE1[[#This Row],[Entry Price]])/(TABLE1[[#This Row],[SL Price]]-TABLE1[[#This Row],[Intended Entry]])))-1</f>
        <v>-0.1999999999999964</v>
      </c>
      <c r="AV4"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1.0000000000000089</v>
      </c>
      <c r="AW4" s="21">
        <f>TABLE1[[#This Row],[Missed RRR on Entry]]+TABLE1[[#This Row],[Missed RRR on Exit]]</f>
        <v>0.80000000000001248</v>
      </c>
      <c r="AX4" s="21">
        <f>ROUND((TABLE1[[#This Row],[Potential Price]]-TABLE1[[#This Row],[Entry Price]])/(TABLE1[[#This Row],[Intended Entry]]-TABLE1[[#This Row],[SL Price]]),4)</f>
        <v>1.2</v>
      </c>
      <c r="AY4" s="21">
        <f>ROUND((TABLE1[[#This Row],[Potential Price]]-TABLE1[[#This Row],[Intended Entry]])/(TABLE1[[#This Row],[Intended Entry]]-TABLE1[[#This Row],[SL Price]]),4)</f>
        <v>1</v>
      </c>
      <c r="AZ4" s="21">
        <f>TABLE1[[#This Row],[RRR Potential]]-TABLE1[[#This Row],[RRR Realized]]</f>
        <v>3</v>
      </c>
      <c r="BA4" s="29">
        <f>ROUND((TABLE1[[#This Row],[Exit Price]]-TABLE1[[#This Row],[Entry Price]])/(TABLE1[[#This Row],[Intended Entry]]-TABLE1[[#This Row],[SL Price]]),4)</f>
        <v>-1.8</v>
      </c>
      <c r="BB4"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v>
      </c>
      <c r="BC4"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0.1999999999999964</v>
      </c>
      <c r="BD4"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-1.8</v>
      </c>
      <c r="BE4"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v>
      </c>
      <c r="BF4"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v>
      </c>
      <c r="BG4"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v>
      </c>
      <c r="BH4"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v>
      </c>
      <c r="BI4"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0.1999999999999964</v>
      </c>
      <c r="BJ4"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0.1999999999999964</v>
      </c>
      <c r="BK4"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0.1999999999999964</v>
      </c>
      <c r="BL4"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0.1999999999999964</v>
      </c>
      <c r="BM4"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-1.8</v>
      </c>
      <c r="BN4"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-1.8</v>
      </c>
      <c r="BO4"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-1.8</v>
      </c>
      <c r="BP4"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-1.8</v>
      </c>
      <c r="BQ4"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v>
      </c>
      <c r="BR4"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0.1999999999999964</v>
      </c>
      <c r="BS4"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-1.8</v>
      </c>
      <c r="BT4"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v>
      </c>
      <c r="BU4"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0.1999999999999964</v>
      </c>
      <c r="BV4"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-1.8</v>
      </c>
      <c r="BW4"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-1.8</v>
      </c>
      <c r="BX4"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0.1999999999999964</v>
      </c>
      <c r="BY4"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-1.8</v>
      </c>
      <c r="BZ4" s="24">
        <f>IF( TABLE1[[#This Row],[Wick Exit]]&lt;&gt; FALSE,TABLE1[[#This Row],[RRR Wick Exit]],IF(TABLE1[[#This Row],[Volume Exit]]&lt;&gt; FALSE,TABLE1[[#This Row],[RRR Volume Exit]],TABLE1[[#This Row],[RRR Realized]]))</f>
        <v>-1.8</v>
      </c>
      <c r="CA4"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-1.8</v>
      </c>
      <c r="CB4"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v>
      </c>
      <c r="CC4"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0.1999999999999964</v>
      </c>
      <c r="CD4"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-1.8</v>
      </c>
    </row>
    <row r="5" spans="1:82" x14ac:dyDescent="0.25">
      <c r="A5" t="s">
        <v>170</v>
      </c>
      <c r="B5">
        <v>4</v>
      </c>
      <c r="C5" s="2">
        <v>43454</v>
      </c>
      <c r="D5" s="1">
        <v>0.4069444444444445</v>
      </c>
      <c r="E5" s="1">
        <v>0.40763888888888888</v>
      </c>
      <c r="F5" s="5">
        <v>6.09</v>
      </c>
      <c r="G5" s="5">
        <v>-35.880000000000003</v>
      </c>
      <c r="H5">
        <v>600</v>
      </c>
      <c r="I5" t="s">
        <v>19</v>
      </c>
      <c r="J5" t="s">
        <v>23</v>
      </c>
      <c r="K5">
        <v>2.5499999999999998</v>
      </c>
      <c r="L5">
        <v>2.5499999999999998</v>
      </c>
      <c r="M5">
        <v>2.58</v>
      </c>
      <c r="N5">
        <v>2.46</v>
      </c>
      <c r="O5">
        <v>2.609</v>
      </c>
      <c r="P5">
        <v>2.609</v>
      </c>
      <c r="Q5">
        <v>2.5499999999999998</v>
      </c>
      <c r="R5">
        <v>2.609</v>
      </c>
      <c r="S5">
        <v>2.5499999999999998</v>
      </c>
      <c r="T5" t="b">
        <v>0</v>
      </c>
      <c r="U5" t="b">
        <v>0</v>
      </c>
      <c r="V5" t="b">
        <v>0</v>
      </c>
      <c r="X5" t="b">
        <v>0</v>
      </c>
      <c r="AA5" t="b">
        <v>0</v>
      </c>
      <c r="AD5" t="b">
        <v>0</v>
      </c>
      <c r="AE5" t="s">
        <v>25</v>
      </c>
      <c r="AF5" t="s">
        <v>32</v>
      </c>
      <c r="AG5" t="s">
        <v>34</v>
      </c>
      <c r="AH5">
        <v>101</v>
      </c>
      <c r="AI5" t="s">
        <v>433</v>
      </c>
      <c r="AJ5" t="s">
        <v>163</v>
      </c>
      <c r="AK5" s="26" t="s">
        <v>268</v>
      </c>
      <c r="AL5" s="22">
        <f>(TABLE1[[#This Row],[TP Price]]-TABLE1[[#This Row],[Intended Entry]])/(TABLE1[[#This Row],[Intended Entry]]-TABLE1[[#This Row],[SL Price]])</f>
        <v>2.9999999999999702</v>
      </c>
      <c r="AM5" s="5">
        <f>IF(TABLE1[[#This Row],[Buy/Sell]]="BUY",(TABLE1[[#This Row],[Highest Price]]-TABLE1[[#This Row],[Entry Price]])/(TABLE1[[#This Row],[Intended Entry]]-TABLE1[[#This Row],[SL Price]]),(TABLE1[[#This Row],[Entry Price]]-TABLE1[[#This Row],[Lowest Price]])/(TABLE1[[#This Row],[SL Price]]-TABLE1[[#This Row],[Intended Entry]]))</f>
        <v>0</v>
      </c>
      <c r="AN5" s="21">
        <f>IF(TABLE1[[#This Row],[Buy/Sell]]="BUY",(TABLE1[[#This Row],[Entry Price]]-TABLE1[[#This Row],[Lowest Price]])/(TABLE1[[#This Row],[SL Price]]-TABLE1[[#This Row],[Intended Entry]]),(TABLE1[[#This Row],[Entry Price]]-TABLE1[[#This Row],[Highest Price]])/(TABLE1[[#This Row],[SL Price]]-TABLE1[[#This Row],[Intended Entry]]))</f>
        <v>-1.9666666666666559</v>
      </c>
      <c r="AO5" s="5" t="str">
        <f>IF(TABLE1[[#This Row],[Gain/Loss]]&lt;0, "LOSER", "WINNER")</f>
        <v>LOSER</v>
      </c>
      <c r="AP5" s="5">
        <f>TABLE1[[#This Row],[Gain/Loss]]-TABLE1[[#This Row],[Comissions]]</f>
        <v>-41.97</v>
      </c>
      <c r="AQ5" s="4">
        <f>TABLE1[[#This Row],[Exit Time]]-TABLE1[[#This Row],[Entry Time]]</f>
        <v>6.9444444444438647E-4</v>
      </c>
      <c r="AR5" s="21" t="str">
        <f>IF(TABLE1[[#This Row],[Retest Price]]&lt;&gt;FALSE,ROUND((TABLE1[[#This Row],[Retest Price]]-TABLE1[[#This Row],[Entry Price]])/(TABLE1[[#This Row],[Intended Entry]]-TABLE1[[#This Row],[SL Price]]),4), "FALSE")</f>
        <v>FALSE</v>
      </c>
      <c r="AS5" s="5">
        <f>TABLE1[[#This Row],[Net Gain/Loss]]+AS4</f>
        <v>25.310000000000002</v>
      </c>
      <c r="AT5" s="5">
        <f>IF(TABLE1[[#This Row],[Potential Price Before BE]]=FALSE,"FALSE",( TABLE1[[#This Row],[Potential Price Before BE]]-TABLE1[[#This Row],[Intended Entry]])/(TABLE1[[#This Row],[Intended Entry]]-TABLE1[[#This Row],[SL Price]]))</f>
        <v>-1.9666666666666559</v>
      </c>
      <c r="AU5" s="5">
        <f>(IF(TABLE1[[#This Row],[Buy/Sell]]="BUY",(TABLE1[[#This Row],[Entry Price]]-TABLE1[[#This Row],[SL Price]])/(TABLE1[[#This Row],[Intended Entry]]-TABLE1[[#This Row],[SL Price]]),(TABLE1[[#This Row],[SL Price]]-TABLE1[[#This Row],[Entry Price]])/(TABLE1[[#This Row],[SL Price]]-TABLE1[[#This Row],[Intended Entry]])))-1</f>
        <v>0</v>
      </c>
      <c r="AV5"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0.96666666666665579</v>
      </c>
      <c r="AW5" s="21">
        <f>TABLE1[[#This Row],[Missed RRR on Entry]]+TABLE1[[#This Row],[Missed RRR on Exit]]</f>
        <v>0.96666666666665579</v>
      </c>
      <c r="AX5" s="21">
        <f>ROUND((TABLE1[[#This Row],[Potential Price]]-TABLE1[[#This Row],[Entry Price]])/(TABLE1[[#This Row],[Intended Entry]]-TABLE1[[#This Row],[SL Price]]),4)</f>
        <v>0</v>
      </c>
      <c r="AY5" s="21">
        <f>ROUND((TABLE1[[#This Row],[Potential Price]]-TABLE1[[#This Row],[Intended Entry]])/(TABLE1[[#This Row],[Intended Entry]]-TABLE1[[#This Row],[SL Price]]),4)</f>
        <v>0</v>
      </c>
      <c r="AZ5" s="21"/>
      <c r="BA5" s="29">
        <f>ROUND((TABLE1[[#This Row],[Exit Price]]-TABLE1[[#This Row],[Entry Price]])/(TABLE1[[#This Row],[Intended Entry]]-TABLE1[[#This Row],[SL Price]]),4)</f>
        <v>-1.9666999999999999</v>
      </c>
      <c r="BB5"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-1.9666999999999999</v>
      </c>
      <c r="BC5"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-1.9666999999999999</v>
      </c>
      <c r="BD5"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-1.9666999999999999</v>
      </c>
      <c r="BE5"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-1.9666999999999999</v>
      </c>
      <c r="BF5"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-1.9666999999999999</v>
      </c>
      <c r="BG5"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-1.9666999999999999</v>
      </c>
      <c r="BH5"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-1.9666999999999999</v>
      </c>
      <c r="BI5"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-1.9666999999999999</v>
      </c>
      <c r="BJ5"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-1.9666999999999999</v>
      </c>
      <c r="BK5"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-1.9666999999999999</v>
      </c>
      <c r="BL5"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-1.9666999999999999</v>
      </c>
      <c r="BM5"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-1.9666999999999999</v>
      </c>
      <c r="BN5"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-1.9666999999999999</v>
      </c>
      <c r="BO5"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-1.9666999999999999</v>
      </c>
      <c r="BP5"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-1.9666999999999999</v>
      </c>
      <c r="BQ5"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-1.9666999999999999</v>
      </c>
      <c r="BR5"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-1.9666999999999999</v>
      </c>
      <c r="BS5"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-1.9666999999999999</v>
      </c>
      <c r="BT5"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-1.9666999999999999</v>
      </c>
      <c r="BU5"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-1.9666999999999999</v>
      </c>
      <c r="BV5"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-1.9666999999999999</v>
      </c>
      <c r="BW5"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-1.9666999999999999</v>
      </c>
      <c r="BX5"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-1.9666999999999999</v>
      </c>
      <c r="BY5"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-1.9666999999999999</v>
      </c>
      <c r="BZ5" s="24">
        <f>IF( TABLE1[[#This Row],[Wick Exit]]&lt;&gt; FALSE,TABLE1[[#This Row],[RRR Wick Exit]],IF(TABLE1[[#This Row],[Volume Exit]]&lt;&gt; FALSE,TABLE1[[#This Row],[RRR Volume Exit]],TABLE1[[#This Row],[RRR Realized]]))</f>
        <v>-1.9666999999999999</v>
      </c>
      <c r="CA5"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-1.9666999999999999</v>
      </c>
      <c r="CB5"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-1.9666999999999999</v>
      </c>
      <c r="CC5"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-1.9666999999999999</v>
      </c>
      <c r="CD5"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-1.9666999999999999</v>
      </c>
    </row>
    <row r="6" spans="1:82" x14ac:dyDescent="0.25">
      <c r="A6" t="s">
        <v>171</v>
      </c>
      <c r="B6">
        <v>5</v>
      </c>
      <c r="C6" s="2">
        <v>43454</v>
      </c>
      <c r="D6" s="1">
        <v>0.43124999999999997</v>
      </c>
      <c r="E6" s="1">
        <v>0.43124999999999997</v>
      </c>
      <c r="F6" s="5">
        <v>2.04</v>
      </c>
      <c r="G6" s="5">
        <v>58.64</v>
      </c>
      <c r="H6">
        <v>200</v>
      </c>
      <c r="I6" t="s">
        <v>19</v>
      </c>
      <c r="J6" t="s">
        <v>22</v>
      </c>
      <c r="K6">
        <v>4.92</v>
      </c>
      <c r="L6">
        <v>4.92</v>
      </c>
      <c r="M6">
        <v>4.82</v>
      </c>
      <c r="N6">
        <v>5.22</v>
      </c>
      <c r="O6">
        <v>5.22</v>
      </c>
      <c r="P6">
        <v>5.22</v>
      </c>
      <c r="Q6">
        <v>4.92</v>
      </c>
      <c r="R6">
        <v>5.93</v>
      </c>
      <c r="S6">
        <v>5.93</v>
      </c>
      <c r="T6" t="b">
        <v>0</v>
      </c>
      <c r="U6" t="b">
        <v>0</v>
      </c>
      <c r="V6" t="b">
        <v>1</v>
      </c>
      <c r="X6">
        <v>5.6</v>
      </c>
      <c r="Y6">
        <v>5</v>
      </c>
      <c r="Z6" t="b">
        <v>0</v>
      </c>
      <c r="AA6">
        <v>5.5</v>
      </c>
      <c r="AB6">
        <v>5</v>
      </c>
      <c r="AC6" t="b">
        <v>0</v>
      </c>
      <c r="AD6" t="b">
        <v>0</v>
      </c>
      <c r="AE6" t="s">
        <v>26</v>
      </c>
      <c r="AF6" t="s">
        <v>29</v>
      </c>
      <c r="AG6" t="s">
        <v>35</v>
      </c>
      <c r="AH6">
        <v>4.55</v>
      </c>
      <c r="AI6" t="s">
        <v>431</v>
      </c>
      <c r="AJ6" t="s">
        <v>163</v>
      </c>
      <c r="AK6" s="26" t="s">
        <v>267</v>
      </c>
      <c r="AL6" s="22">
        <f>(TABLE1[[#This Row],[TP Price]]-TABLE1[[#This Row],[Intended Entry]])/(TABLE1[[#This Row],[Intended Entry]]-TABLE1[[#This Row],[SL Price]])</f>
        <v>3.0000000000000089</v>
      </c>
      <c r="AM6" s="5">
        <f>IF(TABLE1[[#This Row],[Buy/Sell]]="BUY",(TABLE1[[#This Row],[Highest Price]]-TABLE1[[#This Row],[Entry Price]])/(TABLE1[[#This Row],[Intended Entry]]-TABLE1[[#This Row],[SL Price]]),(TABLE1[[#This Row],[Entry Price]]-TABLE1[[#This Row],[Lowest Price]])/(TABLE1[[#This Row],[SL Price]]-TABLE1[[#This Row],[Intended Entry]]))</f>
        <v>3.0000000000000089</v>
      </c>
      <c r="AN6" s="21">
        <f>IF(TABLE1[[#This Row],[Buy/Sell]]="BUY",(TABLE1[[#This Row],[Entry Price]]-TABLE1[[#This Row],[Lowest Price]])/(TABLE1[[#This Row],[SL Price]]-TABLE1[[#This Row],[Intended Entry]]),(TABLE1[[#This Row],[Entry Price]]-TABLE1[[#This Row],[Highest Price]])/(TABLE1[[#This Row],[SL Price]]-TABLE1[[#This Row],[Intended Entry]]))</f>
        <v>0</v>
      </c>
      <c r="AO6" s="5" t="str">
        <f>IF(TABLE1[[#This Row],[Gain/Loss]]&lt;0, "LOSER", "WINNER")</f>
        <v>WINNER</v>
      </c>
      <c r="AP6" s="5">
        <f>TABLE1[[#This Row],[Gain/Loss]]-TABLE1[[#This Row],[Comissions]]</f>
        <v>56.6</v>
      </c>
      <c r="AQ6" s="4">
        <f>TABLE1[[#This Row],[Exit Time]]-TABLE1[[#This Row],[Entry Time]]</f>
        <v>0</v>
      </c>
      <c r="AR6" s="21" t="str">
        <f>IF(TABLE1[[#This Row],[Retest Price]]&lt;&gt;FALSE,ROUND((TABLE1[[#This Row],[Retest Price]]-TABLE1[[#This Row],[Entry Price]])/(TABLE1[[#This Row],[Intended Entry]]-TABLE1[[#This Row],[SL Price]]),4), "FALSE")</f>
        <v>FALSE</v>
      </c>
      <c r="AS6" s="5">
        <f>TABLE1[[#This Row],[Net Gain/Loss]]+AS5</f>
        <v>81.91</v>
      </c>
      <c r="AT6" s="5">
        <f>IF(TABLE1[[#This Row],[Potential Price Before BE]]=FALSE,"FALSE",( TABLE1[[#This Row],[Potential Price Before BE]]-TABLE1[[#This Row],[Intended Entry]])/(TABLE1[[#This Row],[Intended Entry]]-TABLE1[[#This Row],[SL Price]]))</f>
        <v>10.100000000000033</v>
      </c>
      <c r="AU6" s="5">
        <f>(IF(TABLE1[[#This Row],[Buy/Sell]]="BUY",(TABLE1[[#This Row],[Entry Price]]-TABLE1[[#This Row],[SL Price]])/(TABLE1[[#This Row],[Intended Entry]]-TABLE1[[#This Row],[SL Price]]),(TABLE1[[#This Row],[SL Price]]-TABLE1[[#This Row],[Entry Price]])/(TABLE1[[#This Row],[SL Price]]-TABLE1[[#This Row],[Intended Entry]])))-1</f>
        <v>0</v>
      </c>
      <c r="AV6"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W6" s="21">
        <f>TABLE1[[#This Row],[Missed RRR on Entry]]+TABLE1[[#This Row],[Missed RRR on Exit]]</f>
        <v>0</v>
      </c>
      <c r="AX6" s="21">
        <f>ROUND((TABLE1[[#This Row],[Potential Price]]-TABLE1[[#This Row],[Entry Price]])/(TABLE1[[#This Row],[Intended Entry]]-TABLE1[[#This Row],[SL Price]]),4)</f>
        <v>10.1</v>
      </c>
      <c r="AY6" s="21">
        <f>ROUND((TABLE1[[#This Row],[Potential Price]]-TABLE1[[#This Row],[Intended Entry]])/(TABLE1[[#This Row],[Intended Entry]]-TABLE1[[#This Row],[SL Price]]),4)</f>
        <v>10.1</v>
      </c>
      <c r="AZ6" s="21">
        <f>TABLE1[[#This Row],[RRR Potential]]-TABLE1[[#This Row],[RRR Realized]]</f>
        <v>7.1</v>
      </c>
      <c r="BA6" s="29">
        <f>ROUND((TABLE1[[#This Row],[Exit Price]]-TABLE1[[#This Row],[Entry Price]])/(TABLE1[[#This Row],[Intended Entry]]-TABLE1[[#This Row],[SL Price]]),4)</f>
        <v>3</v>
      </c>
      <c r="BB6"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C6"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D6"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E6"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F6"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G6"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H6"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I6"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J6"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K6"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L6"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M6"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N6"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O6"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P6"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Q6"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R6"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S6"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T6"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U6"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V6"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W6"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6.8000000000000211</v>
      </c>
      <c r="BX6"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6.8000000000000211</v>
      </c>
      <c r="BY6"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6.8000000000000211</v>
      </c>
      <c r="BZ6" s="24">
        <f>IF( TABLE1[[#This Row],[Wick Exit]]&lt;&gt; FALSE,TABLE1[[#This Row],[RRR Wick Exit]],IF(TABLE1[[#This Row],[Volume Exit]]&lt;&gt; FALSE,TABLE1[[#This Row],[RRR Volume Exit]],TABLE1[[#This Row],[RRR Realized]]))</f>
        <v>6.8000000000000211</v>
      </c>
      <c r="CA6"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v>
      </c>
      <c r="CB6"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CC6"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CD6"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row>
    <row r="7" spans="1:82" x14ac:dyDescent="0.25">
      <c r="A7" t="s">
        <v>172</v>
      </c>
      <c r="B7">
        <v>6</v>
      </c>
      <c r="C7" s="2">
        <v>43454</v>
      </c>
      <c r="D7" s="1">
        <v>0.41875000000000001</v>
      </c>
      <c r="E7" s="1">
        <v>0.4604166666666667</v>
      </c>
      <c r="F7" s="5">
        <v>5.07</v>
      </c>
      <c r="G7" s="5">
        <v>60</v>
      </c>
      <c r="H7">
        <v>500</v>
      </c>
      <c r="I7" t="s">
        <v>19</v>
      </c>
      <c r="J7" t="s">
        <v>23</v>
      </c>
      <c r="K7">
        <v>2.0699999999999998</v>
      </c>
      <c r="L7">
        <v>2.0699999999999998</v>
      </c>
      <c r="M7">
        <v>2.11</v>
      </c>
      <c r="N7">
        <v>1.95</v>
      </c>
      <c r="O7">
        <v>1.95</v>
      </c>
      <c r="P7">
        <v>2.08</v>
      </c>
      <c r="Q7">
        <v>1.95</v>
      </c>
      <c r="R7">
        <v>1.79</v>
      </c>
      <c r="S7">
        <v>1.79</v>
      </c>
      <c r="T7" t="b">
        <v>0</v>
      </c>
      <c r="U7" t="b">
        <v>0</v>
      </c>
      <c r="V7" t="b">
        <v>1</v>
      </c>
      <c r="X7">
        <v>1.96</v>
      </c>
      <c r="Y7" t="b">
        <v>0</v>
      </c>
      <c r="Z7" t="b">
        <v>0</v>
      </c>
      <c r="AA7">
        <v>1.97</v>
      </c>
      <c r="AB7" t="b">
        <v>0</v>
      </c>
      <c r="AC7" t="b">
        <v>0</v>
      </c>
      <c r="AD7" t="b">
        <v>0</v>
      </c>
      <c r="AE7" t="s">
        <v>26</v>
      </c>
      <c r="AF7" t="s">
        <v>31</v>
      </c>
      <c r="AG7" t="s">
        <v>35</v>
      </c>
      <c r="AH7">
        <v>42.4</v>
      </c>
      <c r="AI7" t="s">
        <v>434</v>
      </c>
      <c r="AJ7" t="s">
        <v>163</v>
      </c>
      <c r="AK7" s="26" t="s">
        <v>266</v>
      </c>
      <c r="AL7" s="22">
        <f>(TABLE1[[#This Row],[TP Price]]-TABLE1[[#This Row],[Intended Entry]])/(TABLE1[[#This Row],[Intended Entry]]-TABLE1[[#This Row],[SL Price]])</f>
        <v>2.9999999999999947</v>
      </c>
      <c r="AM7" s="5">
        <f>IF(TABLE1[[#This Row],[Buy/Sell]]="BUY",(TABLE1[[#This Row],[Highest Price]]-TABLE1[[#This Row],[Entry Price]])/(TABLE1[[#This Row],[Intended Entry]]-TABLE1[[#This Row],[SL Price]]),(TABLE1[[#This Row],[Entry Price]]-TABLE1[[#This Row],[Lowest Price]])/(TABLE1[[#This Row],[SL Price]]-TABLE1[[#This Row],[Intended Entry]]))</f>
        <v>2.9999999999999947</v>
      </c>
      <c r="AN7" s="21">
        <f>IF(TABLE1[[#This Row],[Buy/Sell]]="BUY",(TABLE1[[#This Row],[Entry Price]]-TABLE1[[#This Row],[Lowest Price]])/(TABLE1[[#This Row],[SL Price]]-TABLE1[[#This Row],[Intended Entry]]),(TABLE1[[#This Row],[Entry Price]]-TABLE1[[#This Row],[Highest Price]])/(TABLE1[[#This Row],[SL Price]]-TABLE1[[#This Row],[Intended Entry]]))</f>
        <v>-0.25000000000000555</v>
      </c>
      <c r="AO7" s="5" t="str">
        <f>IF(TABLE1[[#This Row],[Gain/Loss]]&lt;0, "LOSER", "WINNER")</f>
        <v>WINNER</v>
      </c>
      <c r="AP7" s="5">
        <f>TABLE1[[#This Row],[Gain/Loss]]-TABLE1[[#This Row],[Comissions]]</f>
        <v>54.93</v>
      </c>
      <c r="AQ7" s="4">
        <f>TABLE1[[#This Row],[Exit Time]]-TABLE1[[#This Row],[Entry Time]]</f>
        <v>4.1666666666666685E-2</v>
      </c>
      <c r="AR7" s="21" t="str">
        <f>IF(TABLE1[[#This Row],[Retest Price]]&lt;&gt;FALSE,ROUND((TABLE1[[#This Row],[Retest Price]]-TABLE1[[#This Row],[Entry Price]])/(TABLE1[[#This Row],[Intended Entry]]-TABLE1[[#This Row],[SL Price]]),4), "FALSE")</f>
        <v>FALSE</v>
      </c>
      <c r="AS7" s="5">
        <f>TABLE1[[#This Row],[Net Gain/Loss]]+AS6</f>
        <v>136.84</v>
      </c>
      <c r="AT7" s="5">
        <f>IF(TABLE1[[#This Row],[Potential Price Before BE]]=FALSE,"FALSE",( TABLE1[[#This Row],[Potential Price Before BE]]-TABLE1[[#This Row],[Intended Entry]])/(TABLE1[[#This Row],[Intended Entry]]-TABLE1[[#This Row],[SL Price]]))</f>
        <v>6.9999999999999893</v>
      </c>
      <c r="AU7" s="5">
        <f>(IF(TABLE1[[#This Row],[Buy/Sell]]="BUY",(TABLE1[[#This Row],[Entry Price]]-TABLE1[[#This Row],[SL Price]])/(TABLE1[[#This Row],[Intended Entry]]-TABLE1[[#This Row],[SL Price]]),(TABLE1[[#This Row],[SL Price]]-TABLE1[[#This Row],[Entry Price]])/(TABLE1[[#This Row],[SL Price]]-TABLE1[[#This Row],[Intended Entry]])))-1</f>
        <v>0</v>
      </c>
      <c r="AV7"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W7" s="21">
        <f>TABLE1[[#This Row],[Missed RRR on Entry]]+TABLE1[[#This Row],[Missed RRR on Exit]]</f>
        <v>0</v>
      </c>
      <c r="AX7" s="21">
        <f>ROUND((TABLE1[[#This Row],[Potential Price]]-TABLE1[[#This Row],[Entry Price]])/(TABLE1[[#This Row],[Intended Entry]]-TABLE1[[#This Row],[SL Price]]),4)</f>
        <v>7</v>
      </c>
      <c r="AY7" s="21">
        <f>ROUND((TABLE1[[#This Row],[Potential Price]]-TABLE1[[#This Row],[Intended Entry]])/(TABLE1[[#This Row],[Intended Entry]]-TABLE1[[#This Row],[SL Price]]),4)</f>
        <v>7</v>
      </c>
      <c r="AZ7" s="21"/>
      <c r="BA7" s="29">
        <f>ROUND((TABLE1[[#This Row],[Exit Price]]-TABLE1[[#This Row],[Entry Price]])/(TABLE1[[#This Row],[Intended Entry]]-TABLE1[[#This Row],[SL Price]]),4)</f>
        <v>3</v>
      </c>
      <c r="BB7"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C7"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D7"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E7"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F7"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G7"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H7"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I7"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J7"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K7"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L7"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M7"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N7"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O7"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P7"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Q7"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R7"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S7"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T7"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2.7499999999999947</v>
      </c>
      <c r="BU7"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2.7499999999999947</v>
      </c>
      <c r="BV7"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2.7499999999999947</v>
      </c>
      <c r="BW7"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-51.74999999999995</v>
      </c>
      <c r="BX7"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2.7499999999999947</v>
      </c>
      <c r="BY7"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2.7499999999999947</v>
      </c>
      <c r="BZ7" s="24">
        <f>IF( TABLE1[[#This Row],[Wick Exit]]&lt;&gt; FALSE,TABLE1[[#This Row],[RRR Wick Exit]],IF(TABLE1[[#This Row],[Volume Exit]]&lt;&gt; FALSE,TABLE1[[#This Row],[RRR Volume Exit]],TABLE1[[#This Row],[RRR Realized]]))</f>
        <v>-51.74999999999995</v>
      </c>
      <c r="CA7"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v>
      </c>
      <c r="CB7"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CC7"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CD7"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row>
    <row r="8" spans="1:82" x14ac:dyDescent="0.25">
      <c r="A8" t="s">
        <v>173</v>
      </c>
      <c r="B8">
        <v>7</v>
      </c>
      <c r="C8" s="2">
        <v>43455</v>
      </c>
      <c r="D8" s="1">
        <v>0.4458333333333333</v>
      </c>
      <c r="E8" s="1">
        <v>0.45902777777777781</v>
      </c>
      <c r="F8" s="5">
        <v>3.06</v>
      </c>
      <c r="G8" s="5">
        <v>48</v>
      </c>
      <c r="H8">
        <v>300</v>
      </c>
      <c r="I8" t="s">
        <v>19</v>
      </c>
      <c r="J8" t="s">
        <v>22</v>
      </c>
      <c r="K8">
        <v>6.75</v>
      </c>
      <c r="L8">
        <v>6.77</v>
      </c>
      <c r="M8">
        <v>6.69</v>
      </c>
      <c r="N8">
        <v>6.93</v>
      </c>
      <c r="O8">
        <v>6.93</v>
      </c>
      <c r="P8">
        <v>6.93</v>
      </c>
      <c r="Q8">
        <v>6.7</v>
      </c>
      <c r="R8">
        <v>6.98</v>
      </c>
      <c r="S8">
        <v>6.98</v>
      </c>
      <c r="T8" t="b">
        <v>0</v>
      </c>
      <c r="U8" t="b">
        <v>0</v>
      </c>
      <c r="V8" t="b">
        <v>1</v>
      </c>
      <c r="X8">
        <v>6.74</v>
      </c>
      <c r="Y8" t="b">
        <v>0</v>
      </c>
      <c r="Z8">
        <v>1.5</v>
      </c>
      <c r="AA8">
        <v>6.79</v>
      </c>
      <c r="AB8" t="b">
        <v>0</v>
      </c>
      <c r="AC8">
        <v>1.5</v>
      </c>
      <c r="AD8" t="b">
        <v>0</v>
      </c>
      <c r="AE8" t="s">
        <v>26</v>
      </c>
      <c r="AF8" t="s">
        <v>31</v>
      </c>
      <c r="AG8" t="s">
        <v>34</v>
      </c>
      <c r="AH8">
        <v>10.65</v>
      </c>
      <c r="AI8" t="s">
        <v>431</v>
      </c>
      <c r="AJ8" t="s">
        <v>163</v>
      </c>
      <c r="AK8" s="26" t="s">
        <v>265</v>
      </c>
      <c r="AL8" s="22">
        <f>(TABLE1[[#This Row],[TP Price]]-TABLE1[[#This Row],[Intended Entry]])/(TABLE1[[#This Row],[Intended Entry]]-TABLE1[[#This Row],[SL Price]])</f>
        <v>3.0000000000000147</v>
      </c>
      <c r="AM8" s="5">
        <f>IF(TABLE1[[#This Row],[Buy/Sell]]="BUY",(TABLE1[[#This Row],[Highest Price]]-TABLE1[[#This Row],[Entry Price]])/(TABLE1[[#This Row],[Intended Entry]]-TABLE1[[#This Row],[SL Price]]),(TABLE1[[#This Row],[Entry Price]]-TABLE1[[#This Row],[Lowest Price]])/(TABLE1[[#This Row],[SL Price]]-TABLE1[[#This Row],[Intended Entry]]))</f>
        <v>2.6666666666666865</v>
      </c>
      <c r="AN8" s="21">
        <f>IF(TABLE1[[#This Row],[Buy/Sell]]="BUY",(TABLE1[[#This Row],[Entry Price]]-TABLE1[[#This Row],[Lowest Price]])/(TABLE1[[#This Row],[SL Price]]-TABLE1[[#This Row],[Intended Entry]]),(TABLE1[[#This Row],[Entry Price]]-TABLE1[[#This Row],[Highest Price]])/(TABLE1[[#This Row],[SL Price]]-TABLE1[[#This Row],[Intended Entry]]))</f>
        <v>-1.1666666666666643</v>
      </c>
      <c r="AO8" s="5" t="str">
        <f>IF(TABLE1[[#This Row],[Gain/Loss]]&lt;0, "LOSER", "WINNER")</f>
        <v>WINNER</v>
      </c>
      <c r="AP8" s="5">
        <f>TABLE1[[#This Row],[Gain/Loss]]-TABLE1[[#This Row],[Comissions]]</f>
        <v>44.94</v>
      </c>
      <c r="AQ8" s="4">
        <f>TABLE1[[#This Row],[Exit Time]]-TABLE1[[#This Row],[Entry Time]]</f>
        <v>1.3194444444444509E-2</v>
      </c>
      <c r="AR8" s="21" t="str">
        <f>IF(TABLE1[[#This Row],[Retest Price]]&lt;&gt;FALSE,ROUND((TABLE1[[#This Row],[Retest Price]]-TABLE1[[#This Row],[Entry Price]])/(TABLE1[[#This Row],[Intended Entry]]-TABLE1[[#This Row],[SL Price]]),4), "FALSE")</f>
        <v>FALSE</v>
      </c>
      <c r="AS8" s="5">
        <f>TABLE1[[#This Row],[Net Gain/Loss]]+AS7</f>
        <v>181.78</v>
      </c>
      <c r="AT8" s="5">
        <f>IF(TABLE1[[#This Row],[Potential Price Before BE]]=FALSE,"FALSE",( TABLE1[[#This Row],[Potential Price Before BE]]-TABLE1[[#This Row],[Intended Entry]])/(TABLE1[[#This Row],[Intended Entry]]-TABLE1[[#This Row],[SL Price]]))</f>
        <v>3.8333333333333655</v>
      </c>
      <c r="AU8" s="5">
        <f>(IF(TABLE1[[#This Row],[Buy/Sell]]="BUY",(TABLE1[[#This Row],[Entry Price]]-TABLE1[[#This Row],[SL Price]])/(TABLE1[[#This Row],[Intended Entry]]-TABLE1[[#This Row],[SL Price]]),(TABLE1[[#This Row],[SL Price]]-TABLE1[[#This Row],[Entry Price]])/(TABLE1[[#This Row],[SL Price]]-TABLE1[[#This Row],[Intended Entry]])))-1</f>
        <v>0.33333333333332837</v>
      </c>
      <c r="AV8"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W8" s="21">
        <f>TABLE1[[#This Row],[Missed RRR on Entry]]+TABLE1[[#This Row],[Missed RRR on Exit]]</f>
        <v>0.33333333333332837</v>
      </c>
      <c r="AX8" s="21">
        <f>ROUND((TABLE1[[#This Row],[Potential Price]]-TABLE1[[#This Row],[Entry Price]])/(TABLE1[[#This Row],[Intended Entry]]-TABLE1[[#This Row],[SL Price]]),4)</f>
        <v>3.5</v>
      </c>
      <c r="AY8" s="21">
        <f>ROUND((TABLE1[[#This Row],[Potential Price]]-TABLE1[[#This Row],[Intended Entry]])/(TABLE1[[#This Row],[Intended Entry]]-TABLE1[[#This Row],[SL Price]]),4)</f>
        <v>3.8332999999999999</v>
      </c>
      <c r="AZ8" s="21">
        <f>TABLE1[[#This Row],[RRR Potential]]-TABLE1[[#This Row],[RRR Realized]]</f>
        <v>0.83329999999999993</v>
      </c>
      <c r="BA8" s="29">
        <f>ROUND((TABLE1[[#This Row],[Exit Price]]-TABLE1[[#This Row],[Entry Price]])/(TABLE1[[#This Row],[Intended Entry]]-TABLE1[[#This Row],[SL Price]]),4)</f>
        <v>2.6667000000000001</v>
      </c>
      <c r="BB8"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-1.3333333333333284</v>
      </c>
      <c r="BC8"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-0.33333333333332837</v>
      </c>
      <c r="BD8"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-0.33333333333332837</v>
      </c>
      <c r="BE8"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-1.3333333333333284</v>
      </c>
      <c r="BF8"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-1.3333333333333284</v>
      </c>
      <c r="BG8"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-1.3333333333333284</v>
      </c>
      <c r="BH8"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-1.3333333333333284</v>
      </c>
      <c r="BI8"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-0.33333333333332837</v>
      </c>
      <c r="BJ8"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-0.33333333333332837</v>
      </c>
      <c r="BK8"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-0.33333333333332837</v>
      </c>
      <c r="BL8"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-0.33333333333332837</v>
      </c>
      <c r="BM8"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-0.33333333333332837</v>
      </c>
      <c r="BN8"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-0.33333333333332837</v>
      </c>
      <c r="BO8"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-0.33333333333332837</v>
      </c>
      <c r="BP8"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-0.33333333333332837</v>
      </c>
      <c r="BQ8"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-1.3333333333333284</v>
      </c>
      <c r="BR8"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-0.33333333333332837</v>
      </c>
      <c r="BS8"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-0.33333333333332837</v>
      </c>
      <c r="BT8"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-0.49999999999999262</v>
      </c>
      <c r="BU8"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-0.33333333333332837</v>
      </c>
      <c r="BV8"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-0.33333333333332837</v>
      </c>
      <c r="BW8"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-0.49999999999999262</v>
      </c>
      <c r="BX8"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-0.33333333333332837</v>
      </c>
      <c r="BY8"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-0.33333333333332837</v>
      </c>
      <c r="BZ8" s="24">
        <f>IF( TABLE1[[#This Row],[Wick Exit]]&lt;&gt; FALSE,TABLE1[[#This Row],[RRR Wick Exit]],IF(TABLE1[[#This Row],[Volume Exit]]&lt;&gt; FALSE,TABLE1[[#This Row],[RRR Volume Exit]],TABLE1[[#This Row],[RRR Realized]]))</f>
        <v>-0.49999999999999262</v>
      </c>
      <c r="CA8"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2.6667000000000001</v>
      </c>
      <c r="CB8"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-1.3333333333333284</v>
      </c>
      <c r="CC8"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-0.33333333333332837</v>
      </c>
      <c r="CD8"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-0.33333333333332837</v>
      </c>
    </row>
    <row r="9" spans="1:82" x14ac:dyDescent="0.25">
      <c r="A9" t="s">
        <v>174</v>
      </c>
      <c r="B9">
        <v>8</v>
      </c>
      <c r="C9" s="2">
        <v>43457</v>
      </c>
      <c r="D9" s="1">
        <v>0.44444444444444442</v>
      </c>
      <c r="E9" s="1">
        <v>0.45</v>
      </c>
      <c r="F9" s="5">
        <v>2.02</v>
      </c>
      <c r="G9" s="5">
        <v>-33</v>
      </c>
      <c r="H9">
        <v>100</v>
      </c>
      <c r="I9" t="s">
        <v>19</v>
      </c>
      <c r="J9" t="s">
        <v>22</v>
      </c>
      <c r="K9">
        <v>6.62</v>
      </c>
      <c r="L9">
        <v>6.63</v>
      </c>
      <c r="M9">
        <v>6.42</v>
      </c>
      <c r="N9">
        <v>7.22</v>
      </c>
      <c r="O9">
        <v>6.3</v>
      </c>
      <c r="P9">
        <v>6.84</v>
      </c>
      <c r="Q9">
        <v>6.3</v>
      </c>
      <c r="R9">
        <v>6.84</v>
      </c>
      <c r="S9">
        <v>6.84</v>
      </c>
      <c r="T9" t="b">
        <v>0</v>
      </c>
      <c r="U9" t="b">
        <v>0</v>
      </c>
      <c r="V9" t="b">
        <v>0</v>
      </c>
      <c r="X9" t="b">
        <v>0</v>
      </c>
      <c r="Y9" t="b">
        <v>0</v>
      </c>
      <c r="AA9" t="b">
        <v>0</v>
      </c>
      <c r="AD9" t="b">
        <v>0</v>
      </c>
      <c r="AE9" t="s">
        <v>28</v>
      </c>
      <c r="AF9" t="s">
        <v>32</v>
      </c>
      <c r="AG9" t="s">
        <v>34</v>
      </c>
      <c r="AH9">
        <v>6.38</v>
      </c>
      <c r="AI9" t="s">
        <v>435</v>
      </c>
      <c r="AJ9" t="s">
        <v>163</v>
      </c>
      <c r="AK9" s="26" t="s">
        <v>264</v>
      </c>
      <c r="AL9" s="22">
        <f>(TABLE1[[#This Row],[TP Price]]-TABLE1[[#This Row],[Intended Entry]])/(TABLE1[[#This Row],[Intended Entry]]-TABLE1[[#This Row],[SL Price]])</f>
        <v>2.9999999999999956</v>
      </c>
      <c r="AM9" s="5">
        <f>IF(TABLE1[[#This Row],[Buy/Sell]]="BUY",(TABLE1[[#This Row],[Highest Price]]-TABLE1[[#This Row],[Entry Price]])/(TABLE1[[#This Row],[Intended Entry]]-TABLE1[[#This Row],[SL Price]]),(TABLE1[[#This Row],[Entry Price]]-TABLE1[[#This Row],[Lowest Price]])/(TABLE1[[#This Row],[SL Price]]-TABLE1[[#This Row],[Intended Entry]]))</f>
        <v>1.0499999999999989</v>
      </c>
      <c r="AN9" s="21">
        <f>IF(TABLE1[[#This Row],[Buy/Sell]]="BUY",(TABLE1[[#This Row],[Entry Price]]-TABLE1[[#This Row],[Lowest Price]])/(TABLE1[[#This Row],[SL Price]]-TABLE1[[#This Row],[Intended Entry]]),(TABLE1[[#This Row],[Entry Price]]-TABLE1[[#This Row],[Highest Price]])/(TABLE1[[#This Row],[SL Price]]-TABLE1[[#This Row],[Intended Entry]]))</f>
        <v>-1.6499999999999988</v>
      </c>
      <c r="AO9" s="5" t="str">
        <f>IF(TABLE1[[#This Row],[Gain/Loss]]&lt;0, "LOSER", "WINNER")</f>
        <v>LOSER</v>
      </c>
      <c r="AP9" s="5">
        <f>TABLE1[[#This Row],[Gain/Loss]]-TABLE1[[#This Row],[Comissions]]</f>
        <v>-35.020000000000003</v>
      </c>
      <c r="AQ9" s="4">
        <f>TABLE1[[#This Row],[Exit Time]]-TABLE1[[#This Row],[Entry Time]]</f>
        <v>5.5555555555555913E-3</v>
      </c>
      <c r="AR9" s="21" t="str">
        <f>IF(TABLE1[[#This Row],[Retest Price]]&lt;&gt;FALSE,ROUND((TABLE1[[#This Row],[Retest Price]]-TABLE1[[#This Row],[Entry Price]])/(TABLE1[[#This Row],[Intended Entry]]-TABLE1[[#This Row],[SL Price]]),4), "FALSE")</f>
        <v>FALSE</v>
      </c>
      <c r="AS9" s="5">
        <f>TABLE1[[#This Row],[Net Gain/Loss]]+AS8</f>
        <v>146.76</v>
      </c>
      <c r="AT9" s="5">
        <f>IF(TABLE1[[#This Row],[Potential Price Before BE]]=FALSE,"FALSE",( TABLE1[[#This Row],[Potential Price Before BE]]-TABLE1[[#This Row],[Intended Entry]])/(TABLE1[[#This Row],[Intended Entry]]-TABLE1[[#This Row],[SL Price]]))</f>
        <v>1.0999999999999979</v>
      </c>
      <c r="AU9" s="5">
        <f>(IF(TABLE1[[#This Row],[Buy/Sell]]="BUY",(TABLE1[[#This Row],[Entry Price]]-TABLE1[[#This Row],[SL Price]])/(TABLE1[[#This Row],[Intended Entry]]-TABLE1[[#This Row],[SL Price]]),(TABLE1[[#This Row],[SL Price]]-TABLE1[[#This Row],[Entry Price]])/(TABLE1[[#This Row],[SL Price]]-TABLE1[[#This Row],[Intended Entry]])))-1</f>
        <v>4.9999999999998934E-2</v>
      </c>
      <c r="AV9"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0.6</v>
      </c>
      <c r="AW9" s="21">
        <f>TABLE1[[#This Row],[Missed RRR on Entry]]+TABLE1[[#This Row],[Missed RRR on Exit]]</f>
        <v>0.64999999999999891</v>
      </c>
      <c r="AX9" s="21">
        <f>ROUND((TABLE1[[#This Row],[Potential Price]]-TABLE1[[#This Row],[Entry Price]])/(TABLE1[[#This Row],[Intended Entry]]-TABLE1[[#This Row],[SL Price]]),4)</f>
        <v>1.05</v>
      </c>
      <c r="AY9" s="21">
        <f>ROUND((TABLE1[[#This Row],[Potential Price]]-TABLE1[[#This Row],[Intended Entry]])/(TABLE1[[#This Row],[Intended Entry]]-TABLE1[[#This Row],[SL Price]]),4)</f>
        <v>1.1000000000000001</v>
      </c>
      <c r="AZ9" s="21">
        <f>TABLE1[[#This Row],[RRR Potential]]-TABLE1[[#This Row],[RRR Realized]]</f>
        <v>2.7</v>
      </c>
      <c r="BA9" s="29">
        <f>ROUND((TABLE1[[#This Row],[Exit Price]]-TABLE1[[#This Row],[Entry Price]])/(TABLE1[[#This Row],[Intended Entry]]-TABLE1[[#This Row],[SL Price]]),4)</f>
        <v>-1.65</v>
      </c>
      <c r="BB9"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-1.65</v>
      </c>
      <c r="BC9"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-4.9999999999998934E-2</v>
      </c>
      <c r="BD9"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-1.65</v>
      </c>
      <c r="BE9"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-1.65</v>
      </c>
      <c r="BF9"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-1.65</v>
      </c>
      <c r="BG9"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-1.65</v>
      </c>
      <c r="BH9"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-1.65</v>
      </c>
      <c r="BI9"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-4.9999999999998934E-2</v>
      </c>
      <c r="BJ9"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-4.9999999999998934E-2</v>
      </c>
      <c r="BK9"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-4.9999999999998934E-2</v>
      </c>
      <c r="BL9"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-4.9999999999998934E-2</v>
      </c>
      <c r="BM9"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-1.65</v>
      </c>
      <c r="BN9"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-1.65</v>
      </c>
      <c r="BO9"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-1.65</v>
      </c>
      <c r="BP9"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-1.65</v>
      </c>
      <c r="BQ9"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-1.65</v>
      </c>
      <c r="BR9"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-4.9999999999998934E-2</v>
      </c>
      <c r="BS9"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-1.65</v>
      </c>
      <c r="BT9"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-1.65</v>
      </c>
      <c r="BU9"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-4.9999999999998934E-2</v>
      </c>
      <c r="BV9"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-1.65</v>
      </c>
      <c r="BW9"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-1.65</v>
      </c>
      <c r="BX9"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-4.9999999999998934E-2</v>
      </c>
      <c r="BY9"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-1.65</v>
      </c>
      <c r="BZ9" s="24">
        <f>IF( TABLE1[[#This Row],[Wick Exit]]&lt;&gt; FALSE,TABLE1[[#This Row],[RRR Wick Exit]],IF(TABLE1[[#This Row],[Volume Exit]]&lt;&gt; FALSE,TABLE1[[#This Row],[RRR Volume Exit]],TABLE1[[#This Row],[RRR Realized]]))</f>
        <v>-1.65</v>
      </c>
      <c r="CA9"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-1.65</v>
      </c>
      <c r="CB9"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-1.65</v>
      </c>
      <c r="CC9"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-4.9999999999998934E-2</v>
      </c>
      <c r="CD9"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-1.65</v>
      </c>
    </row>
    <row r="10" spans="1:82" x14ac:dyDescent="0.25">
      <c r="A10" t="s">
        <v>175</v>
      </c>
      <c r="B10">
        <v>9</v>
      </c>
      <c r="C10" s="2" t="s">
        <v>176</v>
      </c>
      <c r="D10" s="1">
        <v>0.44375000000000003</v>
      </c>
      <c r="E10" s="1">
        <v>0.58680555555555558</v>
      </c>
      <c r="F10" s="5">
        <v>3.04</v>
      </c>
      <c r="G10" s="5">
        <v>-17.55</v>
      </c>
      <c r="H10">
        <v>300</v>
      </c>
      <c r="I10" t="s">
        <v>19</v>
      </c>
      <c r="J10" t="s">
        <v>23</v>
      </c>
      <c r="K10">
        <v>1.93</v>
      </c>
      <c r="L10">
        <v>1.9259999999999999</v>
      </c>
      <c r="M10">
        <v>1.99</v>
      </c>
      <c r="N10">
        <v>1.75</v>
      </c>
      <c r="O10">
        <v>1.99</v>
      </c>
      <c r="P10">
        <v>2.04</v>
      </c>
      <c r="Q10">
        <v>1.88</v>
      </c>
      <c r="R10">
        <v>1.88</v>
      </c>
      <c r="S10">
        <v>1.88</v>
      </c>
      <c r="T10" t="b">
        <v>0</v>
      </c>
      <c r="U10" t="b">
        <v>0</v>
      </c>
      <c r="V10" t="b">
        <v>0</v>
      </c>
      <c r="W10" t="b">
        <v>1</v>
      </c>
      <c r="X10" t="b">
        <v>0</v>
      </c>
      <c r="AA10" t="b">
        <v>0</v>
      </c>
      <c r="AD10" t="b">
        <v>0</v>
      </c>
      <c r="AE10" t="s">
        <v>25</v>
      </c>
      <c r="AF10" t="s">
        <v>31</v>
      </c>
      <c r="AG10" t="s">
        <v>35</v>
      </c>
      <c r="AI10" t="s">
        <v>434</v>
      </c>
      <c r="AJ10" t="s">
        <v>163</v>
      </c>
      <c r="AK10" s="26" t="s">
        <v>263</v>
      </c>
      <c r="AL10" s="22">
        <f>(TABLE1[[#This Row],[TP Price]]-TABLE1[[#This Row],[Intended Entry]])/(TABLE1[[#This Row],[Intended Entry]]-TABLE1[[#This Row],[SL Price]])</f>
        <v>2.9999999999999964</v>
      </c>
      <c r="AM10" s="5">
        <f>IF(TABLE1[[#This Row],[Buy/Sell]]="BUY",(TABLE1[[#This Row],[Highest Price]]-TABLE1[[#This Row],[Entry Price]])/(TABLE1[[#This Row],[Intended Entry]]-TABLE1[[#This Row],[SL Price]]),(TABLE1[[#This Row],[Entry Price]]-TABLE1[[#This Row],[Lowest Price]])/(TABLE1[[#This Row],[SL Price]]-TABLE1[[#This Row],[Intended Entry]]))</f>
        <v>0.76666666666666672</v>
      </c>
      <c r="AN10" s="21">
        <f>IF(TABLE1[[#This Row],[Buy/Sell]]="BUY",(TABLE1[[#This Row],[Entry Price]]-TABLE1[[#This Row],[Lowest Price]])/(TABLE1[[#This Row],[SL Price]]-TABLE1[[#This Row],[Intended Entry]]),(TABLE1[[#This Row],[Entry Price]]-TABLE1[[#This Row],[Highest Price]])/(TABLE1[[#This Row],[SL Price]]-TABLE1[[#This Row],[Intended Entry]]))</f>
        <v>-1.9</v>
      </c>
      <c r="AO10" s="5" t="str">
        <f>IF(TABLE1[[#This Row],[Gain/Loss]]&lt;0, "LOSER", "WINNER")</f>
        <v>LOSER</v>
      </c>
      <c r="AP10" s="5">
        <f>TABLE1[[#This Row],[Gain/Loss]]-TABLE1[[#This Row],[Comissions]]</f>
        <v>-20.59</v>
      </c>
      <c r="AQ10" s="4">
        <f>TABLE1[[#This Row],[Exit Time]]-TABLE1[[#This Row],[Entry Time]]</f>
        <v>0.14305555555555555</v>
      </c>
      <c r="AR10" s="21" t="str">
        <f>IF(TABLE1[[#This Row],[Retest Price]]&lt;&gt;FALSE,ROUND((TABLE1[[#This Row],[Retest Price]]-TABLE1[[#This Row],[Entry Price]])/(TABLE1[[#This Row],[Intended Entry]]-TABLE1[[#This Row],[SL Price]]),4), "FALSE")</f>
        <v>FALSE</v>
      </c>
      <c r="AS10" s="5">
        <f>TABLE1[[#This Row],[Net Gain/Loss]]+AS9</f>
        <v>126.16999999999999</v>
      </c>
      <c r="AT10" s="5">
        <f>IF(TABLE1[[#This Row],[Potential Price Before BE]]=FALSE,"FALSE",( TABLE1[[#This Row],[Potential Price Before BE]]-TABLE1[[#This Row],[Intended Entry]])/(TABLE1[[#This Row],[Intended Entry]]-TABLE1[[#This Row],[SL Price]]))</f>
        <v>0.83333333333333337</v>
      </c>
      <c r="AU10" s="5">
        <f>(IF(TABLE1[[#This Row],[Buy/Sell]]="BUY",(TABLE1[[#This Row],[Entry Price]]-TABLE1[[#This Row],[SL Price]])/(TABLE1[[#This Row],[Intended Entry]]-TABLE1[[#This Row],[SL Price]]),(TABLE1[[#This Row],[SL Price]]-TABLE1[[#This Row],[Entry Price]])/(TABLE1[[#This Row],[SL Price]]-TABLE1[[#This Row],[Intended Entry]])))-1</f>
        <v>6.6666666666666652E-2</v>
      </c>
      <c r="AV10"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W10" s="21">
        <f>TABLE1[[#This Row],[Missed RRR on Entry]]+TABLE1[[#This Row],[Missed RRR on Exit]]</f>
        <v>6.6666666666666652E-2</v>
      </c>
      <c r="AX10" s="21">
        <f>ROUND((TABLE1[[#This Row],[Potential Price]]-TABLE1[[#This Row],[Entry Price]])/(TABLE1[[#This Row],[Intended Entry]]-TABLE1[[#This Row],[SL Price]]),4)</f>
        <v>0.76670000000000005</v>
      </c>
      <c r="AY10" s="21">
        <f>ROUND((TABLE1[[#This Row],[Potential Price]]-TABLE1[[#This Row],[Intended Entry]])/(TABLE1[[#This Row],[Intended Entry]]-TABLE1[[#This Row],[SL Price]]),4)</f>
        <v>0.83330000000000004</v>
      </c>
      <c r="AZ10" s="21"/>
      <c r="BA10" s="29">
        <f>ROUND((TABLE1[[#This Row],[Exit Price]]-TABLE1[[#This Row],[Entry Price]])/(TABLE1[[#This Row],[Intended Entry]]-TABLE1[[#This Row],[SL Price]]),4)</f>
        <v>-1.0667</v>
      </c>
      <c r="BB10"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-1.0667</v>
      </c>
      <c r="BC10"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-1.0667</v>
      </c>
      <c r="BD10"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-1.0667</v>
      </c>
      <c r="BE10"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-6.6666666666666652E-2</v>
      </c>
      <c r="BF10"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-1.0667</v>
      </c>
      <c r="BG10"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-1.0667</v>
      </c>
      <c r="BH10"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-1.0667</v>
      </c>
      <c r="BI10"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-6.6666666666666652E-2</v>
      </c>
      <c r="BJ10"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-1.0667</v>
      </c>
      <c r="BK10"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-1.0667</v>
      </c>
      <c r="BL10"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-1.0667</v>
      </c>
      <c r="BM10"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-1.0667</v>
      </c>
      <c r="BN10"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-1.0667</v>
      </c>
      <c r="BO10"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-1.0667</v>
      </c>
      <c r="BP10"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-1.0667</v>
      </c>
      <c r="BQ10"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-1.0667</v>
      </c>
      <c r="BR10"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-1.0667</v>
      </c>
      <c r="BS10"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-1.0667</v>
      </c>
      <c r="BT10"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-1.0667</v>
      </c>
      <c r="BU10"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-1.0667</v>
      </c>
      <c r="BV10"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-1.0667</v>
      </c>
      <c r="BW10"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-1.0667</v>
      </c>
      <c r="BX10"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-1.0667</v>
      </c>
      <c r="BY10"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-1.0667</v>
      </c>
      <c r="BZ10" s="24">
        <f>IF( TABLE1[[#This Row],[Wick Exit]]&lt;&gt; FALSE,TABLE1[[#This Row],[RRR Wick Exit]],IF(TABLE1[[#This Row],[Volume Exit]]&lt;&gt; FALSE,TABLE1[[#This Row],[RRR Volume Exit]],TABLE1[[#This Row],[RRR Realized]]))</f>
        <v>-1.0667</v>
      </c>
      <c r="CA10"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-1.0667</v>
      </c>
      <c r="CB10"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-1.0667</v>
      </c>
      <c r="CC10"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-1.0667</v>
      </c>
      <c r="CD10"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-1.0667</v>
      </c>
    </row>
    <row r="11" spans="1:82" x14ac:dyDescent="0.25">
      <c r="A11" t="s">
        <v>181</v>
      </c>
      <c r="B11">
        <v>10</v>
      </c>
      <c r="C11" s="2">
        <v>43467</v>
      </c>
      <c r="D11" s="1">
        <v>0.4055555555555555</v>
      </c>
      <c r="E11" s="1">
        <v>0.40625</v>
      </c>
      <c r="F11" s="5">
        <v>4.0599999999999996</v>
      </c>
      <c r="G11" s="5">
        <v>-41.72</v>
      </c>
      <c r="H11">
        <v>400</v>
      </c>
      <c r="I11" t="s">
        <v>19</v>
      </c>
      <c r="J11" t="s">
        <v>22</v>
      </c>
      <c r="K11">
        <v>2.27</v>
      </c>
      <c r="L11">
        <v>2.2639999999999998</v>
      </c>
      <c r="M11">
        <v>2.2200000000000002</v>
      </c>
      <c r="N11">
        <v>2.42</v>
      </c>
      <c r="O11">
        <v>2.16</v>
      </c>
      <c r="P11">
        <v>2.2999999999999998</v>
      </c>
      <c r="Q11">
        <v>2.16</v>
      </c>
      <c r="R11">
        <v>2.2999999999999998</v>
      </c>
      <c r="S11">
        <v>2.2999999999999998</v>
      </c>
      <c r="T11" t="b">
        <v>0</v>
      </c>
      <c r="U11" t="b">
        <v>0</v>
      </c>
      <c r="V11" t="b">
        <v>0</v>
      </c>
      <c r="X11" t="b">
        <v>0</v>
      </c>
      <c r="AA11" t="b">
        <v>0</v>
      </c>
      <c r="AD11" t="b">
        <v>0</v>
      </c>
      <c r="AE11" t="s">
        <v>25</v>
      </c>
      <c r="AF11" t="s">
        <v>32</v>
      </c>
      <c r="AG11" t="s">
        <v>37</v>
      </c>
      <c r="AH11">
        <v>3.42</v>
      </c>
      <c r="AI11" t="s">
        <v>431</v>
      </c>
      <c r="AJ11" t="s">
        <v>163</v>
      </c>
      <c r="AK11" s="26" t="s">
        <v>182</v>
      </c>
      <c r="AL11" s="22">
        <f>(TABLE1[[#This Row],[TP Price]]-TABLE1[[#This Row],[Intended Entry]])/(TABLE1[[#This Row],[Intended Entry]]-TABLE1[[#This Row],[SL Price]])</f>
        <v>3.0000000000000089</v>
      </c>
      <c r="AM11" s="5">
        <f>IF(TABLE1[[#This Row],[Buy/Sell]]="BUY",(TABLE1[[#This Row],[Highest Price]]-TABLE1[[#This Row],[Entry Price]])/(TABLE1[[#This Row],[Intended Entry]]-TABLE1[[#This Row],[SL Price]]),(TABLE1[[#This Row],[Entry Price]]-TABLE1[[#This Row],[Lowest Price]])/(TABLE1[[#This Row],[SL Price]]-TABLE1[[#This Row],[Intended Entry]]))</f>
        <v>0.72000000000000319</v>
      </c>
      <c r="AN11" s="21">
        <f>IF(TABLE1[[#This Row],[Buy/Sell]]="BUY",(TABLE1[[#This Row],[Entry Price]]-TABLE1[[#This Row],[Lowest Price]])/(TABLE1[[#This Row],[SL Price]]-TABLE1[[#This Row],[Intended Entry]]),(TABLE1[[#This Row],[Entry Price]]-TABLE1[[#This Row],[Highest Price]])/(TABLE1[[#This Row],[SL Price]]-TABLE1[[#This Row],[Intended Entry]]))</f>
        <v>-2.0800000000000005</v>
      </c>
      <c r="AO11" s="5" t="str">
        <f>IF(TABLE1[[#This Row],[Gain/Loss]]&lt;0, "LOSER", "WINNER")</f>
        <v>LOSER</v>
      </c>
      <c r="AP11" s="5">
        <f>TABLE1[[#This Row],[Gain/Loss]]-TABLE1[[#This Row],[Comissions]]</f>
        <v>-45.78</v>
      </c>
      <c r="AQ11" s="4">
        <f>TABLE1[[#This Row],[Exit Time]]-TABLE1[[#This Row],[Entry Time]]</f>
        <v>6.9444444444449749E-4</v>
      </c>
      <c r="AR11" s="21" t="str">
        <f>IF(TABLE1[[#This Row],[Retest Price]]&lt;&gt;FALSE,ROUND((TABLE1[[#This Row],[Retest Price]]-TABLE1[[#This Row],[Entry Price]])/(TABLE1[[#This Row],[Intended Entry]]-TABLE1[[#This Row],[SL Price]]),4), "FALSE")</f>
        <v>FALSE</v>
      </c>
      <c r="AS11" s="5">
        <f>TABLE1[[#This Row],[Net Gain/Loss]]+AS10</f>
        <v>80.389999999999986</v>
      </c>
      <c r="AT11" s="5">
        <f>IF(TABLE1[[#This Row],[Potential Price Before BE]]=FALSE,"FALSE",( TABLE1[[#This Row],[Potential Price Before BE]]-TABLE1[[#This Row],[Intended Entry]])/(TABLE1[[#This Row],[Intended Entry]]-TABLE1[[#This Row],[SL Price]]))</f>
        <v>0.5999999999999982</v>
      </c>
      <c r="AU11" s="5">
        <f>(IF(TABLE1[[#This Row],[Buy/Sell]]="BUY",(TABLE1[[#This Row],[Entry Price]]-TABLE1[[#This Row],[SL Price]])/(TABLE1[[#This Row],[Intended Entry]]-TABLE1[[#This Row],[SL Price]]),(TABLE1[[#This Row],[SL Price]]-TABLE1[[#This Row],[Entry Price]])/(TABLE1[[#This Row],[SL Price]]-TABLE1[[#This Row],[Intended Entry]])))-1</f>
        <v>-0.12000000000000499</v>
      </c>
      <c r="AV11"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1.2000000000000053</v>
      </c>
      <c r="AW11" s="21">
        <f>TABLE1[[#This Row],[Missed RRR on Entry]]+TABLE1[[#This Row],[Missed RRR on Exit]]</f>
        <v>1.0800000000000003</v>
      </c>
      <c r="AX11" s="21">
        <f>ROUND((TABLE1[[#This Row],[Potential Price]]-TABLE1[[#This Row],[Entry Price]])/(TABLE1[[#This Row],[Intended Entry]]-TABLE1[[#This Row],[SL Price]]),4)</f>
        <v>0.72</v>
      </c>
      <c r="AY11" s="21">
        <f>ROUND((TABLE1[[#This Row],[Potential Price]]-TABLE1[[#This Row],[Intended Entry]])/(TABLE1[[#This Row],[Intended Entry]]-TABLE1[[#This Row],[SL Price]]),4)</f>
        <v>0.6</v>
      </c>
      <c r="AZ11" s="21">
        <f>TABLE1[[#This Row],[RRR Potential]]-TABLE1[[#This Row],[RRR Realized]]</f>
        <v>2.8</v>
      </c>
      <c r="BA11" s="29">
        <f>ROUND((TABLE1[[#This Row],[Exit Price]]-TABLE1[[#This Row],[Entry Price]])/(TABLE1[[#This Row],[Intended Entry]]-TABLE1[[#This Row],[SL Price]]),4)</f>
        <v>-2.08</v>
      </c>
      <c r="BB11"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-2.08</v>
      </c>
      <c r="BC11"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-2.08</v>
      </c>
      <c r="BD11"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-2.08</v>
      </c>
      <c r="BE11"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-2.08</v>
      </c>
      <c r="BF11"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-2.08</v>
      </c>
      <c r="BG11"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-2.08</v>
      </c>
      <c r="BH11"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-2.08</v>
      </c>
      <c r="BI11"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-2.08</v>
      </c>
      <c r="BJ11"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-2.08</v>
      </c>
      <c r="BK11"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-2.08</v>
      </c>
      <c r="BL11"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-2.08</v>
      </c>
      <c r="BM11"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-2.08</v>
      </c>
      <c r="BN11"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-2.08</v>
      </c>
      <c r="BO11"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-2.08</v>
      </c>
      <c r="BP11"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-2.08</v>
      </c>
      <c r="BQ11"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-2.08</v>
      </c>
      <c r="BR11"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-2.08</v>
      </c>
      <c r="BS11"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-2.08</v>
      </c>
      <c r="BT11"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-2.08</v>
      </c>
      <c r="BU11"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-2.08</v>
      </c>
      <c r="BV11"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-2.08</v>
      </c>
      <c r="BW11"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-2.08</v>
      </c>
      <c r="BX11"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-2.08</v>
      </c>
      <c r="BY11"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-2.08</v>
      </c>
      <c r="BZ11" s="24">
        <f>IF( TABLE1[[#This Row],[Wick Exit]]&lt;&gt; FALSE,TABLE1[[#This Row],[RRR Wick Exit]],IF(TABLE1[[#This Row],[Volume Exit]]&lt;&gt; FALSE,TABLE1[[#This Row],[RRR Volume Exit]],TABLE1[[#This Row],[RRR Realized]]))</f>
        <v>-2.08</v>
      </c>
      <c r="CA11"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-2.08</v>
      </c>
      <c r="CB11"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-2.08</v>
      </c>
      <c r="CC11"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-2.08</v>
      </c>
      <c r="CD11"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-2.08</v>
      </c>
    </row>
    <row r="12" spans="1:82" x14ac:dyDescent="0.25">
      <c r="A12" t="s">
        <v>183</v>
      </c>
      <c r="B12">
        <v>11</v>
      </c>
      <c r="C12" s="2">
        <v>43467</v>
      </c>
      <c r="D12" s="1">
        <v>0.41250000000000003</v>
      </c>
      <c r="E12" s="1">
        <v>0.41319444444444442</v>
      </c>
      <c r="F12" s="5">
        <v>6.09</v>
      </c>
      <c r="G12" s="5">
        <v>-39.770000000000003</v>
      </c>
      <c r="H12">
        <v>600</v>
      </c>
      <c r="I12" t="s">
        <v>19</v>
      </c>
      <c r="J12" t="s">
        <v>23</v>
      </c>
      <c r="K12">
        <v>1.87</v>
      </c>
      <c r="L12">
        <v>1.8733</v>
      </c>
      <c r="M12">
        <v>1.9</v>
      </c>
      <c r="N12">
        <v>1.78</v>
      </c>
      <c r="O12">
        <v>1.929</v>
      </c>
      <c r="P12">
        <v>1.929</v>
      </c>
      <c r="Q12">
        <v>1.85</v>
      </c>
      <c r="R12">
        <v>1.85</v>
      </c>
      <c r="S12">
        <v>1.85</v>
      </c>
      <c r="T12" t="b">
        <v>0</v>
      </c>
      <c r="U12" t="b">
        <v>0</v>
      </c>
      <c r="V12" t="b">
        <v>0</v>
      </c>
      <c r="X12" t="b">
        <v>0</v>
      </c>
      <c r="AA12" t="b">
        <v>0</v>
      </c>
      <c r="AD12" t="b">
        <v>0</v>
      </c>
      <c r="AE12" t="s">
        <v>25</v>
      </c>
      <c r="AF12" t="s">
        <v>32</v>
      </c>
      <c r="AG12" t="s">
        <v>34</v>
      </c>
      <c r="AH12">
        <v>1.08</v>
      </c>
      <c r="AI12" t="s">
        <v>52</v>
      </c>
      <c r="AJ12" t="s">
        <v>163</v>
      </c>
      <c r="AK12" s="26" t="s">
        <v>184</v>
      </c>
      <c r="AL12" s="22">
        <f>(TABLE1[[#This Row],[TP Price]]-TABLE1[[#This Row],[Intended Entry]])/(TABLE1[[#This Row],[Intended Entry]]-TABLE1[[#This Row],[SL Price]])</f>
        <v>3.0000000000000222</v>
      </c>
      <c r="AM12" s="5">
        <f>IF(TABLE1[[#This Row],[Buy/Sell]]="BUY",(TABLE1[[#This Row],[Highest Price]]-TABLE1[[#This Row],[Entry Price]])/(TABLE1[[#This Row],[Intended Entry]]-TABLE1[[#This Row],[SL Price]]),(TABLE1[[#This Row],[Entry Price]]-TABLE1[[#This Row],[Lowest Price]])/(TABLE1[[#This Row],[SL Price]]-TABLE1[[#This Row],[Intended Entry]]))</f>
        <v>0.77666666666666762</v>
      </c>
      <c r="AN12" s="21">
        <f>IF(TABLE1[[#This Row],[Buy/Sell]]="BUY",(TABLE1[[#This Row],[Entry Price]]-TABLE1[[#This Row],[Lowest Price]])/(TABLE1[[#This Row],[SL Price]]-TABLE1[[#This Row],[Intended Entry]]),(TABLE1[[#This Row],[Entry Price]]-TABLE1[[#This Row],[Highest Price]])/(TABLE1[[#This Row],[SL Price]]-TABLE1[[#This Row],[Intended Entry]]))</f>
        <v>-1.8566666666666816</v>
      </c>
      <c r="AO12" s="5" t="str">
        <f>IF(TABLE1[[#This Row],[Gain/Loss]]&lt;0, "LOSER", "WINNER")</f>
        <v>LOSER</v>
      </c>
      <c r="AP12" s="5">
        <f>TABLE1[[#This Row],[Gain/Loss]]-TABLE1[[#This Row],[Comissions]]</f>
        <v>-45.86</v>
      </c>
      <c r="AQ12" s="4">
        <f>TABLE1[[#This Row],[Exit Time]]-TABLE1[[#This Row],[Entry Time]]</f>
        <v>6.9444444444438647E-4</v>
      </c>
      <c r="AR12" s="21" t="str">
        <f>IF(TABLE1[[#This Row],[Retest Price]]&lt;&gt;FALSE,ROUND((TABLE1[[#This Row],[Retest Price]]-TABLE1[[#This Row],[Entry Price]])/(TABLE1[[#This Row],[Intended Entry]]-TABLE1[[#This Row],[SL Price]]),4), "FALSE")</f>
        <v>FALSE</v>
      </c>
      <c r="AS12" s="5">
        <f>TABLE1[[#This Row],[Net Gain/Loss]]+AS11</f>
        <v>34.529999999999987</v>
      </c>
      <c r="AT12" s="5">
        <f>IF(TABLE1[[#This Row],[Potential Price Before BE]]=FALSE,"FALSE",( TABLE1[[#This Row],[Potential Price Before BE]]-TABLE1[[#This Row],[Intended Entry]])/(TABLE1[[#This Row],[Intended Entry]]-TABLE1[[#This Row],[SL Price]]))</f>
        <v>0.66666666666667163</v>
      </c>
      <c r="AU12" s="5">
        <f>(IF(TABLE1[[#This Row],[Buy/Sell]]="BUY",(TABLE1[[#This Row],[Entry Price]]-TABLE1[[#This Row],[SL Price]])/(TABLE1[[#This Row],[Intended Entry]]-TABLE1[[#This Row],[SL Price]]),(TABLE1[[#This Row],[SL Price]]-TABLE1[[#This Row],[Entry Price]])/(TABLE1[[#This Row],[SL Price]]-TABLE1[[#This Row],[Intended Entry]])))-1</f>
        <v>-0.10999999999999599</v>
      </c>
      <c r="AV12"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1.0861423220973856</v>
      </c>
      <c r="AW12" s="21">
        <f>TABLE1[[#This Row],[Missed RRR on Entry]]+TABLE1[[#This Row],[Missed RRR on Exit]]</f>
        <v>0.9761423220973896</v>
      </c>
      <c r="AX12" s="21">
        <f>ROUND((TABLE1[[#This Row],[Potential Price]]-TABLE1[[#This Row],[Entry Price]])/(TABLE1[[#This Row],[Intended Entry]]-TABLE1[[#This Row],[SL Price]]),4)</f>
        <v>0.77669999999999995</v>
      </c>
      <c r="AY12" s="21">
        <f>ROUND((TABLE1[[#This Row],[Potential Price]]-TABLE1[[#This Row],[Intended Entry]])/(TABLE1[[#This Row],[Intended Entry]]-TABLE1[[#This Row],[SL Price]]),4)</f>
        <v>0.66669999999999996</v>
      </c>
      <c r="AZ12" s="21"/>
      <c r="BA12" s="29">
        <f>ROUND((TABLE1[[#This Row],[Exit Price]]-TABLE1[[#This Row],[Entry Price]])/(TABLE1[[#This Row],[Intended Entry]]-TABLE1[[#This Row],[SL Price]]),4)</f>
        <v>-1.8567</v>
      </c>
      <c r="BB12"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-1.8567</v>
      </c>
      <c r="BC12"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-1.8567</v>
      </c>
      <c r="BD12"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-1.8567</v>
      </c>
      <c r="BE12"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-1.8567</v>
      </c>
      <c r="BF12"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-1.8567</v>
      </c>
      <c r="BG12"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-1.8567</v>
      </c>
      <c r="BH12"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-1.8567</v>
      </c>
      <c r="BI12"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-1.8567</v>
      </c>
      <c r="BJ12"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-1.8567</v>
      </c>
      <c r="BK12"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-1.8567</v>
      </c>
      <c r="BL12"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-1.8567</v>
      </c>
      <c r="BM12"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-1.8567</v>
      </c>
      <c r="BN12"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-1.8567</v>
      </c>
      <c r="BO12"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-1.8567</v>
      </c>
      <c r="BP12"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-1.8567</v>
      </c>
      <c r="BQ12"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-1.8567</v>
      </c>
      <c r="BR12"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-1.8567</v>
      </c>
      <c r="BS12"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-1.8567</v>
      </c>
      <c r="BT12"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-1.8567</v>
      </c>
      <c r="BU12"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-1.8567</v>
      </c>
      <c r="BV12"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-1.8567</v>
      </c>
      <c r="BW12"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-1.8567</v>
      </c>
      <c r="BX12"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-1.8567</v>
      </c>
      <c r="BY12"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-1.8567</v>
      </c>
      <c r="BZ12" s="24">
        <f>IF( TABLE1[[#This Row],[Wick Exit]]&lt;&gt; FALSE,TABLE1[[#This Row],[RRR Wick Exit]],IF(TABLE1[[#This Row],[Volume Exit]]&lt;&gt; FALSE,TABLE1[[#This Row],[RRR Volume Exit]],TABLE1[[#This Row],[RRR Realized]]))</f>
        <v>-1.8567</v>
      </c>
      <c r="CA12"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-1.8567</v>
      </c>
      <c r="CB12"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-1.8567</v>
      </c>
      <c r="CC12"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-1.8567</v>
      </c>
      <c r="CD12"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-1.8567</v>
      </c>
    </row>
    <row r="13" spans="1:82" x14ac:dyDescent="0.25">
      <c r="A13" t="s">
        <v>186</v>
      </c>
      <c r="B13">
        <v>12</v>
      </c>
      <c r="C13" s="2">
        <v>43467</v>
      </c>
      <c r="D13" s="1">
        <v>0.4236111111111111</v>
      </c>
      <c r="E13" s="1">
        <v>0.42499999999999999</v>
      </c>
      <c r="F13" s="5">
        <v>6.15</v>
      </c>
      <c r="G13" s="5">
        <v>-38.76</v>
      </c>
      <c r="H13">
        <v>600</v>
      </c>
      <c r="I13" t="s">
        <v>19</v>
      </c>
      <c r="J13" t="s">
        <v>22</v>
      </c>
      <c r="K13">
        <v>9.89</v>
      </c>
      <c r="L13">
        <v>9.8840000000000003</v>
      </c>
      <c r="M13">
        <v>9.86</v>
      </c>
      <c r="N13">
        <v>9.98</v>
      </c>
      <c r="O13">
        <v>9.82</v>
      </c>
      <c r="P13">
        <v>9.9</v>
      </c>
      <c r="Q13">
        <v>9.82</v>
      </c>
      <c r="R13">
        <v>9.9</v>
      </c>
      <c r="S13">
        <v>9.9</v>
      </c>
      <c r="T13" t="b">
        <v>0</v>
      </c>
      <c r="U13" t="b">
        <v>0</v>
      </c>
      <c r="V13" t="b">
        <v>0</v>
      </c>
      <c r="X13" t="b">
        <v>0</v>
      </c>
      <c r="AA13" t="b">
        <v>0</v>
      </c>
      <c r="AD13">
        <v>9.8699999999999992</v>
      </c>
      <c r="AE13" t="s">
        <v>25</v>
      </c>
      <c r="AF13" t="s">
        <v>32</v>
      </c>
      <c r="AG13" t="s">
        <v>39</v>
      </c>
      <c r="AH13">
        <v>30.91</v>
      </c>
      <c r="AI13" t="s">
        <v>431</v>
      </c>
      <c r="AJ13" t="s">
        <v>166</v>
      </c>
      <c r="AK13" s="26" t="s">
        <v>187</v>
      </c>
      <c r="AL13" s="22">
        <f>(TABLE1[[#This Row],[TP Price]]-TABLE1[[#This Row],[Intended Entry]])/(TABLE1[[#This Row],[Intended Entry]]-TABLE1[[#This Row],[SL Price]])</f>
        <v>2.9999999999998814</v>
      </c>
      <c r="AM13" s="5">
        <f>IF(TABLE1[[#This Row],[Buy/Sell]]="BUY",(TABLE1[[#This Row],[Highest Price]]-TABLE1[[#This Row],[Entry Price]])/(TABLE1[[#This Row],[Intended Entry]]-TABLE1[[#This Row],[SL Price]]),(TABLE1[[#This Row],[Entry Price]]-TABLE1[[#This Row],[Lowest Price]])/(TABLE1[[#This Row],[SL Price]]-TABLE1[[#This Row],[Intended Entry]]))</f>
        <v>0.53333333333331356</v>
      </c>
      <c r="AN13" s="21">
        <f>IF(TABLE1[[#This Row],[Buy/Sell]]="BUY",(TABLE1[[#This Row],[Entry Price]]-TABLE1[[#This Row],[Lowest Price]])/(TABLE1[[#This Row],[SL Price]]-TABLE1[[#This Row],[Intended Entry]]),(TABLE1[[#This Row],[Entry Price]]-TABLE1[[#This Row],[Highest Price]])/(TABLE1[[#This Row],[SL Price]]-TABLE1[[#This Row],[Intended Entry]]))</f>
        <v>-2.1333333333332543</v>
      </c>
      <c r="AO13" s="5" t="str">
        <f>IF(TABLE1[[#This Row],[Gain/Loss]]&lt;0, "LOSER", "WINNER")</f>
        <v>LOSER</v>
      </c>
      <c r="AP13" s="5">
        <f>TABLE1[[#This Row],[Gain/Loss]]-TABLE1[[#This Row],[Comissions]]</f>
        <v>-44.91</v>
      </c>
      <c r="AQ13" s="4">
        <f>TABLE1[[#This Row],[Exit Time]]-TABLE1[[#This Row],[Entry Time]]</f>
        <v>1.388888888888884E-3</v>
      </c>
      <c r="AR13" s="21" t="str">
        <f>IF(TABLE1[[#This Row],[Retest Price]]&lt;&gt;FALSE,ROUND((TABLE1[[#This Row],[Retest Price]]-TABLE1[[#This Row],[Entry Price]])/(TABLE1[[#This Row],[Intended Entry]]-TABLE1[[#This Row],[SL Price]]),4), "FALSE")</f>
        <v>FALSE</v>
      </c>
      <c r="AS13" s="5">
        <f>TABLE1[[#This Row],[Net Gain/Loss]]+AS12</f>
        <v>-10.38000000000001</v>
      </c>
      <c r="AT13" s="5">
        <f>IF(TABLE1[[#This Row],[Potential Price Before BE]]=FALSE,"FALSE",( TABLE1[[#This Row],[Potential Price Before BE]]-TABLE1[[#This Row],[Intended Entry]])/(TABLE1[[#This Row],[Intended Entry]]-TABLE1[[#This Row],[SL Price]]))</f>
        <v>0.33333333333331361</v>
      </c>
      <c r="AU13" s="5">
        <f>(IF(TABLE1[[#This Row],[Buy/Sell]]="BUY",(TABLE1[[#This Row],[Entry Price]]-TABLE1[[#This Row],[SL Price]])/(TABLE1[[#This Row],[Intended Entry]]-TABLE1[[#This Row],[SL Price]]),(TABLE1[[#This Row],[SL Price]]-TABLE1[[#This Row],[Entry Price]])/(TABLE1[[#This Row],[SL Price]]-TABLE1[[#This Row],[Intended Entry]])))-1</f>
        <v>-0.19999999999999996</v>
      </c>
      <c r="AV13"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1.3333333333332544</v>
      </c>
      <c r="AW13" s="21">
        <f>TABLE1[[#This Row],[Missed RRR on Entry]]+TABLE1[[#This Row],[Missed RRR on Exit]]</f>
        <v>1.1333333333332545</v>
      </c>
      <c r="AX13" s="21">
        <f>ROUND((TABLE1[[#This Row],[Potential Price]]-TABLE1[[#This Row],[Entry Price]])/(TABLE1[[#This Row],[Intended Entry]]-TABLE1[[#This Row],[SL Price]]),4)</f>
        <v>0.5333</v>
      </c>
      <c r="AY13" s="21">
        <f>ROUND((TABLE1[[#This Row],[Potential Price]]-TABLE1[[#This Row],[Intended Entry]])/(TABLE1[[#This Row],[Intended Entry]]-TABLE1[[#This Row],[SL Price]]),4)</f>
        <v>0.33329999999999999</v>
      </c>
      <c r="AZ13" s="21">
        <f>TABLE1[[#This Row],[RRR Potential]]-TABLE1[[#This Row],[RRR Realized]]</f>
        <v>2.6666000000000003</v>
      </c>
      <c r="BA13" s="29">
        <f>ROUND((TABLE1[[#This Row],[Exit Price]]-TABLE1[[#This Row],[Entry Price]])/(TABLE1[[#This Row],[Intended Entry]]-TABLE1[[#This Row],[SL Price]]),4)</f>
        <v>-2.1333000000000002</v>
      </c>
      <c r="BB13"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-2.1333000000000002</v>
      </c>
      <c r="BC13"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-2.1333000000000002</v>
      </c>
      <c r="BD13"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-2.1333000000000002</v>
      </c>
      <c r="BE13"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-2.1333000000000002</v>
      </c>
      <c r="BF13"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-2.1333000000000002</v>
      </c>
      <c r="BG13"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-2.1333000000000002</v>
      </c>
      <c r="BH13"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-2.1333000000000002</v>
      </c>
      <c r="BI13"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-2.1333000000000002</v>
      </c>
      <c r="BJ13"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-2.1333000000000002</v>
      </c>
      <c r="BK13"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-2.1333000000000002</v>
      </c>
      <c r="BL13"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-2.1333000000000002</v>
      </c>
      <c r="BM13"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-2.1333000000000002</v>
      </c>
      <c r="BN13"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-2.1333000000000002</v>
      </c>
      <c r="BO13"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-2.1333000000000002</v>
      </c>
      <c r="BP13"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-2.1333000000000002</v>
      </c>
      <c r="BQ13"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-2.1333000000000002</v>
      </c>
      <c r="BR13"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-2.1333000000000002</v>
      </c>
      <c r="BS13"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-2.1333000000000002</v>
      </c>
      <c r="BT13"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-2.1333000000000002</v>
      </c>
      <c r="BU13"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-2.1333000000000002</v>
      </c>
      <c r="BV13"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-2.1333000000000002</v>
      </c>
      <c r="BW13"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-2.1333000000000002</v>
      </c>
      <c r="BX13"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-2.1333000000000002</v>
      </c>
      <c r="BY13"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-2.1333000000000002</v>
      </c>
      <c r="BZ13" s="24">
        <f>IF( TABLE1[[#This Row],[Wick Exit]]&lt;&gt; FALSE,TABLE1[[#This Row],[RRR Wick Exit]],IF(TABLE1[[#This Row],[Volume Exit]]&lt;&gt; FALSE,TABLE1[[#This Row],[RRR Volume Exit]],TABLE1[[#This Row],[RRR Realized]]))</f>
        <v>-0.46666666666668638</v>
      </c>
      <c r="CA13"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-0.46666666666668638</v>
      </c>
      <c r="CB13"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-0.46666666666668638</v>
      </c>
      <c r="CC13"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-0.46666666666668638</v>
      </c>
      <c r="CD13"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-0.46666666666668638</v>
      </c>
    </row>
    <row r="14" spans="1:82" x14ac:dyDescent="0.25">
      <c r="A14" t="s">
        <v>183</v>
      </c>
      <c r="B14">
        <v>13</v>
      </c>
      <c r="C14" s="2">
        <v>43467</v>
      </c>
      <c r="D14" s="1">
        <v>0.42986111111111108</v>
      </c>
      <c r="E14" s="1">
        <v>0.43541666666666662</v>
      </c>
      <c r="F14" s="5">
        <v>4.0599999999999996</v>
      </c>
      <c r="G14" s="5">
        <v>-30.75</v>
      </c>
      <c r="H14">
        <v>400</v>
      </c>
      <c r="I14" t="s">
        <v>19</v>
      </c>
      <c r="J14" t="s">
        <v>23</v>
      </c>
      <c r="K14">
        <v>1.9</v>
      </c>
      <c r="L14">
        <v>1.92</v>
      </c>
      <c r="M14">
        <v>1.95</v>
      </c>
      <c r="N14">
        <v>1.75</v>
      </c>
      <c r="O14">
        <v>1.996</v>
      </c>
      <c r="P14">
        <v>2</v>
      </c>
      <c r="Q14">
        <v>1.9</v>
      </c>
      <c r="R14">
        <v>1.9</v>
      </c>
      <c r="S14">
        <v>1.9</v>
      </c>
      <c r="T14" t="b">
        <v>0</v>
      </c>
      <c r="U14" t="b">
        <v>0</v>
      </c>
      <c r="V14" t="b">
        <v>0</v>
      </c>
      <c r="W14" t="b">
        <v>1</v>
      </c>
      <c r="X14" t="b">
        <v>0</v>
      </c>
      <c r="AA14" t="b">
        <v>0</v>
      </c>
      <c r="AD14" t="b">
        <v>0</v>
      </c>
      <c r="AE14" t="s">
        <v>25</v>
      </c>
      <c r="AF14" t="s">
        <v>30</v>
      </c>
      <c r="AG14" t="s">
        <v>34</v>
      </c>
      <c r="AH14">
        <v>1.08</v>
      </c>
      <c r="AI14" t="s">
        <v>52</v>
      </c>
      <c r="AJ14" t="s">
        <v>163</v>
      </c>
      <c r="AK14" s="26" t="s">
        <v>184</v>
      </c>
      <c r="AL14" s="22">
        <f>(TABLE1[[#This Row],[TP Price]]-TABLE1[[#This Row],[Intended Entry]])/(TABLE1[[#This Row],[Intended Entry]]-TABLE1[[#This Row],[SL Price]])</f>
        <v>2.9999999999999956</v>
      </c>
      <c r="AM14" s="5">
        <f>IF(TABLE1[[#This Row],[Buy/Sell]]="BUY",(TABLE1[[#This Row],[Highest Price]]-TABLE1[[#This Row],[Entry Price]])/(TABLE1[[#This Row],[Intended Entry]]-TABLE1[[#This Row],[SL Price]]),(TABLE1[[#This Row],[Entry Price]]-TABLE1[[#This Row],[Lowest Price]])/(TABLE1[[#This Row],[SL Price]]-TABLE1[[#This Row],[Intended Entry]]))</f>
        <v>0.4</v>
      </c>
      <c r="AN14" s="21">
        <f>IF(TABLE1[[#This Row],[Buy/Sell]]="BUY",(TABLE1[[#This Row],[Entry Price]]-TABLE1[[#This Row],[Lowest Price]])/(TABLE1[[#This Row],[SL Price]]-TABLE1[[#This Row],[Intended Entry]]),(TABLE1[[#This Row],[Entry Price]]-TABLE1[[#This Row],[Highest Price]])/(TABLE1[[#This Row],[SL Price]]-TABLE1[[#This Row],[Intended Entry]]))</f>
        <v>-1.6</v>
      </c>
      <c r="AO14" s="5" t="str">
        <f>IF(TABLE1[[#This Row],[Gain/Loss]]&lt;0, "LOSER", "WINNER")</f>
        <v>LOSER</v>
      </c>
      <c r="AP14" s="5">
        <f>TABLE1[[#This Row],[Gain/Loss]]-TABLE1[[#This Row],[Comissions]]</f>
        <v>-34.81</v>
      </c>
      <c r="AQ14" s="4">
        <f>TABLE1[[#This Row],[Exit Time]]-TABLE1[[#This Row],[Entry Time]]</f>
        <v>5.5555555555555358E-3</v>
      </c>
      <c r="AR14" s="21" t="str">
        <f>IF(TABLE1[[#This Row],[Retest Price]]&lt;&gt;FALSE,ROUND((TABLE1[[#This Row],[Retest Price]]-TABLE1[[#This Row],[Entry Price]])/(TABLE1[[#This Row],[Intended Entry]]-TABLE1[[#This Row],[SL Price]]),4), "FALSE")</f>
        <v>FALSE</v>
      </c>
      <c r="AS14" s="5">
        <f>TABLE1[[#This Row],[Net Gain/Loss]]+AS13</f>
        <v>-45.190000000000012</v>
      </c>
      <c r="AT14" s="5">
        <f>IF(TABLE1[[#This Row],[Potential Price Before BE]]=FALSE,"FALSE",( TABLE1[[#This Row],[Potential Price Before BE]]-TABLE1[[#This Row],[Intended Entry]])/(TABLE1[[#This Row],[Intended Entry]]-TABLE1[[#This Row],[SL Price]]))</f>
        <v>0</v>
      </c>
      <c r="AU14" s="5">
        <f>(IF(TABLE1[[#This Row],[Buy/Sell]]="BUY",(TABLE1[[#This Row],[Entry Price]]-TABLE1[[#This Row],[SL Price]])/(TABLE1[[#This Row],[Intended Entry]]-TABLE1[[#This Row],[SL Price]]),(TABLE1[[#This Row],[SL Price]]-TABLE1[[#This Row],[Entry Price]])/(TABLE1[[#This Row],[SL Price]]-TABLE1[[#This Row],[Intended Entry]])))-1</f>
        <v>-0.4</v>
      </c>
      <c r="AV14"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1.5333333333333334</v>
      </c>
      <c r="AW14" s="21">
        <f>TABLE1[[#This Row],[Missed RRR on Entry]]+TABLE1[[#This Row],[Missed RRR on Exit]]</f>
        <v>1.1333333333333333</v>
      </c>
      <c r="AX14" s="21">
        <f>ROUND((TABLE1[[#This Row],[Potential Price]]-TABLE1[[#This Row],[Entry Price]])/(TABLE1[[#This Row],[Intended Entry]]-TABLE1[[#This Row],[SL Price]]),4)</f>
        <v>0.4</v>
      </c>
      <c r="AY14" s="21">
        <f>ROUND((TABLE1[[#This Row],[Potential Price]]-TABLE1[[#This Row],[Intended Entry]])/(TABLE1[[#This Row],[Intended Entry]]-TABLE1[[#This Row],[SL Price]]),4)</f>
        <v>0</v>
      </c>
      <c r="AZ14" s="21"/>
      <c r="BA14" s="29">
        <f>ROUND((TABLE1[[#This Row],[Exit Price]]-TABLE1[[#This Row],[Entry Price]])/(TABLE1[[#This Row],[Intended Entry]]-TABLE1[[#This Row],[SL Price]]),4)</f>
        <v>-1.52</v>
      </c>
      <c r="BB14"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-1.52</v>
      </c>
      <c r="BC14"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-1.52</v>
      </c>
      <c r="BD14"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-1.52</v>
      </c>
      <c r="BE14"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0.4</v>
      </c>
      <c r="BF14"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-1.52</v>
      </c>
      <c r="BG14"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-1.52</v>
      </c>
      <c r="BH14"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-1.52</v>
      </c>
      <c r="BI14"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0.4</v>
      </c>
      <c r="BJ14"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-1.52</v>
      </c>
      <c r="BK14"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-1.52</v>
      </c>
      <c r="BL14"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-1.52</v>
      </c>
      <c r="BM14"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-1.52</v>
      </c>
      <c r="BN14"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-1.52</v>
      </c>
      <c r="BO14"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-1.52</v>
      </c>
      <c r="BP14"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-1.52</v>
      </c>
      <c r="BQ14"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-1.52</v>
      </c>
      <c r="BR14"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-1.52</v>
      </c>
      <c r="BS14"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-1.52</v>
      </c>
      <c r="BT14"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-1.52</v>
      </c>
      <c r="BU14"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-1.52</v>
      </c>
      <c r="BV14"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-1.52</v>
      </c>
      <c r="BW14"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-1.52</v>
      </c>
      <c r="BX14"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-1.52</v>
      </c>
      <c r="BY14"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-1.52</v>
      </c>
      <c r="BZ14" s="24">
        <f>IF( TABLE1[[#This Row],[Wick Exit]]&lt;&gt; FALSE,TABLE1[[#This Row],[RRR Wick Exit]],IF(TABLE1[[#This Row],[Volume Exit]]&lt;&gt; FALSE,TABLE1[[#This Row],[RRR Volume Exit]],TABLE1[[#This Row],[RRR Realized]]))</f>
        <v>-1.52</v>
      </c>
      <c r="CA14"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-1.52</v>
      </c>
      <c r="CB14"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-1.52</v>
      </c>
      <c r="CC14"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-1.52</v>
      </c>
      <c r="CD14"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-1.52</v>
      </c>
    </row>
    <row r="15" spans="1:82" x14ac:dyDescent="0.25">
      <c r="A15" t="s">
        <v>181</v>
      </c>
      <c r="B15">
        <v>14</v>
      </c>
      <c r="C15" s="2">
        <v>43469</v>
      </c>
      <c r="D15" s="1">
        <v>0.4069444444444445</v>
      </c>
      <c r="E15" s="1">
        <v>0.41250000000000003</v>
      </c>
      <c r="F15" s="5">
        <v>4.0599999999999996</v>
      </c>
      <c r="G15" s="5">
        <v>-12.57</v>
      </c>
      <c r="H15">
        <v>400</v>
      </c>
      <c r="I15" t="s">
        <v>19</v>
      </c>
      <c r="J15" t="s">
        <v>22</v>
      </c>
      <c r="K15">
        <v>1.79</v>
      </c>
      <c r="L15">
        <v>1.7889999999999999</v>
      </c>
      <c r="M15" s="5">
        <v>1.74</v>
      </c>
      <c r="N15">
        <v>1.94</v>
      </c>
      <c r="O15">
        <v>1.7629999999999999</v>
      </c>
      <c r="P15">
        <v>1.87</v>
      </c>
      <c r="Q15">
        <v>1.7</v>
      </c>
      <c r="R15">
        <v>1.87</v>
      </c>
      <c r="S15">
        <v>1.87</v>
      </c>
      <c r="T15" t="b">
        <v>0</v>
      </c>
      <c r="U15">
        <v>1.7629999999999999</v>
      </c>
      <c r="V15" t="b">
        <v>0</v>
      </c>
      <c r="W15" t="b">
        <v>1</v>
      </c>
      <c r="X15" t="b">
        <v>0</v>
      </c>
      <c r="AA15" t="b">
        <v>0</v>
      </c>
      <c r="AD15" t="b">
        <v>0</v>
      </c>
      <c r="AE15" t="s">
        <v>25</v>
      </c>
      <c r="AF15" t="s">
        <v>32</v>
      </c>
      <c r="AG15" t="s">
        <v>37</v>
      </c>
      <c r="AH15">
        <v>3.42</v>
      </c>
      <c r="AI15" t="s">
        <v>433</v>
      </c>
      <c r="AJ15" t="s">
        <v>166</v>
      </c>
      <c r="AK15" s="26" t="s">
        <v>307</v>
      </c>
      <c r="AL15" s="22">
        <f>(TABLE1[[#This Row],[TP Price]]-TABLE1[[#This Row],[Intended Entry]])/(TABLE1[[#This Row],[Intended Entry]]-TABLE1[[#This Row],[SL Price]])</f>
        <v>2.9999999999999956</v>
      </c>
      <c r="AM15" s="5">
        <f>IF(TABLE1[[#This Row],[Buy/Sell]]="BUY",(TABLE1[[#This Row],[Highest Price]]-TABLE1[[#This Row],[Entry Price]])/(TABLE1[[#This Row],[Intended Entry]]-TABLE1[[#This Row],[SL Price]]),(TABLE1[[#This Row],[Entry Price]]-TABLE1[[#This Row],[Lowest Price]])/(TABLE1[[#This Row],[SL Price]]-TABLE1[[#This Row],[Intended Entry]]))</f>
        <v>1.6200000000000023</v>
      </c>
      <c r="AN15" s="21">
        <f>IF(TABLE1[[#This Row],[Buy/Sell]]="BUY",(TABLE1[[#This Row],[Entry Price]]-TABLE1[[#This Row],[Lowest Price]])/(TABLE1[[#This Row],[SL Price]]-TABLE1[[#This Row],[Intended Entry]]),(TABLE1[[#This Row],[Entry Price]]-TABLE1[[#This Row],[Highest Price]])/(TABLE1[[#This Row],[SL Price]]-TABLE1[[#This Row],[Intended Entry]]))</f>
        <v>-1.7799999999999978</v>
      </c>
      <c r="AO15" s="5" t="str">
        <f>IF(TABLE1[[#This Row],[Gain/Loss]]&lt;0, "LOSER", "WINNER")</f>
        <v>LOSER</v>
      </c>
      <c r="AP15" s="5">
        <f>TABLE1[[#This Row],[Gain/Loss]]-TABLE1[[#This Row],[Comissions]]</f>
        <v>-16.63</v>
      </c>
      <c r="AQ15" s="4">
        <f>TABLE1[[#This Row],[Exit Time]]-TABLE1[[#This Row],[Entry Time]]</f>
        <v>5.5555555555555358E-3</v>
      </c>
      <c r="AR15" s="21">
        <f>IF(TABLE1[[#This Row],[Retest Price]]&lt;&gt;FALSE,ROUND((TABLE1[[#This Row],[Retest Price]]-TABLE1[[#This Row],[Entry Price]])/(TABLE1[[#This Row],[Intended Entry]]-TABLE1[[#This Row],[SL Price]]),4), "FALSE")</f>
        <v>-0.52</v>
      </c>
      <c r="AS15" s="5">
        <f>TABLE1[[#This Row],[Net Gain/Loss]]+AS14</f>
        <v>-61.820000000000007</v>
      </c>
      <c r="AT15" s="5">
        <f>IF(TABLE1[[#This Row],[Potential Price Before BE]]=FALSE,"FALSE",( TABLE1[[#This Row],[Potential Price Before BE]]-TABLE1[[#This Row],[Intended Entry]])/(TABLE1[[#This Row],[Intended Entry]]-TABLE1[[#This Row],[SL Price]]))</f>
        <v>1.6</v>
      </c>
      <c r="AU15" s="5">
        <f>(IF(TABLE1[[#This Row],[Buy/Sell]]="BUY",(TABLE1[[#This Row],[Entry Price]]-TABLE1[[#This Row],[SL Price]])/(TABLE1[[#This Row],[Intended Entry]]-TABLE1[[#This Row],[SL Price]]),(TABLE1[[#This Row],[SL Price]]-TABLE1[[#This Row],[Entry Price]])/(TABLE1[[#This Row],[SL Price]]-TABLE1[[#This Row],[Intended Entry]])))-1</f>
        <v>-2.0000000000002238E-2</v>
      </c>
      <c r="AV15"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-0.4599999999999978</v>
      </c>
      <c r="AW15" s="21">
        <f>TABLE1[[#This Row],[Missed RRR on Entry]]+TABLE1[[#This Row],[Missed RRR on Exit]]</f>
        <v>-0.48000000000000004</v>
      </c>
      <c r="AX15" s="21">
        <f>ROUND((TABLE1[[#This Row],[Potential Price]]-TABLE1[[#This Row],[Entry Price]])/(TABLE1[[#This Row],[Intended Entry]]-TABLE1[[#This Row],[SL Price]]),4)</f>
        <v>1.62</v>
      </c>
      <c r="AY15" s="21">
        <f>ROUND((TABLE1[[#This Row],[Potential Price]]-TABLE1[[#This Row],[Intended Entry]])/(TABLE1[[#This Row],[Intended Entry]]-TABLE1[[#This Row],[SL Price]]),4)</f>
        <v>1.6</v>
      </c>
      <c r="AZ15" s="21">
        <f>TABLE1[[#This Row],[RRR Potential]]-TABLE1[[#This Row],[RRR Realized]]</f>
        <v>2.14</v>
      </c>
      <c r="BA15" s="29">
        <f>ROUND((TABLE1[[#This Row],[Exit Price]]-TABLE1[[#This Row],[Entry Price]])/(TABLE1[[#This Row],[Intended Entry]]-TABLE1[[#This Row],[SL Price]]),4)</f>
        <v>-0.52</v>
      </c>
      <c r="BB15"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-0.52</v>
      </c>
      <c r="BC15"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2.0000000000002238E-2</v>
      </c>
      <c r="BD15"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2.0000000000002238E-2</v>
      </c>
      <c r="BE15"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2.0000000000002238E-2</v>
      </c>
      <c r="BF15"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-0.52</v>
      </c>
      <c r="BG15"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-0.52</v>
      </c>
      <c r="BH15"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-0.52</v>
      </c>
      <c r="BI15"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2.0000000000002238E-2</v>
      </c>
      <c r="BJ15"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2.0000000000002238E-2</v>
      </c>
      <c r="BK15"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2.0000000000002238E-2</v>
      </c>
      <c r="BL15"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2.0000000000002238E-2</v>
      </c>
      <c r="BM15"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2.0000000000002238E-2</v>
      </c>
      <c r="BN15"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2.0000000000002238E-2</v>
      </c>
      <c r="BO15"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2.0000000000002238E-2</v>
      </c>
      <c r="BP15"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2.0000000000002238E-2</v>
      </c>
      <c r="BQ15"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-0.52</v>
      </c>
      <c r="BR15"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2.0000000000002238E-2</v>
      </c>
      <c r="BS15"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2.0000000000002238E-2</v>
      </c>
      <c r="BT15"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-0.52</v>
      </c>
      <c r="BU15"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2.0000000000002238E-2</v>
      </c>
      <c r="BV15"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2.0000000000002238E-2</v>
      </c>
      <c r="BW15"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-0.52</v>
      </c>
      <c r="BX15"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2.0000000000002238E-2</v>
      </c>
      <c r="BY15"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2.0000000000002238E-2</v>
      </c>
      <c r="BZ15" s="24">
        <f>IF( TABLE1[[#This Row],[Wick Exit]]&lt;&gt; FALSE,TABLE1[[#This Row],[RRR Wick Exit]],IF(TABLE1[[#This Row],[Volume Exit]]&lt;&gt; FALSE,TABLE1[[#This Row],[RRR Volume Exit]],TABLE1[[#This Row],[RRR Realized]]))</f>
        <v>-0.52</v>
      </c>
      <c r="CA15"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-0.52</v>
      </c>
      <c r="CB15"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-0.52</v>
      </c>
      <c r="CC15"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2.0000000000002238E-2</v>
      </c>
      <c r="CD15"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2.0000000000002238E-2</v>
      </c>
    </row>
    <row r="16" spans="1:82" x14ac:dyDescent="0.25">
      <c r="A16" t="s">
        <v>194</v>
      </c>
      <c r="B16">
        <v>15</v>
      </c>
      <c r="C16" s="2">
        <v>43469</v>
      </c>
      <c r="D16" s="1">
        <v>0.41666666666666669</v>
      </c>
      <c r="E16" s="1">
        <v>0.42638888888888887</v>
      </c>
      <c r="F16" s="5">
        <v>6.08</v>
      </c>
      <c r="G16" s="5">
        <v>-31.62</v>
      </c>
      <c r="H16">
        <v>600</v>
      </c>
      <c r="I16" t="s">
        <v>19</v>
      </c>
      <c r="J16" t="s">
        <v>22</v>
      </c>
      <c r="K16">
        <v>0.66930000000000001</v>
      </c>
      <c r="L16">
        <v>0.67500000000000004</v>
      </c>
      <c r="M16">
        <f>0.65</f>
        <v>0.65</v>
      </c>
      <c r="N16">
        <f>(0.6693-TABLE1[[#This Row],[SL Price]])*3+TABLE1[[#This Row],[Intended Entry]]</f>
        <v>0.72719999999999996</v>
      </c>
      <c r="O16">
        <v>0.62229999999999996</v>
      </c>
      <c r="P16">
        <v>0.7</v>
      </c>
      <c r="Q16">
        <v>0.622</v>
      </c>
      <c r="R16">
        <v>0.7</v>
      </c>
      <c r="S16">
        <v>0.7</v>
      </c>
      <c r="T16" t="b">
        <v>0</v>
      </c>
      <c r="U16" t="b">
        <v>0</v>
      </c>
      <c r="V16" t="b">
        <v>0</v>
      </c>
      <c r="X16">
        <v>0.67</v>
      </c>
      <c r="Y16" t="b">
        <v>0</v>
      </c>
      <c r="Z16">
        <v>1</v>
      </c>
      <c r="AA16">
        <v>0.66</v>
      </c>
      <c r="AB16" t="b">
        <v>0</v>
      </c>
      <c r="AC16">
        <v>1</v>
      </c>
      <c r="AD16">
        <v>0.67</v>
      </c>
      <c r="AE16" t="s">
        <v>26</v>
      </c>
      <c r="AF16" t="s">
        <v>31</v>
      </c>
      <c r="AG16" t="s">
        <v>34</v>
      </c>
      <c r="AH16">
        <v>15</v>
      </c>
      <c r="AI16" t="s">
        <v>431</v>
      </c>
      <c r="AJ16" t="s">
        <v>163</v>
      </c>
      <c r="AK16" s="26" t="s">
        <v>271</v>
      </c>
      <c r="AL16" s="22">
        <f>(TABLE1[[#This Row],[TP Price]]-TABLE1[[#This Row],[Intended Entry]])/(TABLE1[[#This Row],[Intended Entry]]-TABLE1[[#This Row],[SL Price]])</f>
        <v>3</v>
      </c>
      <c r="AM16" s="5">
        <f>IF(TABLE1[[#This Row],[Buy/Sell]]="BUY",(TABLE1[[#This Row],[Highest Price]]-TABLE1[[#This Row],[Entry Price]])/(TABLE1[[#This Row],[Intended Entry]]-TABLE1[[#This Row],[SL Price]]),(TABLE1[[#This Row],[Entry Price]]-TABLE1[[#This Row],[Lowest Price]])/(TABLE1[[#This Row],[SL Price]]-TABLE1[[#This Row],[Intended Entry]]))</f>
        <v>1.2953367875647632</v>
      </c>
      <c r="AN16" s="21">
        <f>IF(TABLE1[[#This Row],[Buy/Sell]]="BUY",(TABLE1[[#This Row],[Entry Price]]-TABLE1[[#This Row],[Lowest Price]])/(TABLE1[[#This Row],[SL Price]]-TABLE1[[#This Row],[Intended Entry]]),(TABLE1[[#This Row],[Entry Price]]-TABLE1[[#This Row],[Highest Price]])/(TABLE1[[#This Row],[SL Price]]-TABLE1[[#This Row],[Intended Entry]]))</f>
        <v>-2.7461139896373106</v>
      </c>
      <c r="AO16" s="5" t="str">
        <f>IF(TABLE1[[#This Row],[Gain/Loss]]&lt;0, "LOSER", "WINNER")</f>
        <v>LOSER</v>
      </c>
      <c r="AP16" s="5">
        <f>TABLE1[[#This Row],[Gain/Loss]]-TABLE1[[#This Row],[Comissions]]</f>
        <v>-37.700000000000003</v>
      </c>
      <c r="AQ16" s="4">
        <f>TABLE1[[#This Row],[Exit Time]]-TABLE1[[#This Row],[Entry Time]]</f>
        <v>9.7222222222221877E-3</v>
      </c>
      <c r="AR16" s="21" t="str">
        <f>IF(TABLE1[[#This Row],[Retest Price]]&lt;&gt;FALSE,ROUND((TABLE1[[#This Row],[Retest Price]]-TABLE1[[#This Row],[Entry Price]])/(TABLE1[[#This Row],[Intended Entry]]-TABLE1[[#This Row],[SL Price]]),4), "FALSE")</f>
        <v>FALSE</v>
      </c>
      <c r="AS16" s="5">
        <f>TABLE1[[#This Row],[Net Gain/Loss]]+AS15</f>
        <v>-99.52000000000001</v>
      </c>
      <c r="AT16" s="5">
        <f>IF(TABLE1[[#This Row],[Potential Price Before BE]]=FALSE,"FALSE",( TABLE1[[#This Row],[Potential Price Before BE]]-TABLE1[[#This Row],[Intended Entry]])/(TABLE1[[#This Row],[Intended Entry]]-TABLE1[[#This Row],[SL Price]]))</f>
        <v>1.5906735751295324</v>
      </c>
      <c r="AU16" s="5">
        <f>(IF(TABLE1[[#This Row],[Buy/Sell]]="BUY",(TABLE1[[#This Row],[Entry Price]]-TABLE1[[#This Row],[SL Price]])/(TABLE1[[#This Row],[Intended Entry]]-TABLE1[[#This Row],[SL Price]]),(TABLE1[[#This Row],[SL Price]]-TABLE1[[#This Row],[Entry Price]])/(TABLE1[[#This Row],[SL Price]]-TABLE1[[#This Row],[Intended Entry]])))-1</f>
        <v>0.295336787564769</v>
      </c>
      <c r="AV16"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1.4352331606217659</v>
      </c>
      <c r="AW16" s="21">
        <f>TABLE1[[#This Row],[Missed RRR on Entry]]+TABLE1[[#This Row],[Missed RRR on Exit]]</f>
        <v>1.7305699481865349</v>
      </c>
      <c r="AX16" s="21">
        <f>ROUND((TABLE1[[#This Row],[Potential Price]]-TABLE1[[#This Row],[Entry Price]])/(TABLE1[[#This Row],[Intended Entry]]-TABLE1[[#This Row],[SL Price]]),4)</f>
        <v>1.2952999999999999</v>
      </c>
      <c r="AY16" s="21">
        <f>ROUND((TABLE1[[#This Row],[Potential Price]]-TABLE1[[#This Row],[Intended Entry]])/(TABLE1[[#This Row],[Intended Entry]]-TABLE1[[#This Row],[SL Price]]),4)</f>
        <v>1.5907</v>
      </c>
      <c r="AZ16" s="21">
        <f>TABLE1[[#This Row],[RRR Potential]]-TABLE1[[#This Row],[RRR Realized]]</f>
        <v>4.0259</v>
      </c>
      <c r="BA16" s="29">
        <f>ROUND((TABLE1[[#This Row],[Exit Price]]-TABLE1[[#This Row],[Entry Price]])/(TABLE1[[#This Row],[Intended Entry]]-TABLE1[[#This Row],[SL Price]]),4)</f>
        <v>-2.7305999999999999</v>
      </c>
      <c r="BB16"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-2.7305999999999999</v>
      </c>
      <c r="BC16"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-0.295336787564769</v>
      </c>
      <c r="BD16"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-0.295336787564769</v>
      </c>
      <c r="BE16"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-2.7305999999999999</v>
      </c>
      <c r="BF16"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-2.7305999999999999</v>
      </c>
      <c r="BG16"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-2.7305999999999999</v>
      </c>
      <c r="BH16"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-2.7305999999999999</v>
      </c>
      <c r="BI16"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-0.295336787564769</v>
      </c>
      <c r="BJ16"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-0.295336787564769</v>
      </c>
      <c r="BK16"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-0.295336787564769</v>
      </c>
      <c r="BL16"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-0.295336787564769</v>
      </c>
      <c r="BM16"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-0.295336787564769</v>
      </c>
      <c r="BN16"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-0.295336787564769</v>
      </c>
      <c r="BO16"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-0.295336787564769</v>
      </c>
      <c r="BP16"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-0.295336787564769</v>
      </c>
      <c r="BQ16"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-2.7305999999999999</v>
      </c>
      <c r="BR16"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-0.295336787564769</v>
      </c>
      <c r="BS16"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-0.295336787564769</v>
      </c>
      <c r="BT16"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-0.25906735751295379</v>
      </c>
      <c r="BU16"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-0.295336787564769</v>
      </c>
      <c r="BV16"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-0.25906735751295379</v>
      </c>
      <c r="BW16"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-0.25906735751295379</v>
      </c>
      <c r="BX16"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-0.295336787564769</v>
      </c>
      <c r="BY16"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-0.25906735751295379</v>
      </c>
      <c r="BZ16" s="24">
        <f>IF( TABLE1[[#This Row],[Wick Exit]]&lt;&gt; FALSE,TABLE1[[#This Row],[RRR Wick Exit]],IF(TABLE1[[#This Row],[Volume Exit]]&lt;&gt; FALSE,TABLE1[[#This Row],[RRR Volume Exit]],TABLE1[[#This Row],[RRR Realized]]))</f>
        <v>-0.25906735751295379</v>
      </c>
      <c r="CA16"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-0.25906735751295379</v>
      </c>
      <c r="CB16"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-0.25906735751295379</v>
      </c>
      <c r="CC16"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-0.25906735751295379</v>
      </c>
      <c r="CD16"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-0.25906735751295379</v>
      </c>
    </row>
    <row r="17" spans="1:82" x14ac:dyDescent="0.25">
      <c r="A17" t="s">
        <v>181</v>
      </c>
      <c r="B17">
        <v>16</v>
      </c>
      <c r="C17" s="2">
        <v>43469</v>
      </c>
      <c r="D17" s="1">
        <v>0.4236111111111111</v>
      </c>
      <c r="E17" s="1">
        <v>0.4368055555555555</v>
      </c>
      <c r="F17" s="5">
        <v>5.07</v>
      </c>
      <c r="G17" s="5">
        <v>-43.45</v>
      </c>
      <c r="H17">
        <v>500</v>
      </c>
      <c r="I17" t="s">
        <v>19</v>
      </c>
      <c r="J17" t="s">
        <v>22</v>
      </c>
      <c r="K17">
        <v>1.83</v>
      </c>
      <c r="L17">
        <v>1.8369</v>
      </c>
      <c r="M17">
        <v>1.79</v>
      </c>
      <c r="N17">
        <f>1.83+0.04*3</f>
        <v>1.9500000000000002</v>
      </c>
      <c r="O17">
        <v>1.75</v>
      </c>
      <c r="P17">
        <v>1.9</v>
      </c>
      <c r="Q17">
        <v>1.75</v>
      </c>
      <c r="R17">
        <v>1.9</v>
      </c>
      <c r="S17">
        <v>1.9</v>
      </c>
      <c r="T17">
        <v>1.84</v>
      </c>
      <c r="U17" t="b">
        <v>0</v>
      </c>
      <c r="V17" t="b">
        <v>0</v>
      </c>
      <c r="X17" t="b">
        <v>0</v>
      </c>
      <c r="AA17" t="b">
        <v>0</v>
      </c>
      <c r="AD17" t="b">
        <v>0</v>
      </c>
      <c r="AE17" t="s">
        <v>26</v>
      </c>
      <c r="AF17" t="s">
        <v>29</v>
      </c>
      <c r="AG17" t="s">
        <v>37</v>
      </c>
      <c r="AH17">
        <v>3.42</v>
      </c>
      <c r="AI17" t="s">
        <v>431</v>
      </c>
      <c r="AJ17" t="s">
        <v>166</v>
      </c>
      <c r="AK17" s="26" t="s">
        <v>307</v>
      </c>
      <c r="AL17" s="22">
        <f>(TABLE1[[#This Row],[TP Price]]-TABLE1[[#This Row],[Intended Entry]])/(TABLE1[[#This Row],[Intended Entry]]-TABLE1[[#This Row],[SL Price]])</f>
        <v>3</v>
      </c>
      <c r="AM17" s="5">
        <f>IF(TABLE1[[#This Row],[Buy/Sell]]="BUY",(TABLE1[[#This Row],[Highest Price]]-TABLE1[[#This Row],[Entry Price]])/(TABLE1[[#This Row],[Intended Entry]]-TABLE1[[#This Row],[SL Price]]),(TABLE1[[#This Row],[Entry Price]]-TABLE1[[#This Row],[Lowest Price]])/(TABLE1[[#This Row],[SL Price]]-TABLE1[[#This Row],[Intended Entry]]))</f>
        <v>1.577499999999997</v>
      </c>
      <c r="AN17" s="21">
        <f>IF(TABLE1[[#This Row],[Buy/Sell]]="BUY",(TABLE1[[#This Row],[Entry Price]]-TABLE1[[#This Row],[Lowest Price]])/(TABLE1[[#This Row],[SL Price]]-TABLE1[[#This Row],[Intended Entry]]),(TABLE1[[#This Row],[Entry Price]]-TABLE1[[#This Row],[Highest Price]])/(TABLE1[[#This Row],[SL Price]]-TABLE1[[#This Row],[Intended Entry]]))</f>
        <v>-2.1724999999999977</v>
      </c>
      <c r="AO17" s="5" t="str">
        <f>IF(TABLE1[[#This Row],[Gain/Loss]]&lt;0, "LOSER", "WINNER")</f>
        <v>LOSER</v>
      </c>
      <c r="AP17" s="5">
        <f>TABLE1[[#This Row],[Gain/Loss]]-TABLE1[[#This Row],[Comissions]]</f>
        <v>-48.52</v>
      </c>
      <c r="AQ17" s="4">
        <f>TABLE1[[#This Row],[Exit Time]]-TABLE1[[#This Row],[Entry Time]]</f>
        <v>1.3194444444444398E-2</v>
      </c>
      <c r="AR17" s="21" t="str">
        <f>IF(TABLE1[[#This Row],[Retest Price]]&lt;&gt;FALSE,ROUND((TABLE1[[#This Row],[Retest Price]]-TABLE1[[#This Row],[Entry Price]])/(TABLE1[[#This Row],[Intended Entry]]-TABLE1[[#This Row],[SL Price]]),4), "FALSE")</f>
        <v>FALSE</v>
      </c>
      <c r="AS17" s="5">
        <f>TABLE1[[#This Row],[Net Gain/Loss]]+AS16</f>
        <v>-148.04000000000002</v>
      </c>
      <c r="AT17" s="5">
        <f>IF(TABLE1[[#This Row],[Potential Price Before BE]]=FALSE,"FALSE",( TABLE1[[#This Row],[Potential Price Before BE]]-TABLE1[[#This Row],[Intended Entry]])/(TABLE1[[#This Row],[Intended Entry]]-TABLE1[[#This Row],[SL Price]]))</f>
        <v>1.7499999999999944</v>
      </c>
      <c r="AU17" s="5">
        <f>(IF(TABLE1[[#This Row],[Buy/Sell]]="BUY",(TABLE1[[#This Row],[Entry Price]]-TABLE1[[#This Row],[SL Price]])/(TABLE1[[#This Row],[Intended Entry]]-TABLE1[[#This Row],[SL Price]]),(TABLE1[[#This Row],[SL Price]]-TABLE1[[#This Row],[Entry Price]])/(TABLE1[[#This Row],[SL Price]]-TABLE1[[#This Row],[Intended Entry]])))-1</f>
        <v>0.17249999999999743</v>
      </c>
      <c r="AV17"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v>
      </c>
      <c r="AW17" s="21">
        <f>TABLE1[[#This Row],[Missed RRR on Entry]]+TABLE1[[#This Row],[Missed RRR on Exit]]</f>
        <v>1.1724999999999974</v>
      </c>
      <c r="AX17" s="21">
        <f>ROUND((TABLE1[[#This Row],[Potential Price]]-TABLE1[[#This Row],[Entry Price]])/(TABLE1[[#This Row],[Intended Entry]]-TABLE1[[#This Row],[SL Price]]),4)</f>
        <v>1.5774999999999999</v>
      </c>
      <c r="AY17" s="21">
        <f>ROUND((TABLE1[[#This Row],[Potential Price]]-TABLE1[[#This Row],[Intended Entry]])/(TABLE1[[#This Row],[Intended Entry]]-TABLE1[[#This Row],[SL Price]]),4)</f>
        <v>1.75</v>
      </c>
      <c r="AZ17" s="21">
        <f>TABLE1[[#This Row],[RRR Potential]]-TABLE1[[#This Row],[RRR Realized]]</f>
        <v>3.75</v>
      </c>
      <c r="BA17" s="29">
        <f>ROUND((TABLE1[[#This Row],[Exit Price]]-TABLE1[[#This Row],[Entry Price]])/(TABLE1[[#This Row],[Intended Entry]]-TABLE1[[#This Row],[SL Price]]),4)</f>
        <v>-2.1724999999999999</v>
      </c>
      <c r="BB17"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-2.1724999999999999</v>
      </c>
      <c r="BC17"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-0.17249999999999743</v>
      </c>
      <c r="BD17"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-0.17249999999999743</v>
      </c>
      <c r="BE17"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-2.1724999999999999</v>
      </c>
      <c r="BF17"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-2.1724999999999999</v>
      </c>
      <c r="BG17"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-2.1724999999999999</v>
      </c>
      <c r="BH17"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-2.1724999999999999</v>
      </c>
      <c r="BI17"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-0.17249999999999743</v>
      </c>
      <c r="BJ17"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-0.17249999999999743</v>
      </c>
      <c r="BK17"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-0.17249999999999743</v>
      </c>
      <c r="BL17"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-0.17249999999999743</v>
      </c>
      <c r="BM17"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-0.17249999999999743</v>
      </c>
      <c r="BN17"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-0.17249999999999743</v>
      </c>
      <c r="BO17"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-0.17249999999999743</v>
      </c>
      <c r="BP17"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-0.17249999999999743</v>
      </c>
      <c r="BQ17"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7.7500000000002497E-2</v>
      </c>
      <c r="BR17"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7.7500000000002497E-2</v>
      </c>
      <c r="BS17"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7.7500000000002497E-2</v>
      </c>
      <c r="BT17"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-2.1724999999999999</v>
      </c>
      <c r="BU17"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-0.17249999999999743</v>
      </c>
      <c r="BV17"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-0.17249999999999743</v>
      </c>
      <c r="BW17"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-2.1724999999999999</v>
      </c>
      <c r="BX17"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-0.17249999999999743</v>
      </c>
      <c r="BY17"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-0.17249999999999743</v>
      </c>
      <c r="BZ17" s="24">
        <f>IF( TABLE1[[#This Row],[Wick Exit]]&lt;&gt; FALSE,TABLE1[[#This Row],[RRR Wick Exit]],IF(TABLE1[[#This Row],[Volume Exit]]&lt;&gt; FALSE,TABLE1[[#This Row],[RRR Volume Exit]],TABLE1[[#This Row],[RRR Realized]]))</f>
        <v>-2.1724999999999999</v>
      </c>
      <c r="CA17"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-2.1724999999999999</v>
      </c>
      <c r="CB17"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-2.1724999999999999</v>
      </c>
      <c r="CC17"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-0.17249999999999743</v>
      </c>
      <c r="CD17"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-0.17249999999999743</v>
      </c>
    </row>
    <row r="18" spans="1:82" x14ac:dyDescent="0.25">
      <c r="A18" t="s">
        <v>205</v>
      </c>
      <c r="B18">
        <v>17</v>
      </c>
      <c r="C18" s="2">
        <v>43472</v>
      </c>
      <c r="D18" s="1">
        <v>0.40833333333333338</v>
      </c>
      <c r="E18" s="1">
        <v>0.40902777777777777</v>
      </c>
      <c r="F18" s="5">
        <v>2.02</v>
      </c>
      <c r="G18" s="5">
        <v>-23.7</v>
      </c>
      <c r="H18">
        <v>100</v>
      </c>
      <c r="I18" t="s">
        <v>19</v>
      </c>
      <c r="J18" t="s">
        <v>23</v>
      </c>
      <c r="K18">
        <v>6.07</v>
      </c>
      <c r="L18">
        <v>6.05</v>
      </c>
      <c r="M18">
        <v>6.17</v>
      </c>
      <c r="N18">
        <v>5.77</v>
      </c>
      <c r="O18">
        <v>6.266</v>
      </c>
      <c r="P18">
        <v>6.27</v>
      </c>
      <c r="Q18">
        <v>6.05</v>
      </c>
      <c r="R18">
        <v>6.05</v>
      </c>
      <c r="S18">
        <v>6.05</v>
      </c>
      <c r="T18" t="b">
        <v>0</v>
      </c>
      <c r="U18" t="b">
        <v>0</v>
      </c>
      <c r="V18" t="b">
        <v>0</v>
      </c>
      <c r="X18" t="b">
        <v>0</v>
      </c>
      <c r="AA18" t="b">
        <v>0</v>
      </c>
      <c r="AD18" t="b">
        <v>0</v>
      </c>
      <c r="AE18" t="s">
        <v>25</v>
      </c>
      <c r="AF18" t="s">
        <v>32</v>
      </c>
      <c r="AG18" t="s">
        <v>34</v>
      </c>
      <c r="AH18">
        <v>24.22</v>
      </c>
      <c r="AI18" t="s">
        <v>52</v>
      </c>
      <c r="AJ18" t="s">
        <v>163</v>
      </c>
      <c r="AK18" s="26" t="s">
        <v>206</v>
      </c>
      <c r="AL18" s="22">
        <f>(TABLE1[[#This Row],[TP Price]]-TABLE1[[#This Row],[Intended Entry]])/(TABLE1[[#This Row],[Intended Entry]]-TABLE1[[#This Row],[SL Price]])</f>
        <v>3.0000000000000178</v>
      </c>
      <c r="AM18" s="5">
        <f>IF(TABLE1[[#This Row],[Buy/Sell]]="BUY",(TABLE1[[#This Row],[Highest Price]]-TABLE1[[#This Row],[Entry Price]])/(TABLE1[[#This Row],[Intended Entry]]-TABLE1[[#This Row],[SL Price]]),(TABLE1[[#This Row],[Entry Price]]-TABLE1[[#This Row],[Lowest Price]])/(TABLE1[[#This Row],[SL Price]]-TABLE1[[#This Row],[Intended Entry]]))</f>
        <v>0</v>
      </c>
      <c r="AN18" s="21">
        <f>IF(TABLE1[[#This Row],[Buy/Sell]]="BUY",(TABLE1[[#This Row],[Entry Price]]-TABLE1[[#This Row],[Lowest Price]])/(TABLE1[[#This Row],[SL Price]]-TABLE1[[#This Row],[Intended Entry]]),(TABLE1[[#This Row],[Entry Price]]-TABLE1[[#This Row],[Highest Price]])/(TABLE1[[#This Row],[SL Price]]-TABLE1[[#This Row],[Intended Entry]]))</f>
        <v>-2.2000000000000055</v>
      </c>
      <c r="AO18" s="5" t="str">
        <f>IF(TABLE1[[#This Row],[Gain/Loss]]&lt;0, "LOSER", "WINNER")</f>
        <v>LOSER</v>
      </c>
      <c r="AP18" s="5">
        <f>TABLE1[[#This Row],[Gain/Loss]]-TABLE1[[#This Row],[Comissions]]</f>
        <v>-25.72</v>
      </c>
      <c r="AQ18" s="4">
        <f>TABLE1[[#This Row],[Exit Time]]-TABLE1[[#This Row],[Entry Time]]</f>
        <v>6.9444444444438647E-4</v>
      </c>
      <c r="AR18" s="21" t="str">
        <f>IF(TABLE1[[#This Row],[Retest Price]]&lt;&gt;FALSE,ROUND((TABLE1[[#This Row],[Retest Price]]-TABLE1[[#This Row],[Entry Price]])/(TABLE1[[#This Row],[Intended Entry]]-TABLE1[[#This Row],[SL Price]]),4), "FALSE")</f>
        <v>FALSE</v>
      </c>
      <c r="AS18" s="5">
        <f>TABLE1[[#This Row],[Net Gain/Loss]]+AS17</f>
        <v>-173.76000000000002</v>
      </c>
      <c r="AT18" s="5">
        <f>IF(TABLE1[[#This Row],[Potential Price Before BE]]=FALSE,"FALSE",( TABLE1[[#This Row],[Potential Price Before BE]]-TABLE1[[#This Row],[Intended Entry]])/(TABLE1[[#This Row],[Intended Entry]]-TABLE1[[#This Row],[SL Price]]))</f>
        <v>0.20000000000000534</v>
      </c>
      <c r="AU18" s="5">
        <f>(IF(TABLE1[[#This Row],[Buy/Sell]]="BUY",(TABLE1[[#This Row],[Entry Price]]-TABLE1[[#This Row],[SL Price]])/(TABLE1[[#This Row],[Intended Entry]]-TABLE1[[#This Row],[SL Price]]),(TABLE1[[#This Row],[SL Price]]-TABLE1[[#This Row],[Entry Price]])/(TABLE1[[#This Row],[SL Price]]-TABLE1[[#This Row],[Intended Entry]])))-1</f>
        <v>0.20000000000000528</v>
      </c>
      <c r="AV18"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0.8</v>
      </c>
      <c r="AW18" s="21">
        <f>TABLE1[[#This Row],[Missed RRR on Entry]]+TABLE1[[#This Row],[Missed RRR on Exit]]</f>
        <v>1.0000000000000053</v>
      </c>
      <c r="AX18" s="21">
        <f>ROUND((TABLE1[[#This Row],[Potential Price]]-TABLE1[[#This Row],[Entry Price]])/(TABLE1[[#This Row],[Intended Entry]]-TABLE1[[#This Row],[SL Price]]),4)</f>
        <v>0</v>
      </c>
      <c r="AY18" s="21">
        <f>ROUND((TABLE1[[#This Row],[Potential Price]]-TABLE1[[#This Row],[Intended Entry]])/(TABLE1[[#This Row],[Intended Entry]]-TABLE1[[#This Row],[SL Price]]),4)</f>
        <v>0.2</v>
      </c>
      <c r="AZ18" s="21"/>
      <c r="BA18" s="29">
        <f>ROUND((TABLE1[[#This Row],[Exit Price]]-TABLE1[[#This Row],[Entry Price]])/(TABLE1[[#This Row],[Intended Entry]]-TABLE1[[#This Row],[SL Price]]),4)</f>
        <v>-2.16</v>
      </c>
      <c r="BB18"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-2.16</v>
      </c>
      <c r="BC18"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-2.16</v>
      </c>
      <c r="BD18"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-2.16</v>
      </c>
      <c r="BE18"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-2.16</v>
      </c>
      <c r="BF18"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-2.16</v>
      </c>
      <c r="BG18"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-2.16</v>
      </c>
      <c r="BH18"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-2.16</v>
      </c>
      <c r="BI18"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-2.16</v>
      </c>
      <c r="BJ18"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-2.16</v>
      </c>
      <c r="BK18"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-2.16</v>
      </c>
      <c r="BL18"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-2.16</v>
      </c>
      <c r="BM18"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-2.16</v>
      </c>
      <c r="BN18"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-2.16</v>
      </c>
      <c r="BO18"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-2.16</v>
      </c>
      <c r="BP18"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-2.16</v>
      </c>
      <c r="BQ18"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-2.16</v>
      </c>
      <c r="BR18"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-2.16</v>
      </c>
      <c r="BS18"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-2.16</v>
      </c>
      <c r="BT18"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-2.16</v>
      </c>
      <c r="BU18"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-2.16</v>
      </c>
      <c r="BV18"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-2.16</v>
      </c>
      <c r="BW18"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-2.16</v>
      </c>
      <c r="BX18"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-2.16</v>
      </c>
      <c r="BY18"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-2.16</v>
      </c>
      <c r="BZ18" s="24">
        <f>IF( TABLE1[[#This Row],[Wick Exit]]&lt;&gt; FALSE,TABLE1[[#This Row],[RRR Wick Exit]],IF(TABLE1[[#This Row],[Volume Exit]]&lt;&gt; FALSE,TABLE1[[#This Row],[RRR Volume Exit]],TABLE1[[#This Row],[RRR Realized]]))</f>
        <v>-2.16</v>
      </c>
      <c r="CA18"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-2.16</v>
      </c>
      <c r="CB18"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-2.16</v>
      </c>
      <c r="CC18"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-2.16</v>
      </c>
      <c r="CD18"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-2.16</v>
      </c>
    </row>
    <row r="19" spans="1:82" x14ac:dyDescent="0.25">
      <c r="A19" t="s">
        <v>207</v>
      </c>
      <c r="B19">
        <v>18</v>
      </c>
      <c r="C19" s="2">
        <v>43472</v>
      </c>
      <c r="D19" s="1">
        <v>0.41319444444444442</v>
      </c>
      <c r="E19" s="1">
        <v>0.41388888888888892</v>
      </c>
      <c r="F19" s="5">
        <v>3.04</v>
      </c>
      <c r="G19" s="5">
        <v>-20.11</v>
      </c>
      <c r="H19">
        <v>300</v>
      </c>
      <c r="I19" t="s">
        <v>19</v>
      </c>
      <c r="J19" t="s">
        <v>23</v>
      </c>
      <c r="K19">
        <v>1.1599999999999999</v>
      </c>
      <c r="L19">
        <v>1.1599999999999999</v>
      </c>
      <c r="M19">
        <v>1.19</v>
      </c>
      <c r="N19">
        <v>1.07</v>
      </c>
      <c r="O19">
        <v>1.21</v>
      </c>
      <c r="P19">
        <v>1.22</v>
      </c>
      <c r="Q19">
        <v>1.1599999999999999</v>
      </c>
      <c r="R19">
        <v>1.1599999999999999</v>
      </c>
      <c r="S19">
        <v>1.1599999999999999</v>
      </c>
      <c r="T19" t="b">
        <v>0</v>
      </c>
      <c r="U19" t="b">
        <v>0</v>
      </c>
      <c r="V19" t="b">
        <v>0</v>
      </c>
      <c r="X19" t="b">
        <v>0</v>
      </c>
      <c r="AA19" t="b">
        <v>0</v>
      </c>
      <c r="AD19" t="b">
        <v>0</v>
      </c>
      <c r="AE19" t="s">
        <v>25</v>
      </c>
      <c r="AF19" t="s">
        <v>32</v>
      </c>
      <c r="AG19" t="s">
        <v>34</v>
      </c>
      <c r="AH19">
        <v>5.65</v>
      </c>
      <c r="AI19" t="s">
        <v>52</v>
      </c>
      <c r="AJ19" t="s">
        <v>163</v>
      </c>
      <c r="AK19" s="26" t="s">
        <v>208</v>
      </c>
      <c r="AL19" s="22">
        <f>(TABLE1[[#This Row],[TP Price]]-TABLE1[[#This Row],[Intended Entry]])/(TABLE1[[#This Row],[Intended Entry]]-TABLE1[[#This Row],[SL Price]])</f>
        <v>2.9999999999999925</v>
      </c>
      <c r="AM19" s="5">
        <f>IF(TABLE1[[#This Row],[Buy/Sell]]="BUY",(TABLE1[[#This Row],[Highest Price]]-TABLE1[[#This Row],[Entry Price]])/(TABLE1[[#This Row],[Intended Entry]]-TABLE1[[#This Row],[SL Price]]),(TABLE1[[#This Row],[Entry Price]]-TABLE1[[#This Row],[Lowest Price]])/(TABLE1[[#This Row],[SL Price]]-TABLE1[[#This Row],[Intended Entry]]))</f>
        <v>0</v>
      </c>
      <c r="AN19" s="21">
        <f>IF(TABLE1[[#This Row],[Buy/Sell]]="BUY",(TABLE1[[#This Row],[Entry Price]]-TABLE1[[#This Row],[Lowest Price]])/(TABLE1[[#This Row],[SL Price]]-TABLE1[[#This Row],[Intended Entry]]),(TABLE1[[#This Row],[Entry Price]]-TABLE1[[#This Row],[Highest Price]])/(TABLE1[[#This Row],[SL Price]]-TABLE1[[#This Row],[Intended Entry]]))</f>
        <v>-2</v>
      </c>
      <c r="AO19" s="5" t="str">
        <f>IF(TABLE1[[#This Row],[Gain/Loss]]&lt;0, "LOSER", "WINNER")</f>
        <v>LOSER</v>
      </c>
      <c r="AP19" s="5">
        <f>TABLE1[[#This Row],[Gain/Loss]]-TABLE1[[#This Row],[Comissions]]</f>
        <v>-23.15</v>
      </c>
      <c r="AQ19" s="4">
        <f>TABLE1[[#This Row],[Exit Time]]-TABLE1[[#This Row],[Entry Time]]</f>
        <v>6.9444444444449749E-4</v>
      </c>
      <c r="AR19" s="21" t="str">
        <f>IF(TABLE1[[#This Row],[Retest Price]]&lt;&gt;FALSE,ROUND((TABLE1[[#This Row],[Retest Price]]-TABLE1[[#This Row],[Entry Price]])/(TABLE1[[#This Row],[Intended Entry]]-TABLE1[[#This Row],[SL Price]]),4), "FALSE")</f>
        <v>FALSE</v>
      </c>
      <c r="AS19" s="5">
        <f>TABLE1[[#This Row],[Net Gain/Loss]]+AS18</f>
        <v>-196.91000000000003</v>
      </c>
      <c r="AT19" s="5">
        <f>IF(TABLE1[[#This Row],[Potential Price Before BE]]=FALSE,"FALSE",( TABLE1[[#This Row],[Potential Price Before BE]]-TABLE1[[#This Row],[Intended Entry]])/(TABLE1[[#This Row],[Intended Entry]]-TABLE1[[#This Row],[SL Price]]))</f>
        <v>0</v>
      </c>
      <c r="AU19" s="5">
        <f>(IF(TABLE1[[#This Row],[Buy/Sell]]="BUY",(TABLE1[[#This Row],[Entry Price]]-TABLE1[[#This Row],[SL Price]])/(TABLE1[[#This Row],[Intended Entry]]-TABLE1[[#This Row],[SL Price]]),(TABLE1[[#This Row],[SL Price]]-TABLE1[[#This Row],[Entry Price]])/(TABLE1[[#This Row],[SL Price]]-TABLE1[[#This Row],[Intended Entry]])))-1</f>
        <v>0</v>
      </c>
      <c r="AV19"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0.66666666666666663</v>
      </c>
      <c r="AW19" s="21">
        <f>TABLE1[[#This Row],[Missed RRR on Entry]]+TABLE1[[#This Row],[Missed RRR on Exit]]</f>
        <v>0.66666666666666663</v>
      </c>
      <c r="AX19" s="21">
        <f>ROUND((TABLE1[[#This Row],[Potential Price]]-TABLE1[[#This Row],[Entry Price]])/(TABLE1[[#This Row],[Intended Entry]]-TABLE1[[#This Row],[SL Price]]),4)</f>
        <v>0</v>
      </c>
      <c r="AY19" s="21">
        <f>ROUND((TABLE1[[#This Row],[Potential Price]]-TABLE1[[#This Row],[Intended Entry]])/(TABLE1[[#This Row],[Intended Entry]]-TABLE1[[#This Row],[SL Price]]),4)</f>
        <v>0</v>
      </c>
      <c r="AZ19" s="21"/>
      <c r="BA19" s="29">
        <f>ROUND((TABLE1[[#This Row],[Exit Price]]-TABLE1[[#This Row],[Entry Price]])/(TABLE1[[#This Row],[Intended Entry]]-TABLE1[[#This Row],[SL Price]]),4)</f>
        <v>-1.6667000000000001</v>
      </c>
      <c r="BB19"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-1.6667000000000001</v>
      </c>
      <c r="BC19"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-1.6667000000000001</v>
      </c>
      <c r="BD19"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-1.6667000000000001</v>
      </c>
      <c r="BE19"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-1.6667000000000001</v>
      </c>
      <c r="BF19"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-1.6667000000000001</v>
      </c>
      <c r="BG19"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-1.6667000000000001</v>
      </c>
      <c r="BH19"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-1.6667000000000001</v>
      </c>
      <c r="BI19"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-1.6667000000000001</v>
      </c>
      <c r="BJ19"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-1.6667000000000001</v>
      </c>
      <c r="BK19"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-1.6667000000000001</v>
      </c>
      <c r="BL19"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-1.6667000000000001</v>
      </c>
      <c r="BM19"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-1.6667000000000001</v>
      </c>
      <c r="BN19"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-1.6667000000000001</v>
      </c>
      <c r="BO19"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-1.6667000000000001</v>
      </c>
      <c r="BP19"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-1.6667000000000001</v>
      </c>
      <c r="BQ19"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-1.6667000000000001</v>
      </c>
      <c r="BR19"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-1.6667000000000001</v>
      </c>
      <c r="BS19"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-1.6667000000000001</v>
      </c>
      <c r="BT19"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-1.6667000000000001</v>
      </c>
      <c r="BU19"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-1.6667000000000001</v>
      </c>
      <c r="BV19"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-1.6667000000000001</v>
      </c>
      <c r="BW19"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-1.6667000000000001</v>
      </c>
      <c r="BX19"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-1.6667000000000001</v>
      </c>
      <c r="BY19"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-1.6667000000000001</v>
      </c>
      <c r="BZ19" s="24">
        <f>IF( TABLE1[[#This Row],[Wick Exit]]&lt;&gt; FALSE,TABLE1[[#This Row],[RRR Wick Exit]],IF(TABLE1[[#This Row],[Volume Exit]]&lt;&gt; FALSE,TABLE1[[#This Row],[RRR Volume Exit]],TABLE1[[#This Row],[RRR Realized]]))</f>
        <v>-1.6667000000000001</v>
      </c>
      <c r="CA19"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-1.6667000000000001</v>
      </c>
      <c r="CB19"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-1.6667000000000001</v>
      </c>
      <c r="CC19"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-1.6667000000000001</v>
      </c>
      <c r="CD19"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-1.6667000000000001</v>
      </c>
    </row>
    <row r="20" spans="1:82" x14ac:dyDescent="0.25">
      <c r="A20" t="s">
        <v>205</v>
      </c>
      <c r="B20">
        <v>19</v>
      </c>
      <c r="C20" s="2">
        <v>43472</v>
      </c>
      <c r="D20" s="1">
        <v>0.41111111111111115</v>
      </c>
      <c r="E20" s="1">
        <v>0.43611111111111112</v>
      </c>
      <c r="F20" s="5">
        <v>2.0099999999999998</v>
      </c>
      <c r="G20" s="5">
        <v>-9.1999999999999993</v>
      </c>
      <c r="H20">
        <v>50</v>
      </c>
      <c r="I20" t="s">
        <v>19</v>
      </c>
      <c r="J20" t="s">
        <v>23</v>
      </c>
      <c r="K20">
        <v>6.05</v>
      </c>
      <c r="L20">
        <v>6.05</v>
      </c>
      <c r="M20">
        <f>6.05+0.17</f>
        <v>6.22</v>
      </c>
      <c r="N20">
        <v>5.56</v>
      </c>
      <c r="O20">
        <v>6.19</v>
      </c>
      <c r="P20">
        <v>6.3</v>
      </c>
      <c r="Q20">
        <v>5.76</v>
      </c>
      <c r="R20">
        <v>5.76</v>
      </c>
      <c r="S20">
        <v>5.76</v>
      </c>
      <c r="T20" t="b">
        <v>0</v>
      </c>
      <c r="U20" t="b">
        <v>0</v>
      </c>
      <c r="V20" t="b">
        <v>0</v>
      </c>
      <c r="W20" t="b">
        <v>1</v>
      </c>
      <c r="X20">
        <v>6.05</v>
      </c>
      <c r="Y20" t="b">
        <v>0</v>
      </c>
      <c r="Z20">
        <v>1.5</v>
      </c>
      <c r="AA20" t="b">
        <v>0</v>
      </c>
      <c r="AD20" t="b">
        <v>0</v>
      </c>
      <c r="AE20" t="s">
        <v>25</v>
      </c>
      <c r="AF20" t="s">
        <v>31</v>
      </c>
      <c r="AG20" t="s">
        <v>34</v>
      </c>
      <c r="AH20">
        <v>24.22</v>
      </c>
      <c r="AI20" t="s">
        <v>52</v>
      </c>
      <c r="AJ20" t="s">
        <v>163</v>
      </c>
      <c r="AK20" s="26" t="s">
        <v>206</v>
      </c>
      <c r="AL20" s="22">
        <f>(TABLE1[[#This Row],[TP Price]]-TABLE1[[#This Row],[Intended Entry]])/(TABLE1[[#This Row],[Intended Entry]]-TABLE1[[#This Row],[SL Price]])</f>
        <v>2.8823529411764732</v>
      </c>
      <c r="AM20" s="5">
        <f>IF(TABLE1[[#This Row],[Buy/Sell]]="BUY",(TABLE1[[#This Row],[Highest Price]]-TABLE1[[#This Row],[Entry Price]])/(TABLE1[[#This Row],[Intended Entry]]-TABLE1[[#This Row],[SL Price]]),(TABLE1[[#This Row],[Entry Price]]-TABLE1[[#This Row],[Lowest Price]])/(TABLE1[[#This Row],[SL Price]]-TABLE1[[#This Row],[Intended Entry]]))</f>
        <v>1.7058823529411773</v>
      </c>
      <c r="AN20" s="21">
        <f>IF(TABLE1[[#This Row],[Buy/Sell]]="BUY",(TABLE1[[#This Row],[Entry Price]]-TABLE1[[#This Row],[Lowest Price]])/(TABLE1[[#This Row],[SL Price]]-TABLE1[[#This Row],[Intended Entry]]),(TABLE1[[#This Row],[Entry Price]]-TABLE1[[#This Row],[Highest Price]])/(TABLE1[[#This Row],[SL Price]]-TABLE1[[#This Row],[Intended Entry]]))</f>
        <v>-1.4705882352941182</v>
      </c>
      <c r="AO20" s="5" t="str">
        <f>IF(TABLE1[[#This Row],[Gain/Loss]]&lt;0, "LOSER", "WINNER")</f>
        <v>LOSER</v>
      </c>
      <c r="AP20" s="5">
        <f>TABLE1[[#This Row],[Gain/Loss]]-TABLE1[[#This Row],[Comissions]]</f>
        <v>-11.209999999999999</v>
      </c>
      <c r="AQ20" s="4">
        <f>TABLE1[[#This Row],[Exit Time]]-TABLE1[[#This Row],[Entry Time]]</f>
        <v>2.4999999999999967E-2</v>
      </c>
      <c r="AR20" s="21" t="str">
        <f>IF(TABLE1[[#This Row],[Retest Price]]&lt;&gt;FALSE,ROUND((TABLE1[[#This Row],[Retest Price]]-TABLE1[[#This Row],[Entry Price]])/(TABLE1[[#This Row],[Intended Entry]]-TABLE1[[#This Row],[SL Price]]),4), "FALSE")</f>
        <v>FALSE</v>
      </c>
      <c r="AS20" s="5">
        <f>TABLE1[[#This Row],[Net Gain/Loss]]+AS19</f>
        <v>-208.12000000000003</v>
      </c>
      <c r="AT20" s="5">
        <f>IF(TABLE1[[#This Row],[Potential Price Before BE]]=FALSE,"FALSE",( TABLE1[[#This Row],[Potential Price Before BE]]-TABLE1[[#This Row],[Intended Entry]])/(TABLE1[[#This Row],[Intended Entry]]-TABLE1[[#This Row],[SL Price]]))</f>
        <v>1.7058823529411773</v>
      </c>
      <c r="AU20" s="5">
        <f>(IF(TABLE1[[#This Row],[Buy/Sell]]="BUY",(TABLE1[[#This Row],[Entry Price]]-TABLE1[[#This Row],[SL Price]])/(TABLE1[[#This Row],[Intended Entry]]-TABLE1[[#This Row],[SL Price]]),(TABLE1[[#This Row],[SL Price]]-TABLE1[[#This Row],[Entry Price]])/(TABLE1[[#This Row],[SL Price]]-TABLE1[[#This Row],[Intended Entry]])))-1</f>
        <v>0</v>
      </c>
      <c r="AV20"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-0.17647058823529044</v>
      </c>
      <c r="AW20" s="21">
        <f>TABLE1[[#This Row],[Missed RRR on Entry]]+TABLE1[[#This Row],[Missed RRR on Exit]]</f>
        <v>-0.17647058823529044</v>
      </c>
      <c r="AX20" s="21">
        <f>ROUND((TABLE1[[#This Row],[Potential Price]]-TABLE1[[#This Row],[Entry Price]])/(TABLE1[[#This Row],[Intended Entry]]-TABLE1[[#This Row],[SL Price]]),4)</f>
        <v>1.7059</v>
      </c>
      <c r="AY20" s="21">
        <f>ROUND((TABLE1[[#This Row],[Potential Price]]-TABLE1[[#This Row],[Intended Entry]])/(TABLE1[[#This Row],[Intended Entry]]-TABLE1[[#This Row],[SL Price]]),4)</f>
        <v>1.7059</v>
      </c>
      <c r="AZ20" s="21"/>
      <c r="BA20" s="29">
        <f>ROUND((TABLE1[[#This Row],[Exit Price]]-TABLE1[[#This Row],[Entry Price]])/(TABLE1[[#This Row],[Intended Entry]]-TABLE1[[#This Row],[SL Price]]),4)</f>
        <v>-0.82350000000000001</v>
      </c>
      <c r="BB20"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-0.82350000000000001</v>
      </c>
      <c r="BC20"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D20"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E20"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v>
      </c>
      <c r="BF20"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-0.82350000000000001</v>
      </c>
      <c r="BG20"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-0.82350000000000001</v>
      </c>
      <c r="BH20"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-0.82350000000000001</v>
      </c>
      <c r="BI20"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J20"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K20"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L20"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M20"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N20"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O20"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P20"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Q20"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-0.82350000000000001</v>
      </c>
      <c r="BR20"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S20"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T20"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v>
      </c>
      <c r="BU20"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V20"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W20"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-35.588235294117659</v>
      </c>
      <c r="BX20"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v>
      </c>
      <c r="BY20"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v>
      </c>
      <c r="BZ20" s="24">
        <f>IF( TABLE1[[#This Row],[Wick Exit]]&lt;&gt; FALSE,TABLE1[[#This Row],[RRR Wick Exit]],IF(TABLE1[[#This Row],[Volume Exit]]&lt;&gt; FALSE,TABLE1[[#This Row],[RRR Volume Exit]],TABLE1[[#This Row],[RRR Realized]]))</f>
        <v>-35.588235294117659</v>
      </c>
      <c r="CA20"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-0.82350000000000001</v>
      </c>
      <c r="CB20"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-0.82350000000000001</v>
      </c>
      <c r="CC20"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CD20"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row>
    <row r="21" spans="1:82" x14ac:dyDescent="0.25">
      <c r="A21" t="s">
        <v>209</v>
      </c>
      <c r="B21">
        <v>20</v>
      </c>
      <c r="C21" s="2">
        <v>43473</v>
      </c>
      <c r="D21" s="1">
        <v>0.4152777777777778</v>
      </c>
      <c r="E21" s="1">
        <v>0.41944444444444445</v>
      </c>
      <c r="F21" s="5">
        <v>2.0099999999999998</v>
      </c>
      <c r="G21" s="5">
        <v>-18.260000000000002</v>
      </c>
      <c r="H21">
        <v>50</v>
      </c>
      <c r="I21" t="s">
        <v>19</v>
      </c>
      <c r="J21" t="s">
        <v>23</v>
      </c>
      <c r="K21">
        <v>5.38</v>
      </c>
      <c r="L21">
        <v>5.23</v>
      </c>
      <c r="M21">
        <v>5.56</v>
      </c>
      <c r="N21">
        <v>4.78</v>
      </c>
      <c r="O21">
        <v>5.55</v>
      </c>
      <c r="P21">
        <v>5.55</v>
      </c>
      <c r="Q21">
        <v>5.21</v>
      </c>
      <c r="R21">
        <v>5.21</v>
      </c>
      <c r="S21">
        <v>5.21</v>
      </c>
      <c r="T21" t="b">
        <v>0</v>
      </c>
      <c r="U21">
        <v>5.55</v>
      </c>
      <c r="V21" t="b">
        <v>0</v>
      </c>
      <c r="X21" t="b">
        <v>0</v>
      </c>
      <c r="AA21" t="b">
        <v>0</v>
      </c>
      <c r="AD21" t="b">
        <v>0</v>
      </c>
      <c r="AE21" t="s">
        <v>25</v>
      </c>
      <c r="AF21" t="s">
        <v>32</v>
      </c>
      <c r="AG21" t="s">
        <v>35</v>
      </c>
      <c r="AH21">
        <v>58.41</v>
      </c>
      <c r="AI21" t="s">
        <v>52</v>
      </c>
      <c r="AJ21" t="s">
        <v>166</v>
      </c>
      <c r="AK21" s="26" t="s">
        <v>211</v>
      </c>
      <c r="AL21" s="22">
        <f>(TABLE1[[#This Row],[TP Price]]-TABLE1[[#This Row],[Intended Entry]])/(TABLE1[[#This Row],[Intended Entry]]-TABLE1[[#This Row],[SL Price]])</f>
        <v>3.3333333333333366</v>
      </c>
      <c r="AM21" s="5">
        <f>IF(TABLE1[[#This Row],[Buy/Sell]]="BUY",(TABLE1[[#This Row],[Highest Price]]-TABLE1[[#This Row],[Entry Price]])/(TABLE1[[#This Row],[Intended Entry]]-TABLE1[[#This Row],[SL Price]]),(TABLE1[[#This Row],[Entry Price]]-TABLE1[[#This Row],[Lowest Price]])/(TABLE1[[#This Row],[SL Price]]-TABLE1[[#This Row],[Intended Entry]]))</f>
        <v>0.11111111111111385</v>
      </c>
      <c r="AN21" s="21">
        <f>IF(TABLE1[[#This Row],[Buy/Sell]]="BUY",(TABLE1[[#This Row],[Entry Price]]-TABLE1[[#This Row],[Lowest Price]])/(TABLE1[[#This Row],[SL Price]]-TABLE1[[#This Row],[Intended Entry]]),(TABLE1[[#This Row],[Entry Price]]-TABLE1[[#This Row],[Highest Price]])/(TABLE1[[#This Row],[SL Price]]-TABLE1[[#This Row],[Intended Entry]]))</f>
        <v>-1.7777777777777772</v>
      </c>
      <c r="AO21" s="5" t="str">
        <f>IF(TABLE1[[#This Row],[Gain/Loss]]&lt;0, "LOSER", "WINNER")</f>
        <v>LOSER</v>
      </c>
      <c r="AP21" s="5">
        <f>TABLE1[[#This Row],[Gain/Loss]]-TABLE1[[#This Row],[Comissions]]</f>
        <v>-20.270000000000003</v>
      </c>
      <c r="AQ21" s="4">
        <f>TABLE1[[#This Row],[Exit Time]]-TABLE1[[#This Row],[Entry Time]]</f>
        <v>4.1666666666666519E-3</v>
      </c>
      <c r="AR21" s="21">
        <f>IF(TABLE1[[#This Row],[Retest Price]]&lt;&gt;FALSE,ROUND((TABLE1[[#This Row],[Retest Price]]-TABLE1[[#This Row],[Entry Price]])/(TABLE1[[#This Row],[Intended Entry]]-TABLE1[[#This Row],[SL Price]]),4), "FALSE")</f>
        <v>-1.7778</v>
      </c>
      <c r="AS21" s="5">
        <f>TABLE1[[#This Row],[Net Gain/Loss]]+AS20</f>
        <v>-228.39000000000004</v>
      </c>
      <c r="AT21" s="5">
        <f>IF(TABLE1[[#This Row],[Potential Price Before BE]]=FALSE,"FALSE",( TABLE1[[#This Row],[Potential Price Before BE]]-TABLE1[[#This Row],[Intended Entry]])/(TABLE1[[#This Row],[Intended Entry]]-TABLE1[[#This Row],[SL Price]]))</f>
        <v>0.94444444444444553</v>
      </c>
      <c r="AU21" s="5">
        <f>(IF(TABLE1[[#This Row],[Buy/Sell]]="BUY",(TABLE1[[#This Row],[Entry Price]]-TABLE1[[#This Row],[SL Price]])/(TABLE1[[#This Row],[Intended Entry]]-TABLE1[[#This Row],[SL Price]]),(TABLE1[[#This Row],[SL Price]]-TABLE1[[#This Row],[Entry Price]])/(TABLE1[[#This Row],[SL Price]]-TABLE1[[#This Row],[Intended Entry]])))-1</f>
        <v>0.83333333333333171</v>
      </c>
      <c r="AV21"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-3.0303030303029731E-2</v>
      </c>
      <c r="AW21" s="21">
        <f>TABLE1[[#This Row],[Missed RRR on Entry]]+TABLE1[[#This Row],[Missed RRR on Exit]]</f>
        <v>0.80303030303030198</v>
      </c>
      <c r="AX21" s="21">
        <f>ROUND((TABLE1[[#This Row],[Potential Price]]-TABLE1[[#This Row],[Entry Price]])/(TABLE1[[#This Row],[Intended Entry]]-TABLE1[[#This Row],[SL Price]]),4)</f>
        <v>0.1111</v>
      </c>
      <c r="AY21" s="21">
        <f>ROUND((TABLE1[[#This Row],[Potential Price]]-TABLE1[[#This Row],[Intended Entry]])/(TABLE1[[#This Row],[Intended Entry]]-TABLE1[[#This Row],[SL Price]]),4)</f>
        <v>0.94440000000000002</v>
      </c>
      <c r="AZ21" s="21"/>
      <c r="BA21" s="29">
        <f>ROUND((TABLE1[[#This Row],[Exit Price]]-TABLE1[[#This Row],[Entry Price]])/(TABLE1[[#This Row],[Intended Entry]]-TABLE1[[#This Row],[SL Price]]),4)</f>
        <v>-1.7778</v>
      </c>
      <c r="BB21"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-1.7778</v>
      </c>
      <c r="BC21"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-1.7778</v>
      </c>
      <c r="BD21"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-1.7778</v>
      </c>
      <c r="BE21"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-1.7778</v>
      </c>
      <c r="BF21"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-1.7778</v>
      </c>
      <c r="BG21"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-1.7778</v>
      </c>
      <c r="BH21"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-1.7778</v>
      </c>
      <c r="BI21"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-1.7778</v>
      </c>
      <c r="BJ21"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-1.7778</v>
      </c>
      <c r="BK21"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-1.7778</v>
      </c>
      <c r="BL21"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-1.7778</v>
      </c>
      <c r="BM21"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-1.7778</v>
      </c>
      <c r="BN21"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-1.7778</v>
      </c>
      <c r="BO21"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-1.7778</v>
      </c>
      <c r="BP21"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-1.7778</v>
      </c>
      <c r="BQ21"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-1.7778</v>
      </c>
      <c r="BR21"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-1.7778</v>
      </c>
      <c r="BS21"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-1.7778</v>
      </c>
      <c r="BT21"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-1.7778</v>
      </c>
      <c r="BU21"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-1.7778</v>
      </c>
      <c r="BV21"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-1.7778</v>
      </c>
      <c r="BW21"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-1.7778</v>
      </c>
      <c r="BX21"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-1.7778</v>
      </c>
      <c r="BY21"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-1.7778</v>
      </c>
      <c r="BZ21" s="24">
        <f>IF( TABLE1[[#This Row],[Wick Exit]]&lt;&gt; FALSE,TABLE1[[#This Row],[RRR Wick Exit]],IF(TABLE1[[#This Row],[Volume Exit]]&lt;&gt; FALSE,TABLE1[[#This Row],[RRR Volume Exit]],TABLE1[[#This Row],[RRR Realized]]))</f>
        <v>-1.7778</v>
      </c>
      <c r="CA21"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-1.7778</v>
      </c>
      <c r="CB21"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-1.7778</v>
      </c>
      <c r="CC21"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-1.7778</v>
      </c>
      <c r="CD21"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-1.7778</v>
      </c>
    </row>
    <row r="22" spans="1:82" x14ac:dyDescent="0.25">
      <c r="A22" t="s">
        <v>210</v>
      </c>
      <c r="B22">
        <v>21</v>
      </c>
      <c r="C22" s="2">
        <v>43473</v>
      </c>
      <c r="D22" s="1">
        <v>0.45902777777777781</v>
      </c>
      <c r="E22" s="1">
        <v>0.48194444444444445</v>
      </c>
      <c r="F22" s="5">
        <v>2.0139999999999998</v>
      </c>
      <c r="G22" s="5">
        <v>-10.85</v>
      </c>
      <c r="H22">
        <v>100</v>
      </c>
      <c r="I22" t="s">
        <v>262</v>
      </c>
      <c r="J22" t="s">
        <v>22</v>
      </c>
      <c r="K22">
        <v>2.14</v>
      </c>
      <c r="L22">
        <v>2.1379999999999999</v>
      </c>
      <c r="M22">
        <v>2.04</v>
      </c>
      <c r="N22">
        <v>2.44</v>
      </c>
      <c r="O22">
        <v>2.0499999999999998</v>
      </c>
      <c r="P22">
        <v>2.38</v>
      </c>
      <c r="Q22">
        <v>2.0499999999999998</v>
      </c>
      <c r="R22">
        <v>2.38</v>
      </c>
      <c r="S22">
        <v>2.38</v>
      </c>
      <c r="T22">
        <v>2.2400000000000002</v>
      </c>
      <c r="U22">
        <v>2.0499999999999998</v>
      </c>
      <c r="V22" t="b">
        <v>0</v>
      </c>
      <c r="X22">
        <v>2.2200000000000002</v>
      </c>
      <c r="Y22" t="b">
        <v>0</v>
      </c>
      <c r="Z22" t="b">
        <v>0</v>
      </c>
      <c r="AA22">
        <v>2.5</v>
      </c>
      <c r="AB22" t="b">
        <v>0</v>
      </c>
      <c r="AC22">
        <v>1.5</v>
      </c>
      <c r="AD22" t="b">
        <v>0</v>
      </c>
      <c r="AE22" t="s">
        <v>26</v>
      </c>
      <c r="AF22" t="s">
        <v>29</v>
      </c>
      <c r="AG22" t="s">
        <v>34</v>
      </c>
      <c r="AH22">
        <v>1.49</v>
      </c>
      <c r="AI22" t="s">
        <v>431</v>
      </c>
      <c r="AJ22" t="s">
        <v>163</v>
      </c>
      <c r="AK22" s="26" t="s">
        <v>212</v>
      </c>
      <c r="AL22" s="22">
        <f>(TABLE1[[#This Row],[TP Price]]-TABLE1[[#This Row],[Intended Entry]])/(TABLE1[[#This Row],[Intended Entry]]-TABLE1[[#This Row],[SL Price]])</f>
        <v>2.9999999999999956</v>
      </c>
      <c r="AM22" s="5">
        <f>IF(TABLE1[[#This Row],[Buy/Sell]]="BUY",(TABLE1[[#This Row],[Highest Price]]-TABLE1[[#This Row],[Entry Price]])/(TABLE1[[#This Row],[Intended Entry]]-TABLE1[[#This Row],[SL Price]]),(TABLE1[[#This Row],[Entry Price]]-TABLE1[[#This Row],[Lowest Price]])/(TABLE1[[#This Row],[SL Price]]-TABLE1[[#This Row],[Intended Entry]]))</f>
        <v>2.4199999999999977</v>
      </c>
      <c r="AN22" s="21">
        <f>IF(TABLE1[[#This Row],[Buy/Sell]]="BUY",(TABLE1[[#This Row],[Entry Price]]-TABLE1[[#This Row],[Lowest Price]])/(TABLE1[[#This Row],[SL Price]]-TABLE1[[#This Row],[Intended Entry]]),(TABLE1[[#This Row],[Entry Price]]-TABLE1[[#This Row],[Highest Price]])/(TABLE1[[#This Row],[SL Price]]-TABLE1[[#This Row],[Intended Entry]]))</f>
        <v>-0.88</v>
      </c>
      <c r="AO22" s="5" t="str">
        <f>IF(TABLE1[[#This Row],[Gain/Loss]]&lt;0, "LOSER", "WINNER")</f>
        <v>LOSER</v>
      </c>
      <c r="AP22" s="5">
        <f>TABLE1[[#This Row],[Gain/Loss]]-TABLE1[[#This Row],[Comissions]]</f>
        <v>-12.863999999999999</v>
      </c>
      <c r="AQ22" s="4">
        <f>TABLE1[[#This Row],[Exit Time]]-TABLE1[[#This Row],[Entry Time]]</f>
        <v>2.2916666666666641E-2</v>
      </c>
      <c r="AR22" s="21">
        <f>IF(TABLE1[[#This Row],[Retest Price]]&lt;&gt;FALSE,ROUND((TABLE1[[#This Row],[Retest Price]]-TABLE1[[#This Row],[Entry Price]])/(TABLE1[[#This Row],[Intended Entry]]-TABLE1[[#This Row],[SL Price]]),4), "FALSE")</f>
        <v>-0.88</v>
      </c>
      <c r="AS22" s="5">
        <f>TABLE1[[#This Row],[Net Gain/Loss]]+AS21</f>
        <v>-241.25400000000005</v>
      </c>
      <c r="AT22" s="5">
        <f>IF(TABLE1[[#This Row],[Potential Price Before BE]]=FALSE,"FALSE",( TABLE1[[#This Row],[Potential Price Before BE]]-TABLE1[[#This Row],[Intended Entry]])/(TABLE1[[#This Row],[Intended Entry]]-TABLE1[[#This Row],[SL Price]]))</f>
        <v>2.3999999999999955</v>
      </c>
      <c r="AU22" s="5">
        <f>(IF(TABLE1[[#This Row],[Buy/Sell]]="BUY",(TABLE1[[#This Row],[Entry Price]]-TABLE1[[#This Row],[SL Price]])/(TABLE1[[#This Row],[Intended Entry]]-TABLE1[[#This Row],[SL Price]]),(TABLE1[[#This Row],[SL Price]]-TABLE1[[#This Row],[Entry Price]])/(TABLE1[[#This Row],[SL Price]]-TABLE1[[#This Row],[Intended Entry]])))-1</f>
        <v>-2.0000000000002238E-2</v>
      </c>
      <c r="AV22"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-9.9999999999997785E-2</v>
      </c>
      <c r="AW22" s="21">
        <f>TABLE1[[#This Row],[Missed RRR on Entry]]+TABLE1[[#This Row],[Missed RRR on Exit]]</f>
        <v>-0.12000000000000002</v>
      </c>
      <c r="AX22" s="21">
        <f>ROUND((TABLE1[[#This Row],[Potential Price]]-TABLE1[[#This Row],[Entry Price]])/(TABLE1[[#This Row],[Intended Entry]]-TABLE1[[#This Row],[SL Price]]),4)</f>
        <v>2.42</v>
      </c>
      <c r="AY22" s="21">
        <f>ROUND((TABLE1[[#This Row],[Potential Price]]-TABLE1[[#This Row],[Intended Entry]])/(TABLE1[[#This Row],[Intended Entry]]-TABLE1[[#This Row],[SL Price]]),4)</f>
        <v>2.4</v>
      </c>
      <c r="AZ22" s="21">
        <f>TABLE1[[#This Row],[RRR Potential]]-TABLE1[[#This Row],[RRR Realized]]</f>
        <v>3.3</v>
      </c>
      <c r="BA22" s="29">
        <f>ROUND((TABLE1[[#This Row],[Exit Price]]-TABLE1[[#This Row],[Entry Price]])/(TABLE1[[#This Row],[Intended Entry]]-TABLE1[[#This Row],[SL Price]]),4)</f>
        <v>-0.88</v>
      </c>
      <c r="BB22"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-0.88</v>
      </c>
      <c r="BC22"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2.0000000000002238E-2</v>
      </c>
      <c r="BD22"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2.0000000000002238E-2</v>
      </c>
      <c r="BE22"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-0.88</v>
      </c>
      <c r="BF22"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-0.88</v>
      </c>
      <c r="BG22"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-0.88</v>
      </c>
      <c r="BH22"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-0.88</v>
      </c>
      <c r="BI22"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2.0000000000002238E-2</v>
      </c>
      <c r="BJ22"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2.0000000000002238E-2</v>
      </c>
      <c r="BK22"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2.0000000000002238E-2</v>
      </c>
      <c r="BL22"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2.0000000000002238E-2</v>
      </c>
      <c r="BM22"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2.0000000000002238E-2</v>
      </c>
      <c r="BN22"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2.0000000000002238E-2</v>
      </c>
      <c r="BO22"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2.0000000000002238E-2</v>
      </c>
      <c r="BP22"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2.0000000000002238E-2</v>
      </c>
      <c r="BQ22"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1.0200000000000022</v>
      </c>
      <c r="BR22"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1.0200000000000022</v>
      </c>
      <c r="BS22"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1.0200000000000022</v>
      </c>
      <c r="BT22"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0.82000000000000217</v>
      </c>
      <c r="BU22"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0.82000000000000217</v>
      </c>
      <c r="BV22"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0.82000000000000217</v>
      </c>
      <c r="BW22"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0.82000000000000217</v>
      </c>
      <c r="BX22"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0.82000000000000217</v>
      </c>
      <c r="BY22"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0.82000000000000217</v>
      </c>
      <c r="BZ22" s="24">
        <f>IF( TABLE1[[#This Row],[Wick Exit]]&lt;&gt; FALSE,TABLE1[[#This Row],[RRR Wick Exit]],IF(TABLE1[[#This Row],[Volume Exit]]&lt;&gt; FALSE,TABLE1[[#This Row],[RRR Volume Exit]],TABLE1[[#This Row],[RRR Realized]]))</f>
        <v>0.82000000000000217</v>
      </c>
      <c r="CA22"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-0.88</v>
      </c>
      <c r="CB22"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-0.88</v>
      </c>
      <c r="CC22"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2.0000000000002238E-2</v>
      </c>
      <c r="CD22"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2.0000000000002238E-2</v>
      </c>
    </row>
    <row r="23" spans="1:82" x14ac:dyDescent="0.25">
      <c r="A23" t="s">
        <v>171</v>
      </c>
      <c r="B23">
        <v>22</v>
      </c>
      <c r="C23" s="2">
        <v>43475</v>
      </c>
      <c r="D23" s="1">
        <v>0.40625</v>
      </c>
      <c r="E23" s="1">
        <v>0.4152777777777778</v>
      </c>
      <c r="F23" s="5">
        <v>2.02</v>
      </c>
      <c r="G23" s="5">
        <v>46.98</v>
      </c>
      <c r="H23">
        <v>100</v>
      </c>
      <c r="I23" t="s">
        <v>19</v>
      </c>
      <c r="J23" t="s">
        <v>22</v>
      </c>
      <c r="K23">
        <v>4.59</v>
      </c>
      <c r="L23">
        <v>4.6100000000000003</v>
      </c>
      <c r="M23">
        <v>4.415</v>
      </c>
      <c r="N23">
        <v>5.0999999999999996</v>
      </c>
      <c r="O23">
        <v>5.0999999999999996</v>
      </c>
      <c r="P23">
        <v>5.0999999999999996</v>
      </c>
      <c r="Q23">
        <v>4.3</v>
      </c>
      <c r="R23">
        <v>4.68</v>
      </c>
      <c r="S23">
        <v>5.35</v>
      </c>
      <c r="T23" t="b">
        <v>0</v>
      </c>
      <c r="U23">
        <v>4.29</v>
      </c>
      <c r="V23" t="b">
        <v>1</v>
      </c>
      <c r="W23" t="b">
        <v>1</v>
      </c>
      <c r="X23">
        <v>5.0999999999999996</v>
      </c>
      <c r="Y23">
        <v>4</v>
      </c>
      <c r="AA23">
        <v>4.9000000000000004</v>
      </c>
      <c r="AB23">
        <v>4</v>
      </c>
      <c r="AD23" t="b">
        <v>0</v>
      </c>
      <c r="AE23" t="s">
        <v>25</v>
      </c>
      <c r="AF23" t="s">
        <v>29</v>
      </c>
      <c r="AG23" t="s">
        <v>35</v>
      </c>
      <c r="AH23">
        <v>4.55</v>
      </c>
      <c r="AI23" t="s">
        <v>434</v>
      </c>
      <c r="AJ23" t="s">
        <v>163</v>
      </c>
      <c r="AK23" s="26" t="s">
        <v>213</v>
      </c>
      <c r="AL23" s="22">
        <f>(TABLE1[[#This Row],[TP Price]]-TABLE1[[#This Row],[Intended Entry]])/(TABLE1[[#This Row],[Intended Entry]]-TABLE1[[#This Row],[SL Price]])</f>
        <v>2.9142857142857159</v>
      </c>
      <c r="AM23" s="5">
        <f>IF(TABLE1[[#This Row],[Buy/Sell]]="BUY",(TABLE1[[#This Row],[Highest Price]]-TABLE1[[#This Row],[Entry Price]])/(TABLE1[[#This Row],[Intended Entry]]-TABLE1[[#This Row],[SL Price]]),(TABLE1[[#This Row],[Entry Price]]-TABLE1[[#This Row],[Lowest Price]])/(TABLE1[[#This Row],[SL Price]]-TABLE1[[#This Row],[Intended Entry]]))</f>
        <v>2.7999999999999989</v>
      </c>
      <c r="AN23" s="21">
        <f>IF(TABLE1[[#This Row],[Buy/Sell]]="BUY",(TABLE1[[#This Row],[Entry Price]]-TABLE1[[#This Row],[Lowest Price]])/(TABLE1[[#This Row],[SL Price]]-TABLE1[[#This Row],[Intended Entry]]),(TABLE1[[#This Row],[Entry Price]]-TABLE1[[#This Row],[Highest Price]])/(TABLE1[[#This Row],[SL Price]]-TABLE1[[#This Row],[Intended Entry]]))</f>
        <v>-1.771428571428576</v>
      </c>
      <c r="AO23" s="5" t="str">
        <f>IF(TABLE1[[#This Row],[Gain/Loss]]&lt;0, "LOSER", "WINNER")</f>
        <v>WINNER</v>
      </c>
      <c r="AP23" s="5">
        <f>TABLE1[[#This Row],[Gain/Loss]]-TABLE1[[#This Row],[Comissions]]</f>
        <v>44.959999999999994</v>
      </c>
      <c r="AQ23" s="4">
        <f>TABLE1[[#This Row],[Exit Time]]-TABLE1[[#This Row],[Entry Time]]</f>
        <v>9.0277777777778012E-3</v>
      </c>
      <c r="AR23" s="21">
        <f>IF(TABLE1[[#This Row],[Retest Price]]&lt;&gt;FALSE,ROUND((TABLE1[[#This Row],[Retest Price]]-TABLE1[[#This Row],[Entry Price]])/(TABLE1[[#This Row],[Intended Entry]]-TABLE1[[#This Row],[SL Price]]),4), "FALSE")</f>
        <v>-1.8286</v>
      </c>
      <c r="AS23" s="5">
        <f>TABLE1[[#This Row],[Net Gain/Loss]]+AS22</f>
        <v>-196.29400000000004</v>
      </c>
      <c r="AT23" s="5">
        <f>IF(TABLE1[[#This Row],[Potential Price Before BE]]=FALSE,"FALSE",( TABLE1[[#This Row],[Potential Price Before BE]]-TABLE1[[#This Row],[Intended Entry]])/(TABLE1[[#This Row],[Intended Entry]]-TABLE1[[#This Row],[SL Price]]))</f>
        <v>0.51428571428571401</v>
      </c>
      <c r="AU23" s="5">
        <f>(IF(TABLE1[[#This Row],[Buy/Sell]]="BUY",(TABLE1[[#This Row],[Entry Price]]-TABLE1[[#This Row],[SL Price]])/(TABLE1[[#This Row],[Intended Entry]]-TABLE1[[#This Row],[SL Price]]),(TABLE1[[#This Row],[SL Price]]-TABLE1[[#This Row],[Entry Price]])/(TABLE1[[#This Row],[SL Price]]-TABLE1[[#This Row],[Intended Entry]])))-1</f>
        <v>0.11428571428571699</v>
      </c>
      <c r="AV23"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W23" s="21">
        <f>TABLE1[[#This Row],[Missed RRR on Entry]]+TABLE1[[#This Row],[Missed RRR on Exit]]</f>
        <v>0.11428571428571699</v>
      </c>
      <c r="AX23" s="21">
        <f>ROUND((TABLE1[[#This Row],[Potential Price]]-TABLE1[[#This Row],[Entry Price]])/(TABLE1[[#This Row],[Intended Entry]]-TABLE1[[#This Row],[SL Price]]),4)</f>
        <v>4.2286000000000001</v>
      </c>
      <c r="AY23" s="21">
        <f>ROUND((TABLE1[[#This Row],[Potential Price]]-TABLE1[[#This Row],[Intended Entry]])/(TABLE1[[#This Row],[Intended Entry]]-TABLE1[[#This Row],[SL Price]]),4)</f>
        <v>4.3429000000000002</v>
      </c>
      <c r="AZ23" s="21">
        <f>TABLE1[[#This Row],[RRR Potential]]-TABLE1[[#This Row],[RRR Realized]]</f>
        <v>1.4286000000000003</v>
      </c>
      <c r="BA23" s="29">
        <f>ROUND((TABLE1[[#This Row],[Exit Price]]-TABLE1[[#This Row],[Entry Price]])/(TABLE1[[#This Row],[Intended Entry]]-TABLE1[[#This Row],[SL Price]]),4)</f>
        <v>2.8</v>
      </c>
      <c r="BB23"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-1.114285714285717</v>
      </c>
      <c r="BC23"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-1.114285714285717</v>
      </c>
      <c r="BD23"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-1.114285714285717</v>
      </c>
      <c r="BE23"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-0.11428571428571699</v>
      </c>
      <c r="BF23"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-1.114285714285717</v>
      </c>
      <c r="BG23"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-1.114285714285717</v>
      </c>
      <c r="BH23"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-1.114285714285717</v>
      </c>
      <c r="BI23"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-0.11428571428571699</v>
      </c>
      <c r="BJ23"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-1.114285714285717</v>
      </c>
      <c r="BK23"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-1.114285714285717</v>
      </c>
      <c r="BL23"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-1.114285714285717</v>
      </c>
      <c r="BM23"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-1.114285714285717</v>
      </c>
      <c r="BN23"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-1.114285714285717</v>
      </c>
      <c r="BO23"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-1.114285714285717</v>
      </c>
      <c r="BP23"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-1.114285714285717</v>
      </c>
      <c r="BQ23"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-1.114285714285717</v>
      </c>
      <c r="BR23"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-1.114285714285717</v>
      </c>
      <c r="BS23"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-1.114285714285717</v>
      </c>
      <c r="BT23"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2.7999999999999989</v>
      </c>
      <c r="BU23"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2.7999999999999989</v>
      </c>
      <c r="BV23"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2.7999999999999989</v>
      </c>
      <c r="BW23"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2.7999999999999989</v>
      </c>
      <c r="BX23"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2.7999999999999989</v>
      </c>
      <c r="BY23"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2.7999999999999989</v>
      </c>
      <c r="BZ23" s="24">
        <f>IF( TABLE1[[#This Row],[Wick Exit]]&lt;&gt; FALSE,TABLE1[[#This Row],[RRR Wick Exit]],IF(TABLE1[[#This Row],[Volume Exit]]&lt;&gt; FALSE,TABLE1[[#This Row],[RRR Volume Exit]],TABLE1[[#This Row],[RRR Realized]]))</f>
        <v>2.7999999999999989</v>
      </c>
      <c r="CA23"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2.8</v>
      </c>
      <c r="CB23"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-1.114285714285717</v>
      </c>
      <c r="CC23"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-1.114285714285717</v>
      </c>
      <c r="CD23"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-1.114285714285717</v>
      </c>
    </row>
    <row r="24" spans="1:82" x14ac:dyDescent="0.25">
      <c r="A24" t="s">
        <v>214</v>
      </c>
      <c r="B24">
        <v>23</v>
      </c>
      <c r="C24" s="2">
        <v>43476</v>
      </c>
      <c r="D24" s="1">
        <v>0.40625</v>
      </c>
      <c r="E24" s="1">
        <v>0.41111111111111115</v>
      </c>
      <c r="F24" s="5">
        <v>2.0299999999999998</v>
      </c>
      <c r="G24" s="5">
        <v>-25.58</v>
      </c>
      <c r="H24">
        <v>200</v>
      </c>
      <c r="I24" t="s">
        <v>19</v>
      </c>
      <c r="J24" t="s">
        <v>23</v>
      </c>
      <c r="K24">
        <v>2.63</v>
      </c>
      <c r="L24">
        <v>2.621</v>
      </c>
      <c r="M24">
        <v>2.68</v>
      </c>
      <c r="N24">
        <v>2.48</v>
      </c>
      <c r="O24">
        <v>2.7389999999999999</v>
      </c>
      <c r="P24">
        <v>2.7389999999999999</v>
      </c>
      <c r="Q24">
        <v>2.61</v>
      </c>
      <c r="R24">
        <v>2.61</v>
      </c>
      <c r="S24">
        <v>2.61</v>
      </c>
      <c r="T24" t="b">
        <v>0</v>
      </c>
      <c r="U24" t="b">
        <v>0</v>
      </c>
      <c r="V24" t="b">
        <v>0</v>
      </c>
      <c r="X24" t="b">
        <v>0</v>
      </c>
      <c r="AA24" t="b">
        <v>0</v>
      </c>
      <c r="AD24" t="b">
        <v>0</v>
      </c>
      <c r="AE24" t="s">
        <v>25</v>
      </c>
      <c r="AF24" t="s">
        <v>32</v>
      </c>
      <c r="AG24" t="s">
        <v>36</v>
      </c>
      <c r="AH24">
        <v>54</v>
      </c>
      <c r="AI24" t="s">
        <v>52</v>
      </c>
      <c r="AJ24" t="s">
        <v>163</v>
      </c>
      <c r="AK24" s="26" t="s">
        <v>216</v>
      </c>
      <c r="AL24" s="22">
        <f>(TABLE1[[#This Row],[TP Price]]-TABLE1[[#This Row],[Intended Entry]])/(TABLE1[[#This Row],[Intended Entry]]-TABLE1[[#This Row],[SL Price]])</f>
        <v>2.9999999999999822</v>
      </c>
      <c r="AM24" s="5">
        <f>IF(TABLE1[[#This Row],[Buy/Sell]]="BUY",(TABLE1[[#This Row],[Highest Price]]-TABLE1[[#This Row],[Entry Price]])/(TABLE1[[#This Row],[Intended Entry]]-TABLE1[[#This Row],[SL Price]]),(TABLE1[[#This Row],[Entry Price]]-TABLE1[[#This Row],[Lowest Price]])/(TABLE1[[#This Row],[SL Price]]-TABLE1[[#This Row],[Intended Entry]]))</f>
        <v>0.22000000000000125</v>
      </c>
      <c r="AN24" s="21">
        <f>IF(TABLE1[[#This Row],[Buy/Sell]]="BUY",(TABLE1[[#This Row],[Entry Price]]-TABLE1[[#This Row],[Lowest Price]])/(TABLE1[[#This Row],[SL Price]]-TABLE1[[#This Row],[Intended Entry]]),(TABLE1[[#This Row],[Entry Price]]-TABLE1[[#This Row],[Highest Price]])/(TABLE1[[#This Row],[SL Price]]-TABLE1[[#This Row],[Intended Entry]]))</f>
        <v>-2.3599999999999852</v>
      </c>
      <c r="AO24" s="5" t="str">
        <f>IF(TABLE1[[#This Row],[Gain/Loss]]&lt;0, "LOSER", "WINNER")</f>
        <v>LOSER</v>
      </c>
      <c r="AP24" s="5">
        <f>TABLE1[[#This Row],[Gain/Loss]]-TABLE1[[#This Row],[Comissions]]</f>
        <v>-27.61</v>
      </c>
      <c r="AQ24" s="4">
        <f>TABLE1[[#This Row],[Exit Time]]-TABLE1[[#This Row],[Entry Time]]</f>
        <v>4.8611111111111494E-3</v>
      </c>
      <c r="AR24" s="21" t="str">
        <f>IF(TABLE1[[#This Row],[Retest Price]]&lt;&gt;FALSE,ROUND((TABLE1[[#This Row],[Retest Price]]-TABLE1[[#This Row],[Entry Price]])/(TABLE1[[#This Row],[Intended Entry]]-TABLE1[[#This Row],[SL Price]]),4), "FALSE")</f>
        <v>FALSE</v>
      </c>
      <c r="AS24" s="5">
        <f>TABLE1[[#This Row],[Net Gain/Loss]]+AS23</f>
        <v>-223.90400000000005</v>
      </c>
      <c r="AT24" s="5">
        <f>IF(TABLE1[[#This Row],[Potential Price Before BE]]=FALSE,"FALSE",( TABLE1[[#This Row],[Potential Price Before BE]]-TABLE1[[#This Row],[Intended Entry]])/(TABLE1[[#This Row],[Intended Entry]]-TABLE1[[#This Row],[SL Price]]))</f>
        <v>0.39999999999999825</v>
      </c>
      <c r="AU24" s="5">
        <f>(IF(TABLE1[[#This Row],[Buy/Sell]]="BUY",(TABLE1[[#This Row],[Entry Price]]-TABLE1[[#This Row],[SL Price]])/(TABLE1[[#This Row],[Intended Entry]]-TABLE1[[#This Row],[SL Price]]),(TABLE1[[#This Row],[SL Price]]-TABLE1[[#This Row],[Entry Price]])/(TABLE1[[#This Row],[SL Price]]-TABLE1[[#This Row],[Intended Entry]])))-1</f>
        <v>0.17999999999999705</v>
      </c>
      <c r="AV24"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0.99999999999999245</v>
      </c>
      <c r="AW24" s="21">
        <f>TABLE1[[#This Row],[Missed RRR on Entry]]+TABLE1[[#This Row],[Missed RRR on Exit]]</f>
        <v>1.1799999999999895</v>
      </c>
      <c r="AX24" s="21">
        <f>ROUND((TABLE1[[#This Row],[Potential Price]]-TABLE1[[#This Row],[Entry Price]])/(TABLE1[[#This Row],[Intended Entry]]-TABLE1[[#This Row],[SL Price]]),4)</f>
        <v>0.22</v>
      </c>
      <c r="AY24" s="21">
        <f>ROUND((TABLE1[[#This Row],[Potential Price]]-TABLE1[[#This Row],[Intended Entry]])/(TABLE1[[#This Row],[Intended Entry]]-TABLE1[[#This Row],[SL Price]]),4)</f>
        <v>0.4</v>
      </c>
      <c r="AZ24" s="21"/>
      <c r="BA24" s="29">
        <f>ROUND((TABLE1[[#This Row],[Exit Price]]-TABLE1[[#This Row],[Entry Price]])/(TABLE1[[#This Row],[Intended Entry]]-TABLE1[[#This Row],[SL Price]]),4)</f>
        <v>-2.36</v>
      </c>
      <c r="BB24"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-2.36</v>
      </c>
      <c r="BC24"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-2.36</v>
      </c>
      <c r="BD24"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-2.36</v>
      </c>
      <c r="BE24"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-2.36</v>
      </c>
      <c r="BF24"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-2.36</v>
      </c>
      <c r="BG24"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-2.36</v>
      </c>
      <c r="BH24"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-2.36</v>
      </c>
      <c r="BI24"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-2.36</v>
      </c>
      <c r="BJ24"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-2.36</v>
      </c>
      <c r="BK24"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-2.36</v>
      </c>
      <c r="BL24"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-2.36</v>
      </c>
      <c r="BM24"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-2.36</v>
      </c>
      <c r="BN24"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-2.36</v>
      </c>
      <c r="BO24"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-2.36</v>
      </c>
      <c r="BP24"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-2.36</v>
      </c>
      <c r="BQ24"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-2.36</v>
      </c>
      <c r="BR24"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-2.36</v>
      </c>
      <c r="BS24"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-2.36</v>
      </c>
      <c r="BT24"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-2.36</v>
      </c>
      <c r="BU24"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-2.36</v>
      </c>
      <c r="BV24"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-2.36</v>
      </c>
      <c r="BW24"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-2.36</v>
      </c>
      <c r="BX24"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-2.36</v>
      </c>
      <c r="BY24"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-2.36</v>
      </c>
      <c r="BZ24" s="24">
        <f>IF( TABLE1[[#This Row],[Wick Exit]]&lt;&gt; FALSE,TABLE1[[#This Row],[RRR Wick Exit]],IF(TABLE1[[#This Row],[Volume Exit]]&lt;&gt; FALSE,TABLE1[[#This Row],[RRR Volume Exit]],TABLE1[[#This Row],[RRR Realized]]))</f>
        <v>-2.36</v>
      </c>
      <c r="CA24"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-2.36</v>
      </c>
      <c r="CB24"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-2.36</v>
      </c>
      <c r="CC24"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-2.36</v>
      </c>
      <c r="CD24"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-2.36</v>
      </c>
    </row>
    <row r="25" spans="1:82" x14ac:dyDescent="0.25">
      <c r="A25" t="s">
        <v>214</v>
      </c>
      <c r="B25">
        <v>24</v>
      </c>
      <c r="C25" s="2">
        <v>43476</v>
      </c>
      <c r="D25" s="1">
        <v>0.43263888888888885</v>
      </c>
      <c r="E25" s="1">
        <v>0.4381944444444445</v>
      </c>
      <c r="F25" s="5">
        <v>2.0299999999999998</v>
      </c>
      <c r="G25" s="5">
        <v>-15.43</v>
      </c>
      <c r="H25">
        <v>200</v>
      </c>
      <c r="I25" t="s">
        <v>19</v>
      </c>
      <c r="J25" t="s">
        <v>23</v>
      </c>
      <c r="K25">
        <v>2.64</v>
      </c>
      <c r="L25">
        <v>2.641</v>
      </c>
      <c r="M25">
        <v>2.69</v>
      </c>
      <c r="N25">
        <v>2.4900000000000002</v>
      </c>
      <c r="O25">
        <v>2.7</v>
      </c>
      <c r="P25">
        <v>2.72</v>
      </c>
      <c r="Q25">
        <v>2.64</v>
      </c>
      <c r="R25">
        <v>2.64</v>
      </c>
      <c r="S25">
        <v>2.64</v>
      </c>
      <c r="T25" t="b">
        <v>0</v>
      </c>
      <c r="U25" t="b">
        <v>0</v>
      </c>
      <c r="V25" t="b">
        <v>0</v>
      </c>
      <c r="X25" t="b">
        <v>0</v>
      </c>
      <c r="AA25" t="b">
        <v>0</v>
      </c>
      <c r="AD25">
        <v>2.64</v>
      </c>
      <c r="AE25" t="s">
        <v>25</v>
      </c>
      <c r="AF25" t="s">
        <v>31</v>
      </c>
      <c r="AG25" t="s">
        <v>36</v>
      </c>
      <c r="AH25">
        <v>54</v>
      </c>
      <c r="AI25" t="s">
        <v>52</v>
      </c>
      <c r="AJ25" t="s">
        <v>163</v>
      </c>
      <c r="AK25" s="26" t="s">
        <v>216</v>
      </c>
      <c r="AL25" s="22">
        <f>(TABLE1[[#This Row],[TP Price]]-TABLE1[[#This Row],[Intended Entry]])/(TABLE1[[#This Row],[Intended Entry]]-TABLE1[[#This Row],[SL Price]])</f>
        <v>3.0000000000000089</v>
      </c>
      <c r="AM25" s="5">
        <f>IF(TABLE1[[#This Row],[Buy/Sell]]="BUY",(TABLE1[[#This Row],[Highest Price]]-TABLE1[[#This Row],[Entry Price]])/(TABLE1[[#This Row],[Intended Entry]]-TABLE1[[#This Row],[SL Price]]),(TABLE1[[#This Row],[Entry Price]]-TABLE1[[#This Row],[Lowest Price]])/(TABLE1[[#This Row],[SL Price]]-TABLE1[[#This Row],[Intended Entry]]))</f>
        <v>1.9999999999997867E-2</v>
      </c>
      <c r="AN25" s="21">
        <f>IF(TABLE1[[#This Row],[Buy/Sell]]="BUY",(TABLE1[[#This Row],[Entry Price]]-TABLE1[[#This Row],[Lowest Price]])/(TABLE1[[#This Row],[SL Price]]-TABLE1[[#This Row],[Intended Entry]]),(TABLE1[[#This Row],[Entry Price]]-TABLE1[[#This Row],[Highest Price]])/(TABLE1[[#This Row],[SL Price]]-TABLE1[[#This Row],[Intended Entry]]))</f>
        <v>-1.5800000000000092</v>
      </c>
      <c r="AO25" s="5" t="str">
        <f>IF(TABLE1[[#This Row],[Gain/Loss]]&lt;0, "LOSER", "WINNER")</f>
        <v>LOSER</v>
      </c>
      <c r="AP25" s="5">
        <f>TABLE1[[#This Row],[Gain/Loss]]-TABLE1[[#This Row],[Comissions]]</f>
        <v>-17.46</v>
      </c>
      <c r="AQ25" s="4">
        <f>TABLE1[[#This Row],[Exit Time]]-TABLE1[[#This Row],[Entry Time]]</f>
        <v>5.5555555555556468E-3</v>
      </c>
      <c r="AR25" s="21" t="str">
        <f>IF(TABLE1[[#This Row],[Retest Price]]&lt;&gt;FALSE,ROUND((TABLE1[[#This Row],[Retest Price]]-TABLE1[[#This Row],[Entry Price]])/(TABLE1[[#This Row],[Intended Entry]]-TABLE1[[#This Row],[SL Price]]),4), "FALSE")</f>
        <v>FALSE</v>
      </c>
      <c r="AS25" s="5">
        <f>TABLE1[[#This Row],[Net Gain/Loss]]+AS24</f>
        <v>-241.36400000000006</v>
      </c>
      <c r="AT25" s="5">
        <f>IF(TABLE1[[#This Row],[Potential Price Before BE]]=FALSE,"FALSE",( TABLE1[[#This Row],[Potential Price Before BE]]-TABLE1[[#This Row],[Intended Entry]])/(TABLE1[[#This Row],[Intended Entry]]-TABLE1[[#This Row],[SL Price]]))</f>
        <v>0</v>
      </c>
      <c r="AU25" s="5">
        <f>(IF(TABLE1[[#This Row],[Buy/Sell]]="BUY",(TABLE1[[#This Row],[Entry Price]]-TABLE1[[#This Row],[SL Price]])/(TABLE1[[#This Row],[Intended Entry]]-TABLE1[[#This Row],[SL Price]]),(TABLE1[[#This Row],[SL Price]]-TABLE1[[#This Row],[Entry Price]])/(TABLE1[[#This Row],[SL Price]]-TABLE1[[#This Row],[Intended Entry]])))-1</f>
        <v>-1.9999999999997908E-2</v>
      </c>
      <c r="AV25"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0.20408163265306623</v>
      </c>
      <c r="AW25" s="21">
        <f>TABLE1[[#This Row],[Missed RRR on Entry]]+TABLE1[[#This Row],[Missed RRR on Exit]]</f>
        <v>0.18408163265306832</v>
      </c>
      <c r="AX25" s="21">
        <f>ROUND((TABLE1[[#This Row],[Potential Price]]-TABLE1[[#This Row],[Entry Price]])/(TABLE1[[#This Row],[Intended Entry]]-TABLE1[[#This Row],[SL Price]]),4)</f>
        <v>0.02</v>
      </c>
      <c r="AY25" s="21">
        <f>ROUND((TABLE1[[#This Row],[Potential Price]]-TABLE1[[#This Row],[Intended Entry]])/(TABLE1[[#This Row],[Intended Entry]]-TABLE1[[#This Row],[SL Price]]),4)</f>
        <v>0</v>
      </c>
      <c r="AZ25" s="21"/>
      <c r="BA25" s="29">
        <f>ROUND((TABLE1[[#This Row],[Exit Price]]-TABLE1[[#This Row],[Entry Price]])/(TABLE1[[#This Row],[Intended Entry]]-TABLE1[[#This Row],[SL Price]]),4)</f>
        <v>-1.18</v>
      </c>
      <c r="BB25"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-1.18</v>
      </c>
      <c r="BC25"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-1.18</v>
      </c>
      <c r="BD25"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-1.18</v>
      </c>
      <c r="BE25"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-1.18</v>
      </c>
      <c r="BF25"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-1.18</v>
      </c>
      <c r="BG25"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-1.18</v>
      </c>
      <c r="BH25"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-1.18</v>
      </c>
      <c r="BI25"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-1.18</v>
      </c>
      <c r="BJ25"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-1.18</v>
      </c>
      <c r="BK25"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-1.18</v>
      </c>
      <c r="BL25"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-1.18</v>
      </c>
      <c r="BM25"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-1.18</v>
      </c>
      <c r="BN25"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-1.18</v>
      </c>
      <c r="BO25"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-1.18</v>
      </c>
      <c r="BP25"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-1.18</v>
      </c>
      <c r="BQ25"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-1.18</v>
      </c>
      <c r="BR25"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-1.18</v>
      </c>
      <c r="BS25"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-1.18</v>
      </c>
      <c r="BT25"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-1.18</v>
      </c>
      <c r="BU25"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-1.18</v>
      </c>
      <c r="BV25"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-1.18</v>
      </c>
      <c r="BW25"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-1.18</v>
      </c>
      <c r="BX25"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-1.18</v>
      </c>
      <c r="BY25"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-1.18</v>
      </c>
      <c r="BZ25" s="24">
        <f>IF( TABLE1[[#This Row],[Wick Exit]]&lt;&gt; FALSE,TABLE1[[#This Row],[RRR Wick Exit]],IF(TABLE1[[#This Row],[Volume Exit]]&lt;&gt; FALSE,TABLE1[[#This Row],[RRR Volume Exit]],TABLE1[[#This Row],[RRR Realized]]))</f>
        <v>-1.9999999999997867E-2</v>
      </c>
      <c r="CA25"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-1.9999999999997867E-2</v>
      </c>
      <c r="CB25"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v>
      </c>
      <c r="CC25"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CD25"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row>
    <row r="26" spans="1:82" x14ac:dyDescent="0.25">
      <c r="A26" t="s">
        <v>215</v>
      </c>
      <c r="B26">
        <v>25</v>
      </c>
      <c r="C26" s="2">
        <v>43476</v>
      </c>
      <c r="D26" s="1">
        <v>0.4201388888888889</v>
      </c>
      <c r="E26" s="1">
        <v>0.54097222222222219</v>
      </c>
      <c r="F26" s="5">
        <v>2.02</v>
      </c>
      <c r="G26" s="5">
        <v>-12.02</v>
      </c>
      <c r="H26">
        <v>100</v>
      </c>
      <c r="I26" t="s">
        <v>19</v>
      </c>
      <c r="J26" t="s">
        <v>22</v>
      </c>
      <c r="K26">
        <v>6.99</v>
      </c>
      <c r="L26">
        <v>6.99</v>
      </c>
      <c r="M26">
        <v>6.89</v>
      </c>
      <c r="N26">
        <v>7.29</v>
      </c>
      <c r="O26">
        <v>6.89</v>
      </c>
      <c r="P26">
        <v>7.2</v>
      </c>
      <c r="Q26">
        <v>6.89</v>
      </c>
      <c r="R26">
        <v>7.2</v>
      </c>
      <c r="S26">
        <v>7.2</v>
      </c>
      <c r="T26">
        <v>7.08</v>
      </c>
      <c r="U26" t="b">
        <v>0</v>
      </c>
      <c r="V26" t="b">
        <v>0</v>
      </c>
      <c r="X26">
        <v>7.12</v>
      </c>
      <c r="Y26" t="b">
        <v>0</v>
      </c>
      <c r="Z26" t="b">
        <v>0</v>
      </c>
      <c r="AA26">
        <v>7.1</v>
      </c>
      <c r="AB26" t="b">
        <v>0</v>
      </c>
      <c r="AC26" t="b">
        <v>0</v>
      </c>
      <c r="AD26" t="b">
        <v>0</v>
      </c>
      <c r="AE26" t="s">
        <v>28</v>
      </c>
      <c r="AF26" t="s">
        <v>29</v>
      </c>
      <c r="AG26" t="s">
        <v>34</v>
      </c>
      <c r="AH26">
        <v>249</v>
      </c>
      <c r="AI26" t="s">
        <v>431</v>
      </c>
      <c r="AJ26" t="s">
        <v>163</v>
      </c>
      <c r="AK26" s="26" t="s">
        <v>217</v>
      </c>
      <c r="AL26" s="22">
        <f>(TABLE1[[#This Row],[TP Price]]-TABLE1[[#This Row],[Intended Entry]])/(TABLE1[[#This Row],[Intended Entry]]-TABLE1[[#This Row],[SL Price]])</f>
        <v>2.9999999999999822</v>
      </c>
      <c r="AM26" s="5">
        <f>IF(TABLE1[[#This Row],[Buy/Sell]]="BUY",(TABLE1[[#This Row],[Highest Price]]-TABLE1[[#This Row],[Entry Price]])/(TABLE1[[#This Row],[Intended Entry]]-TABLE1[[#This Row],[SL Price]]),(TABLE1[[#This Row],[Entry Price]]-TABLE1[[#This Row],[Lowest Price]])/(TABLE1[[#This Row],[SL Price]]-TABLE1[[#This Row],[Intended Entry]]))</f>
        <v>2.0999999999999885</v>
      </c>
      <c r="AN26" s="21">
        <f>IF(TABLE1[[#This Row],[Buy/Sell]]="BUY",(TABLE1[[#This Row],[Entry Price]]-TABLE1[[#This Row],[Lowest Price]])/(TABLE1[[#This Row],[SL Price]]-TABLE1[[#This Row],[Intended Entry]]),(TABLE1[[#This Row],[Entry Price]]-TABLE1[[#This Row],[Highest Price]])/(TABLE1[[#This Row],[SL Price]]-TABLE1[[#This Row],[Intended Entry]]))</f>
        <v>-1</v>
      </c>
      <c r="AO26" s="5" t="str">
        <f>IF(TABLE1[[#This Row],[Gain/Loss]]&lt;0, "LOSER", "WINNER")</f>
        <v>LOSER</v>
      </c>
      <c r="AP26" s="5">
        <f>TABLE1[[#This Row],[Gain/Loss]]-TABLE1[[#This Row],[Comissions]]</f>
        <v>-14.04</v>
      </c>
      <c r="AQ26" s="4">
        <f>TABLE1[[#This Row],[Exit Time]]-TABLE1[[#This Row],[Entry Time]]</f>
        <v>0.12083333333333329</v>
      </c>
      <c r="AR26" s="21" t="str">
        <f>IF(TABLE1[[#This Row],[Retest Price]]&lt;&gt;FALSE,ROUND((TABLE1[[#This Row],[Retest Price]]-TABLE1[[#This Row],[Entry Price]])/(TABLE1[[#This Row],[Intended Entry]]-TABLE1[[#This Row],[SL Price]]),4), "FALSE")</f>
        <v>FALSE</v>
      </c>
      <c r="AS26" s="5">
        <f>TABLE1[[#This Row],[Net Gain/Loss]]+AS25</f>
        <v>-255.40400000000005</v>
      </c>
      <c r="AT26" s="5">
        <f>IF(TABLE1[[#This Row],[Potential Price Before BE]]=FALSE,"FALSE",( TABLE1[[#This Row],[Potential Price Before BE]]-TABLE1[[#This Row],[Intended Entry]])/(TABLE1[[#This Row],[Intended Entry]]-TABLE1[[#This Row],[SL Price]]))</f>
        <v>2.0999999999999885</v>
      </c>
      <c r="AU26" s="5">
        <f>(IF(TABLE1[[#This Row],[Buy/Sell]]="BUY",(TABLE1[[#This Row],[Entry Price]]-TABLE1[[#This Row],[SL Price]])/(TABLE1[[#This Row],[Intended Entry]]-TABLE1[[#This Row],[SL Price]]),(TABLE1[[#This Row],[SL Price]]-TABLE1[[#This Row],[Entry Price]])/(TABLE1[[#This Row],[SL Price]]-TABLE1[[#This Row],[Intended Entry]])))-1</f>
        <v>0</v>
      </c>
      <c r="AV26"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W26" s="21">
        <f>TABLE1[[#This Row],[Missed RRR on Entry]]+TABLE1[[#This Row],[Missed RRR on Exit]]</f>
        <v>0</v>
      </c>
      <c r="AX26" s="21">
        <f>ROUND((TABLE1[[#This Row],[Potential Price]]-TABLE1[[#This Row],[Entry Price]])/(TABLE1[[#This Row],[Intended Entry]]-TABLE1[[#This Row],[SL Price]]),4)</f>
        <v>2.1</v>
      </c>
      <c r="AY26" s="21">
        <f>ROUND((TABLE1[[#This Row],[Potential Price]]-TABLE1[[#This Row],[Intended Entry]])/(TABLE1[[#This Row],[Intended Entry]]-TABLE1[[#This Row],[SL Price]]),4)</f>
        <v>2.1</v>
      </c>
      <c r="AZ26" s="21">
        <f>TABLE1[[#This Row],[RRR Potential]]-TABLE1[[#This Row],[RRR Realized]]</f>
        <v>3.1</v>
      </c>
      <c r="BA26" s="29">
        <f>ROUND((TABLE1[[#This Row],[Exit Price]]-TABLE1[[#This Row],[Entry Price]])/(TABLE1[[#This Row],[Intended Entry]]-TABLE1[[#This Row],[SL Price]]),4)</f>
        <v>-1</v>
      </c>
      <c r="BB26"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BC26"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D26"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E26"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BF26"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BG26"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BH26"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BI26"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J26"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K26"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L26"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M26"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N26"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O26"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P26"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Q26"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0.8999999999999938</v>
      </c>
      <c r="BR26"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0.8999999999999938</v>
      </c>
      <c r="BS26"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0.8999999999999938</v>
      </c>
      <c r="BT26"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1.2999999999999921</v>
      </c>
      <c r="BU26"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1.2999999999999921</v>
      </c>
      <c r="BV26"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1.2999999999999921</v>
      </c>
      <c r="BW26"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1.2999999999999921</v>
      </c>
      <c r="BX26"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1.2999999999999921</v>
      </c>
      <c r="BY26"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1.2999999999999921</v>
      </c>
      <c r="BZ26" s="24">
        <f>IF( TABLE1[[#This Row],[Wick Exit]]&lt;&gt; FALSE,TABLE1[[#This Row],[RRR Wick Exit]],IF(TABLE1[[#This Row],[Volume Exit]]&lt;&gt; FALSE,TABLE1[[#This Row],[RRR Volume Exit]],TABLE1[[#This Row],[RRR Realized]]))</f>
        <v>1.2999999999999921</v>
      </c>
      <c r="CA26"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v>
      </c>
      <c r="CB26"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CC26"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CD26"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row>
    <row r="27" spans="1:82" x14ac:dyDescent="0.25">
      <c r="A27" t="s">
        <v>220</v>
      </c>
      <c r="B27">
        <v>26</v>
      </c>
      <c r="C27" s="33">
        <v>43480</v>
      </c>
      <c r="D27" s="1">
        <v>0.42083333333333334</v>
      </c>
      <c r="E27" s="1">
        <v>0.44305555555555554</v>
      </c>
      <c r="F27" s="5">
        <v>3.05</v>
      </c>
      <c r="G27" s="5">
        <v>18.2</v>
      </c>
      <c r="H27">
        <v>300</v>
      </c>
      <c r="I27" t="s">
        <v>19</v>
      </c>
      <c r="J27" t="s">
        <v>22</v>
      </c>
      <c r="K27">
        <v>3.54</v>
      </c>
      <c r="L27">
        <v>3.5390000000000001</v>
      </c>
      <c r="M27">
        <f>3.54-0.025</f>
        <v>3.5150000000000001</v>
      </c>
      <c r="N27">
        <v>3.61</v>
      </c>
      <c r="O27">
        <v>3.61</v>
      </c>
      <c r="P27">
        <v>3.61</v>
      </c>
      <c r="Q27">
        <v>3.54</v>
      </c>
      <c r="R27">
        <v>3.57</v>
      </c>
      <c r="S27">
        <v>3.66</v>
      </c>
      <c r="T27" t="b">
        <v>0</v>
      </c>
      <c r="U27" t="b">
        <v>0</v>
      </c>
      <c r="V27" t="b">
        <v>1</v>
      </c>
      <c r="X27">
        <v>3.57</v>
      </c>
      <c r="Y27" t="b">
        <v>0</v>
      </c>
      <c r="Z27">
        <v>1</v>
      </c>
      <c r="AA27">
        <v>3.57</v>
      </c>
      <c r="AB27" t="b">
        <v>0</v>
      </c>
      <c r="AC27">
        <v>1</v>
      </c>
      <c r="AD27" t="b">
        <v>0</v>
      </c>
      <c r="AE27" t="s">
        <v>27</v>
      </c>
      <c r="AF27" t="s">
        <v>29</v>
      </c>
      <c r="AG27" t="s">
        <v>35</v>
      </c>
      <c r="AH27">
        <v>25</v>
      </c>
      <c r="AI27" t="s">
        <v>433</v>
      </c>
      <c r="AJ27" t="s">
        <v>166</v>
      </c>
      <c r="AK27" s="26" t="s">
        <v>224</v>
      </c>
      <c r="AL27" s="22">
        <f>(TABLE1[[#This Row],[TP Price]]-TABLE1[[#This Row],[Intended Entry]])/(TABLE1[[#This Row],[Intended Entry]]-TABLE1[[#This Row],[SL Price]])</f>
        <v>2.8000000000000034</v>
      </c>
      <c r="AM27" s="5">
        <f>IF(TABLE1[[#This Row],[Buy/Sell]]="BUY",(TABLE1[[#This Row],[Highest Price]]-TABLE1[[#This Row],[Entry Price]])/(TABLE1[[#This Row],[Intended Entry]]-TABLE1[[#This Row],[SL Price]]),(TABLE1[[#This Row],[Entry Price]]-TABLE1[[#This Row],[Lowest Price]])/(TABLE1[[#This Row],[SL Price]]-TABLE1[[#This Row],[Intended Entry]]))</f>
        <v>2.8399999999999994</v>
      </c>
      <c r="AN27" s="21">
        <f>IF(TABLE1[[#This Row],[Buy/Sell]]="BUY",(TABLE1[[#This Row],[Entry Price]]-TABLE1[[#This Row],[Lowest Price]])/(TABLE1[[#This Row],[SL Price]]-TABLE1[[#This Row],[Intended Entry]]),(TABLE1[[#This Row],[Entry Price]]-TABLE1[[#This Row],[Highest Price]])/(TABLE1[[#This Row],[SL Price]]-TABLE1[[#This Row],[Intended Entry]]))</f>
        <v>3.9999999999995733E-2</v>
      </c>
      <c r="AO27" s="5" t="str">
        <f>IF(TABLE1[[#This Row],[Gain/Loss]]&lt;0, "LOSER", "WINNER")</f>
        <v>WINNER</v>
      </c>
      <c r="AP27" s="5">
        <f>TABLE1[[#This Row],[Gain/Loss]]-TABLE1[[#This Row],[Comissions]]</f>
        <v>15.149999999999999</v>
      </c>
      <c r="AQ27" s="4">
        <f>TABLE1[[#This Row],[Exit Time]]-TABLE1[[#This Row],[Entry Time]]</f>
        <v>2.2222222222222199E-2</v>
      </c>
      <c r="AR27" s="21" t="str">
        <f>IF(TABLE1[[#This Row],[Retest Price]]&lt;&gt;FALSE,ROUND((TABLE1[[#This Row],[Retest Price]]-TABLE1[[#This Row],[Entry Price]])/(TABLE1[[#This Row],[Intended Entry]]-TABLE1[[#This Row],[SL Price]]),4), "FALSE")</f>
        <v>FALSE</v>
      </c>
      <c r="AS27" s="5">
        <f>TABLE1[[#This Row],[Net Gain/Loss]]+AS26</f>
        <v>-240.25400000000005</v>
      </c>
      <c r="AT27" s="5">
        <f>IF(TABLE1[[#This Row],[Potential Price Before BE]]=FALSE,"FALSE",( TABLE1[[#This Row],[Potential Price Before BE]]-TABLE1[[#This Row],[Intended Entry]])/(TABLE1[[#This Row],[Intended Entry]]-TABLE1[[#This Row],[SL Price]]))</f>
        <v>1.1999999999999964</v>
      </c>
      <c r="AU27" s="5">
        <f>(IF(TABLE1[[#This Row],[Buy/Sell]]="BUY",(TABLE1[[#This Row],[Entry Price]]-TABLE1[[#This Row],[SL Price]])/(TABLE1[[#This Row],[Intended Entry]]-TABLE1[[#This Row],[SL Price]]),(TABLE1[[#This Row],[SL Price]]-TABLE1[[#This Row],[Entry Price]])/(TABLE1[[#This Row],[SL Price]]-TABLE1[[#This Row],[Intended Entry]])))-1</f>
        <v>-3.9999999999995706E-2</v>
      </c>
      <c r="AV27"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W27" s="21">
        <f>TABLE1[[#This Row],[Missed RRR on Entry]]+TABLE1[[#This Row],[Missed RRR on Exit]]</f>
        <v>-3.9999999999995706E-2</v>
      </c>
      <c r="AX27" s="21">
        <f>ROUND((TABLE1[[#This Row],[Potential Price]]-TABLE1[[#This Row],[Entry Price]])/(TABLE1[[#This Row],[Intended Entry]]-TABLE1[[#This Row],[SL Price]]),4)</f>
        <v>4.84</v>
      </c>
      <c r="AY27" s="21">
        <f>ROUND((TABLE1[[#This Row],[Potential Price]]-TABLE1[[#This Row],[Intended Entry]])/(TABLE1[[#This Row],[Intended Entry]]-TABLE1[[#This Row],[SL Price]]),4)</f>
        <v>4.8</v>
      </c>
      <c r="AZ27" s="21">
        <f>TABLE1[[#This Row],[RRR Potential]]-TABLE1[[#This Row],[RRR Realized]]</f>
        <v>2</v>
      </c>
      <c r="BA27" s="29">
        <f>ROUND((TABLE1[[#This Row],[Exit Price]]-TABLE1[[#This Row],[Entry Price]])/(TABLE1[[#This Row],[Intended Entry]]-TABLE1[[#This Row],[SL Price]]),4)</f>
        <v>2.84</v>
      </c>
      <c r="BB27"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-0.96000000000000429</v>
      </c>
      <c r="BC27"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3.9999999999995706E-2</v>
      </c>
      <c r="BD27"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-0.96000000000000429</v>
      </c>
      <c r="BE27"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-0.96000000000000429</v>
      </c>
      <c r="BF27"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-0.96000000000000429</v>
      </c>
      <c r="BG27"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-0.96000000000000429</v>
      </c>
      <c r="BH27"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-0.96000000000000429</v>
      </c>
      <c r="BI27"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3.9999999999995706E-2</v>
      </c>
      <c r="BJ27"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3.9999999999995706E-2</v>
      </c>
      <c r="BK27"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3.9999999999995706E-2</v>
      </c>
      <c r="BL27"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3.9999999999995706E-2</v>
      </c>
      <c r="BM27"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-0.96000000000000429</v>
      </c>
      <c r="BN27"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-0.96000000000000429</v>
      </c>
      <c r="BO27"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-0.96000000000000429</v>
      </c>
      <c r="BP27"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-0.96000000000000429</v>
      </c>
      <c r="BQ27"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-0.96000000000000429</v>
      </c>
      <c r="BR27"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3.9999999999995706E-2</v>
      </c>
      <c r="BS27"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-0.96000000000000429</v>
      </c>
      <c r="BT27"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1.2399999999999922</v>
      </c>
      <c r="BU27"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3.9999999999995706E-2</v>
      </c>
      <c r="BV27"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1.2399999999999922</v>
      </c>
      <c r="BW27"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1.2399999999999922</v>
      </c>
      <c r="BX27"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3.9999999999995706E-2</v>
      </c>
      <c r="BY27"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1.2399999999999922</v>
      </c>
      <c r="BZ27" s="24">
        <f>IF( TABLE1[[#This Row],[Wick Exit]]&lt;&gt; FALSE,TABLE1[[#This Row],[RRR Wick Exit]],IF(TABLE1[[#This Row],[Volume Exit]]&lt;&gt; FALSE,TABLE1[[#This Row],[RRR Volume Exit]],TABLE1[[#This Row],[RRR Realized]]))</f>
        <v>1.2399999999999922</v>
      </c>
      <c r="CA27"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2.84</v>
      </c>
      <c r="CB27"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-0.96000000000000429</v>
      </c>
      <c r="CC27"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3.9999999999995706E-2</v>
      </c>
      <c r="CD27"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-0.96000000000000429</v>
      </c>
    </row>
    <row r="28" spans="1:82" x14ac:dyDescent="0.25">
      <c r="A28" t="s">
        <v>221</v>
      </c>
      <c r="B28">
        <v>27</v>
      </c>
      <c r="C28" s="33">
        <v>43480</v>
      </c>
      <c r="D28" s="1">
        <v>0.42499999999999999</v>
      </c>
      <c r="E28" s="1">
        <v>0.4284722222222222</v>
      </c>
      <c r="F28" s="5">
        <v>3.06</v>
      </c>
      <c r="G28" s="5">
        <v>-17.68</v>
      </c>
      <c r="H28">
        <v>300</v>
      </c>
      <c r="I28" t="s">
        <v>19</v>
      </c>
      <c r="J28" t="s">
        <v>22</v>
      </c>
      <c r="K28">
        <v>5.87</v>
      </c>
      <c r="L28">
        <v>5.86</v>
      </c>
      <c r="M28">
        <v>5.84</v>
      </c>
      <c r="N28">
        <v>5.96</v>
      </c>
      <c r="O28">
        <v>5.8120000000000003</v>
      </c>
      <c r="P28">
        <v>5.88</v>
      </c>
      <c r="Q28">
        <v>5.81</v>
      </c>
      <c r="R28">
        <v>5.88</v>
      </c>
      <c r="S28">
        <v>5.88</v>
      </c>
      <c r="T28" t="b">
        <v>0</v>
      </c>
      <c r="U28" t="b">
        <v>0</v>
      </c>
      <c r="V28" t="b">
        <v>0</v>
      </c>
      <c r="X28" t="b">
        <v>0</v>
      </c>
      <c r="AA28" t="b">
        <v>0</v>
      </c>
      <c r="AD28">
        <v>5.85</v>
      </c>
      <c r="AE28" t="s">
        <v>25</v>
      </c>
      <c r="AF28" t="s">
        <v>32</v>
      </c>
      <c r="AG28" t="s">
        <v>35</v>
      </c>
      <c r="AH28">
        <v>51.76</v>
      </c>
      <c r="AI28" t="s">
        <v>431</v>
      </c>
      <c r="AJ28" t="s">
        <v>166</v>
      </c>
      <c r="AK28" s="26" t="s">
        <v>225</v>
      </c>
      <c r="AL28" s="22">
        <f>(TABLE1[[#This Row],[TP Price]]-TABLE1[[#This Row],[Intended Entry]])/(TABLE1[[#This Row],[Intended Entry]]-TABLE1[[#This Row],[SL Price]])</f>
        <v>2.9999999999999702</v>
      </c>
      <c r="AM28" s="5">
        <f>IF(TABLE1[[#This Row],[Buy/Sell]]="BUY",(TABLE1[[#This Row],[Highest Price]]-TABLE1[[#This Row],[Entry Price]])/(TABLE1[[#This Row],[Intended Entry]]-TABLE1[[#This Row],[SL Price]]),(TABLE1[[#This Row],[Entry Price]]-TABLE1[[#This Row],[Lowest Price]])/(TABLE1[[#This Row],[SL Price]]-TABLE1[[#This Row],[Intended Entry]]))</f>
        <v>0.66666666666664698</v>
      </c>
      <c r="AN28" s="21">
        <f>IF(TABLE1[[#This Row],[Buy/Sell]]="BUY",(TABLE1[[#This Row],[Entry Price]]-TABLE1[[#This Row],[Lowest Price]])/(TABLE1[[#This Row],[SL Price]]-TABLE1[[#This Row],[Intended Entry]]),(TABLE1[[#This Row],[Entry Price]]-TABLE1[[#This Row],[Highest Price]])/(TABLE1[[#This Row],[SL Price]]-TABLE1[[#This Row],[Intended Entry]]))</f>
        <v>-1.6666666666666765</v>
      </c>
      <c r="AO28" s="5" t="str">
        <f>IF(TABLE1[[#This Row],[Gain/Loss]]&lt;0, "LOSER", "WINNER")</f>
        <v>LOSER</v>
      </c>
      <c r="AP28" s="5">
        <f>TABLE1[[#This Row],[Gain/Loss]]-TABLE1[[#This Row],[Comissions]]</f>
        <v>-20.74</v>
      </c>
      <c r="AQ28" s="4">
        <f>TABLE1[[#This Row],[Exit Time]]-TABLE1[[#This Row],[Entry Time]]</f>
        <v>3.4722222222222099E-3</v>
      </c>
      <c r="AR28" s="21" t="str">
        <f>IF(TABLE1[[#This Row],[Retest Price]]&lt;&gt;FALSE,ROUND((TABLE1[[#This Row],[Retest Price]]-TABLE1[[#This Row],[Entry Price]])/(TABLE1[[#This Row],[Intended Entry]]-TABLE1[[#This Row],[SL Price]]),4), "FALSE")</f>
        <v>FALSE</v>
      </c>
      <c r="AS28" s="5">
        <f>TABLE1[[#This Row],[Net Gain/Loss]]+AS27</f>
        <v>-260.99400000000003</v>
      </c>
      <c r="AT28" s="5">
        <f>IF(TABLE1[[#This Row],[Potential Price Before BE]]=FALSE,"FALSE",( TABLE1[[#This Row],[Potential Price Before BE]]-TABLE1[[#This Row],[Intended Entry]])/(TABLE1[[#This Row],[Intended Entry]]-TABLE1[[#This Row],[SL Price]]))</f>
        <v>0.33333333333332349</v>
      </c>
      <c r="AU28" s="5">
        <f>(IF(TABLE1[[#This Row],[Buy/Sell]]="BUY",(TABLE1[[#This Row],[Entry Price]]-TABLE1[[#This Row],[SL Price]])/(TABLE1[[#This Row],[Intended Entry]]-TABLE1[[#This Row],[SL Price]]),(TABLE1[[#This Row],[SL Price]]-TABLE1[[#This Row],[Entry Price]])/(TABLE1[[#This Row],[SL Price]]-TABLE1[[#This Row],[Intended Entry]])))-1</f>
        <v>-0.33333333333332349</v>
      </c>
      <c r="AV28"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0.93333333333331159</v>
      </c>
      <c r="AW28" s="21">
        <f>TABLE1[[#This Row],[Missed RRR on Entry]]+TABLE1[[#This Row],[Missed RRR on Exit]]</f>
        <v>0.5999999999999881</v>
      </c>
      <c r="AX28" s="21">
        <f>ROUND((TABLE1[[#This Row],[Potential Price]]-TABLE1[[#This Row],[Entry Price]])/(TABLE1[[#This Row],[Intended Entry]]-TABLE1[[#This Row],[SL Price]]),4)</f>
        <v>0.66669999999999996</v>
      </c>
      <c r="AY28" s="21">
        <f>ROUND((TABLE1[[#This Row],[Potential Price]]-TABLE1[[#This Row],[Intended Entry]])/(TABLE1[[#This Row],[Intended Entry]]-TABLE1[[#This Row],[SL Price]]),4)</f>
        <v>0.33329999999999999</v>
      </c>
      <c r="AZ28" s="21">
        <f>TABLE1[[#This Row],[RRR Potential]]-TABLE1[[#This Row],[RRR Realized]]</f>
        <v>2.2667000000000002</v>
      </c>
      <c r="BA28" s="29">
        <f>ROUND((TABLE1[[#This Row],[Exit Price]]-TABLE1[[#This Row],[Entry Price]])/(TABLE1[[#This Row],[Intended Entry]]-TABLE1[[#This Row],[SL Price]]),4)</f>
        <v>-1.6</v>
      </c>
      <c r="BB28"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-1.6</v>
      </c>
      <c r="BC28"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-1.6</v>
      </c>
      <c r="BD28"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-1.6</v>
      </c>
      <c r="BE28"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-1.6</v>
      </c>
      <c r="BF28"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-1.6</v>
      </c>
      <c r="BG28"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-1.6</v>
      </c>
      <c r="BH28"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-1.6</v>
      </c>
      <c r="BI28"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-1.6</v>
      </c>
      <c r="BJ28"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-1.6</v>
      </c>
      <c r="BK28"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-1.6</v>
      </c>
      <c r="BL28"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-1.6</v>
      </c>
      <c r="BM28"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-1.6</v>
      </c>
      <c r="BN28"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-1.6</v>
      </c>
      <c r="BO28"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-1.6</v>
      </c>
      <c r="BP28"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-1.6</v>
      </c>
      <c r="BQ28"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-1.6</v>
      </c>
      <c r="BR28"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-1.6</v>
      </c>
      <c r="BS28"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-1.6</v>
      </c>
      <c r="BT28"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-1.6</v>
      </c>
      <c r="BU28"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-1.6</v>
      </c>
      <c r="BV28"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-1.6</v>
      </c>
      <c r="BW28"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-1.6</v>
      </c>
      <c r="BX28"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-1.6</v>
      </c>
      <c r="BY28"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-1.6</v>
      </c>
      <c r="BZ28" s="24">
        <f>IF( TABLE1[[#This Row],[Wick Exit]]&lt;&gt; FALSE,TABLE1[[#This Row],[RRR Wick Exit]],IF(TABLE1[[#This Row],[Volume Exit]]&lt;&gt; FALSE,TABLE1[[#This Row],[RRR Volume Exit]],TABLE1[[#This Row],[RRR Realized]]))</f>
        <v>-0.33333333333335308</v>
      </c>
      <c r="CA28"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-0.33333333333335308</v>
      </c>
      <c r="CB28"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-0.33333333333335308</v>
      </c>
      <c r="CC28"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-0.33333333333335308</v>
      </c>
      <c r="CD28"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-0.33333333333335308</v>
      </c>
    </row>
    <row r="29" spans="1:82" x14ac:dyDescent="0.25">
      <c r="A29" t="s">
        <v>222</v>
      </c>
      <c r="B29">
        <v>28</v>
      </c>
      <c r="C29" s="33">
        <v>43480</v>
      </c>
      <c r="D29" s="1">
        <v>0.42569444444444443</v>
      </c>
      <c r="E29" s="1">
        <v>0.50763888888888886</v>
      </c>
      <c r="F29" s="5">
        <v>3.05</v>
      </c>
      <c r="G29" s="5">
        <v>24.88</v>
      </c>
      <c r="H29">
        <v>300</v>
      </c>
      <c r="I29" t="s">
        <v>19</v>
      </c>
      <c r="J29" t="s">
        <v>22</v>
      </c>
      <c r="K29">
        <v>2.95</v>
      </c>
      <c r="L29">
        <v>2.9460000000000002</v>
      </c>
      <c r="M29">
        <v>2.92</v>
      </c>
      <c r="N29">
        <v>3.04</v>
      </c>
      <c r="O29">
        <v>3.04</v>
      </c>
      <c r="P29">
        <v>3.04</v>
      </c>
      <c r="Q29">
        <v>2.93</v>
      </c>
      <c r="R29">
        <v>3.02</v>
      </c>
      <c r="S29">
        <v>3.2</v>
      </c>
      <c r="T29" t="b">
        <v>0</v>
      </c>
      <c r="U29" t="b">
        <v>0</v>
      </c>
      <c r="V29" t="b">
        <v>1</v>
      </c>
      <c r="X29">
        <v>3.15</v>
      </c>
      <c r="Y29">
        <v>5</v>
      </c>
      <c r="Z29">
        <v>1.5</v>
      </c>
      <c r="AA29">
        <v>3.15</v>
      </c>
      <c r="AB29">
        <v>5</v>
      </c>
      <c r="AC29">
        <v>1.5</v>
      </c>
      <c r="AD29" t="b">
        <v>0</v>
      </c>
      <c r="AE29" t="s">
        <v>27</v>
      </c>
      <c r="AF29" t="s">
        <v>29</v>
      </c>
      <c r="AG29" t="s">
        <v>34</v>
      </c>
      <c r="AH29">
        <v>40</v>
      </c>
      <c r="AI29" t="s">
        <v>435</v>
      </c>
      <c r="AJ29" t="s">
        <v>163</v>
      </c>
      <c r="AK29" s="26" t="s">
        <v>223</v>
      </c>
      <c r="AL29" s="22">
        <f>(TABLE1[[#This Row],[TP Price]]-TABLE1[[#This Row],[Intended Entry]])/(TABLE1[[#This Row],[Intended Entry]]-TABLE1[[#This Row],[SL Price]])</f>
        <v>2.9999999999999702</v>
      </c>
      <c r="AM29" s="24">
        <f>IF(TABLE1[[#This Row],[Buy/Sell]]="BUY",(TABLE1[[#This Row],[Highest Price]]-TABLE1[[#This Row],[Entry Price]])/(TABLE1[[#This Row],[Intended Entry]]-TABLE1[[#This Row],[SL Price]]),(TABLE1[[#This Row],[Entry Price]]-TABLE1[[#This Row],[Lowest Price]])/(TABLE1[[#This Row],[SL Price]]-TABLE1[[#This Row],[Intended Entry]]))</f>
        <v>3.1333333333333027</v>
      </c>
      <c r="AN29" s="25">
        <f>IF(TABLE1[[#This Row],[Buy/Sell]]="BUY",(TABLE1[[#This Row],[Entry Price]]-TABLE1[[#This Row],[Lowest Price]])/(TABLE1[[#This Row],[SL Price]]-TABLE1[[#This Row],[Intended Entry]]),(TABLE1[[#This Row],[Entry Price]]-TABLE1[[#This Row],[Highest Price]])/(TABLE1[[#This Row],[SL Price]]-TABLE1[[#This Row],[Intended Entry]]))</f>
        <v>-0.53333333333332944</v>
      </c>
      <c r="AO29" s="5" t="str">
        <f>IF(TABLE1[[#This Row],[Gain/Loss]]&lt;0, "LOSER", "WINNER")</f>
        <v>WINNER</v>
      </c>
      <c r="AP29" s="5">
        <f>TABLE1[[#This Row],[Gain/Loss]]-TABLE1[[#This Row],[Comissions]]</f>
        <v>21.83</v>
      </c>
      <c r="AQ29" s="4">
        <f>TABLE1[[#This Row],[Exit Time]]-TABLE1[[#This Row],[Entry Time]]</f>
        <v>8.1944444444444431E-2</v>
      </c>
      <c r="AR29" s="21" t="str">
        <f>IF(TABLE1[[#This Row],[Retest Price]]&lt;&gt;FALSE,ROUND((TABLE1[[#This Row],[Retest Price]]-TABLE1[[#This Row],[Entry Price]])/(TABLE1[[#This Row],[Intended Entry]]-TABLE1[[#This Row],[SL Price]]),4), "FALSE")</f>
        <v>FALSE</v>
      </c>
      <c r="AS29" s="5">
        <f>TABLE1[[#This Row],[Net Gain/Loss]]+AS28</f>
        <v>-239.16400000000004</v>
      </c>
      <c r="AT29" s="5">
        <f>IF(TABLE1[[#This Row],[Potential Price Before BE]]=FALSE,"FALSE",( TABLE1[[#This Row],[Potential Price Before BE]]-TABLE1[[#This Row],[Intended Entry]])/(TABLE1[[#This Row],[Intended Entry]]-TABLE1[[#This Row],[SL Price]]))</f>
        <v>2.3333333333333086</v>
      </c>
      <c r="AU29" s="5">
        <f>(IF(TABLE1[[#This Row],[Buy/Sell]]="BUY",(TABLE1[[#This Row],[Entry Price]]-TABLE1[[#This Row],[SL Price]])/(TABLE1[[#This Row],[Intended Entry]]-TABLE1[[#This Row],[SL Price]]),(TABLE1[[#This Row],[SL Price]]-TABLE1[[#This Row],[Entry Price]])/(TABLE1[[#This Row],[SL Price]]-TABLE1[[#This Row],[Intended Entry]])))-1</f>
        <v>-0.1333333333333323</v>
      </c>
      <c r="AV29"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W29" s="21">
        <f>TABLE1[[#This Row],[Missed RRR on Entry]]+TABLE1[[#This Row],[Missed RRR on Exit]]</f>
        <v>-0.1333333333333323</v>
      </c>
      <c r="AX29" s="21">
        <f>ROUND((TABLE1[[#This Row],[Potential Price]]-TABLE1[[#This Row],[Entry Price]])/(TABLE1[[#This Row],[Intended Entry]]-TABLE1[[#This Row],[SL Price]]),4)</f>
        <v>8.4666999999999994</v>
      </c>
      <c r="AY29" s="21">
        <f>ROUND((TABLE1[[#This Row],[Potential Price]]-TABLE1[[#This Row],[Intended Entry]])/(TABLE1[[#This Row],[Intended Entry]]-TABLE1[[#This Row],[SL Price]]),4)</f>
        <v>8.3332999999999995</v>
      </c>
      <c r="AZ29" s="21">
        <f>TABLE1[[#This Row],[RRR Potential]]-TABLE1[[#This Row],[RRR Realized]]</f>
        <v>5.3333999999999993</v>
      </c>
      <c r="BA29" s="29">
        <f>ROUND((TABLE1[[#This Row],[Exit Price]]-TABLE1[[#This Row],[Entry Price]])/(TABLE1[[#This Row],[Intended Entry]]-TABLE1[[#This Row],[SL Price]]),4)</f>
        <v>3.1333000000000002</v>
      </c>
      <c r="BB29"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5.133333333333332</v>
      </c>
      <c r="BC29"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0.1333333333333323</v>
      </c>
      <c r="BD29"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0.1333333333333323</v>
      </c>
      <c r="BE29"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5.133333333333332</v>
      </c>
      <c r="BF29"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5.133333333333332</v>
      </c>
      <c r="BG29"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5.133333333333332</v>
      </c>
      <c r="BH29"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5.133333333333332</v>
      </c>
      <c r="BI29"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0.1333333333333323</v>
      </c>
      <c r="BJ29"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0.1333333333333323</v>
      </c>
      <c r="BK29"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0.1333333333333323</v>
      </c>
      <c r="BL29"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0.1333333333333323</v>
      </c>
      <c r="BM29"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0.1333333333333323</v>
      </c>
      <c r="BN29"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0.1333333333333323</v>
      </c>
      <c r="BO29"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0.1333333333333323</v>
      </c>
      <c r="BP29"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0.1333333333333323</v>
      </c>
      <c r="BQ29"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5.133333333333332</v>
      </c>
      <c r="BR29"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0.1333333333333323</v>
      </c>
      <c r="BS29"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0.1333333333333323</v>
      </c>
      <c r="BT29"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5.133333333333332</v>
      </c>
      <c r="BU29"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0.1333333333333323</v>
      </c>
      <c r="BV29"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0.1333333333333323</v>
      </c>
      <c r="BW29"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6.799999999999935</v>
      </c>
      <c r="BX29"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0.1333333333333323</v>
      </c>
      <c r="BY29"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0.1333333333333323</v>
      </c>
      <c r="BZ29" s="24">
        <f>IF( TABLE1[[#This Row],[Wick Exit]]&lt;&gt; FALSE,TABLE1[[#This Row],[RRR Wick Exit]],IF(TABLE1[[#This Row],[Volume Exit]]&lt;&gt; FALSE,TABLE1[[#This Row],[RRR Volume Exit]],TABLE1[[#This Row],[RRR Realized]]))</f>
        <v>6.799999999999935</v>
      </c>
      <c r="CA29"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3.1333000000000002</v>
      </c>
      <c r="CB29"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5.133333333333332</v>
      </c>
      <c r="CC29"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0.1333333333333323</v>
      </c>
      <c r="CD29"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0.1333333333333323</v>
      </c>
    </row>
    <row r="30" spans="1:82" x14ac:dyDescent="0.25">
      <c r="A30" t="s">
        <v>226</v>
      </c>
      <c r="B30">
        <v>29</v>
      </c>
      <c r="C30" s="33">
        <v>43481</v>
      </c>
      <c r="D30" s="1">
        <v>0.41666666666666669</v>
      </c>
      <c r="E30" s="1">
        <v>0.43055555555555558</v>
      </c>
      <c r="F30" s="5">
        <v>2.04</v>
      </c>
      <c r="G30" s="5">
        <v>-23.89</v>
      </c>
      <c r="H30">
        <v>200</v>
      </c>
      <c r="I30" t="s">
        <v>19</v>
      </c>
      <c r="J30" t="s">
        <v>22</v>
      </c>
      <c r="K30">
        <v>8.74</v>
      </c>
      <c r="L30">
        <v>8.74</v>
      </c>
      <c r="M30">
        <v>8.69</v>
      </c>
      <c r="N30">
        <v>8.89</v>
      </c>
      <c r="O30">
        <v>8.6310000000000002</v>
      </c>
      <c r="P30">
        <v>8.8000000000000007</v>
      </c>
      <c r="Q30">
        <v>8.6310000000000002</v>
      </c>
      <c r="R30">
        <v>8.8000000000000007</v>
      </c>
      <c r="S30">
        <v>8.8000000000000007</v>
      </c>
      <c r="T30" t="b">
        <v>0</v>
      </c>
      <c r="U30" t="b">
        <v>0</v>
      </c>
      <c r="V30" t="b">
        <v>0</v>
      </c>
      <c r="X30" t="b">
        <v>0</v>
      </c>
      <c r="AA30" t="b">
        <v>0</v>
      </c>
      <c r="AD30">
        <v>8.75</v>
      </c>
      <c r="AE30" t="s">
        <v>28</v>
      </c>
      <c r="AF30" t="s">
        <v>30</v>
      </c>
      <c r="AG30" t="s">
        <v>36</v>
      </c>
      <c r="AH30">
        <v>49.8</v>
      </c>
      <c r="AI30" t="s">
        <v>433</v>
      </c>
      <c r="AK30" s="26" t="s">
        <v>227</v>
      </c>
      <c r="AL30" s="22">
        <f>(TABLE1[[#This Row],[TP Price]]-TABLE1[[#This Row],[Intended Entry]])/(TABLE1[[#This Row],[Intended Entry]]-TABLE1[[#This Row],[SL Price]])</f>
        <v>2.9999999999999645</v>
      </c>
      <c r="AM30" s="24">
        <f>IF(TABLE1[[#This Row],[Buy/Sell]]="BUY",(TABLE1[[#This Row],[Highest Price]]-TABLE1[[#This Row],[Entry Price]])/(TABLE1[[#This Row],[Intended Entry]]-TABLE1[[#This Row],[SL Price]]),(TABLE1[[#This Row],[Entry Price]]-TABLE1[[#This Row],[Lowest Price]])/(TABLE1[[#This Row],[SL Price]]-TABLE1[[#This Row],[Intended Entry]]))</f>
        <v>1.1999999999999929</v>
      </c>
      <c r="AN30" s="25">
        <f>IF(TABLE1[[#This Row],[Buy/Sell]]="BUY",(TABLE1[[#This Row],[Entry Price]]-TABLE1[[#This Row],[Lowest Price]])/(TABLE1[[#This Row],[SL Price]]-TABLE1[[#This Row],[Intended Entry]]),(TABLE1[[#This Row],[Entry Price]]-TABLE1[[#This Row],[Highest Price]])/(TABLE1[[#This Row],[SL Price]]-TABLE1[[#This Row],[Intended Entry]]))</f>
        <v>-2.1799999999999686</v>
      </c>
      <c r="AO30" s="5" t="str">
        <f>IF(TABLE1[[#This Row],[Gain/Loss]]&lt;0, "LOSER", "WINNER")</f>
        <v>LOSER</v>
      </c>
      <c r="AP30" s="5">
        <f>TABLE1[[#This Row],[Gain/Loss]]-TABLE1[[#This Row],[Comissions]]</f>
        <v>-25.93</v>
      </c>
      <c r="AQ30" s="4">
        <f>TABLE1[[#This Row],[Exit Time]]-TABLE1[[#This Row],[Entry Time]]</f>
        <v>1.3888888888888895E-2</v>
      </c>
      <c r="AR30" s="21" t="str">
        <f>IF(TABLE1[[#This Row],[Retest Price]]&lt;&gt;FALSE,ROUND((TABLE1[[#This Row],[Retest Price]]-TABLE1[[#This Row],[Entry Price]])/(TABLE1[[#This Row],[Intended Entry]]-TABLE1[[#This Row],[SL Price]]),4), "FALSE")</f>
        <v>FALSE</v>
      </c>
      <c r="AS30" s="5">
        <f>TABLE1[[#This Row],[Net Gain/Loss]]+AS29</f>
        <v>-265.09400000000005</v>
      </c>
      <c r="AT30" s="5">
        <f>IF(TABLE1[[#This Row],[Potential Price Before BE]]=FALSE,"FALSE",( TABLE1[[#This Row],[Potential Price Before BE]]-TABLE1[[#This Row],[Intended Entry]])/(TABLE1[[#This Row],[Intended Entry]]-TABLE1[[#This Row],[SL Price]]))</f>
        <v>1.1999999999999929</v>
      </c>
      <c r="AU30" s="5">
        <f>(IF(TABLE1[[#This Row],[Buy/Sell]]="BUY",(TABLE1[[#This Row],[Entry Price]]-TABLE1[[#This Row],[SL Price]])/(TABLE1[[#This Row],[Intended Entry]]-TABLE1[[#This Row],[SL Price]]),(TABLE1[[#This Row],[SL Price]]-TABLE1[[#This Row],[Entry Price]])/(TABLE1[[#This Row],[SL Price]]-TABLE1[[#This Row],[Intended Entry]])))-1</f>
        <v>0</v>
      </c>
      <c r="AV30"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1.1799999999999686</v>
      </c>
      <c r="AW30" s="21">
        <f>TABLE1[[#This Row],[Missed RRR on Entry]]+TABLE1[[#This Row],[Missed RRR on Exit]]</f>
        <v>1.1799999999999686</v>
      </c>
      <c r="AX30" s="21">
        <f>ROUND((TABLE1[[#This Row],[Potential Price]]-TABLE1[[#This Row],[Entry Price]])/(TABLE1[[#This Row],[Intended Entry]]-TABLE1[[#This Row],[SL Price]]),4)</f>
        <v>1.2</v>
      </c>
      <c r="AY30" s="21">
        <f>ROUND((TABLE1[[#This Row],[Potential Price]]-TABLE1[[#This Row],[Intended Entry]])/(TABLE1[[#This Row],[Intended Entry]]-TABLE1[[#This Row],[SL Price]]),4)</f>
        <v>1.2</v>
      </c>
      <c r="AZ30" s="21">
        <f>TABLE1[[#This Row],[RRR Potential]]-TABLE1[[#This Row],[RRR Realized]]</f>
        <v>3.38</v>
      </c>
      <c r="BA30" s="29">
        <f>ROUND((TABLE1[[#This Row],[Exit Price]]-TABLE1[[#This Row],[Entry Price]])/(TABLE1[[#This Row],[Intended Entry]]-TABLE1[[#This Row],[SL Price]]),4)</f>
        <v>-2.1800000000000002</v>
      </c>
      <c r="BB30"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-2.1800000000000002</v>
      </c>
      <c r="BC30"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D30"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-2.1800000000000002</v>
      </c>
      <c r="BE30"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-2.1800000000000002</v>
      </c>
      <c r="BF30"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-2.1800000000000002</v>
      </c>
      <c r="BG30"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-2.1800000000000002</v>
      </c>
      <c r="BH30"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-2.1800000000000002</v>
      </c>
      <c r="BI30"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J30"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K30"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L30"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M30"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-2.1800000000000002</v>
      </c>
      <c r="BN30"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-2.1800000000000002</v>
      </c>
      <c r="BO30"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-2.1800000000000002</v>
      </c>
      <c r="BP30"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-2.1800000000000002</v>
      </c>
      <c r="BQ30"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-2.1800000000000002</v>
      </c>
      <c r="BR30"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S30"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-2.1800000000000002</v>
      </c>
      <c r="BT30"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-2.1800000000000002</v>
      </c>
      <c r="BU30"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V30"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-2.1800000000000002</v>
      </c>
      <c r="BW30"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-2.1800000000000002</v>
      </c>
      <c r="BX30"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v>
      </c>
      <c r="BY30"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-2.1800000000000002</v>
      </c>
      <c r="BZ30" s="24">
        <f>IF( TABLE1[[#This Row],[Wick Exit]]&lt;&gt; FALSE,TABLE1[[#This Row],[RRR Wick Exit]],IF(TABLE1[[#This Row],[Volume Exit]]&lt;&gt; FALSE,TABLE1[[#This Row],[RRR Volume Exit]],TABLE1[[#This Row],[RRR Realized]]))</f>
        <v>0.19999999999999291</v>
      </c>
      <c r="CA30"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0.19999999999999291</v>
      </c>
      <c r="CB30"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0.19999999999999291</v>
      </c>
      <c r="CC30"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0.19999999999999291</v>
      </c>
      <c r="CD30"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0.19999999999999291</v>
      </c>
    </row>
    <row r="31" spans="1:82" x14ac:dyDescent="0.25">
      <c r="A31" t="s">
        <v>228</v>
      </c>
      <c r="B31">
        <v>30</v>
      </c>
      <c r="C31" s="33">
        <v>43481</v>
      </c>
      <c r="D31" s="1">
        <v>0.42291666666666666</v>
      </c>
      <c r="E31" s="1">
        <v>0.42430555555555555</v>
      </c>
      <c r="F31" s="5">
        <v>3.04</v>
      </c>
      <c r="G31" s="5">
        <v>-20.59</v>
      </c>
      <c r="H31">
        <v>300</v>
      </c>
      <c r="I31" t="s">
        <v>19</v>
      </c>
      <c r="J31" t="s">
        <v>22</v>
      </c>
      <c r="K31">
        <v>2.06</v>
      </c>
      <c r="L31">
        <v>2.0579999999999998</v>
      </c>
      <c r="M31">
        <v>2.0350000000000001</v>
      </c>
      <c r="N31">
        <v>2.15</v>
      </c>
      <c r="O31">
        <v>2</v>
      </c>
      <c r="P31">
        <v>2.06</v>
      </c>
      <c r="Q31">
        <v>2</v>
      </c>
      <c r="R31">
        <v>2.06</v>
      </c>
      <c r="S31">
        <v>2.06</v>
      </c>
      <c r="T31" t="b">
        <v>0</v>
      </c>
      <c r="U31" t="b">
        <v>0</v>
      </c>
      <c r="V31" t="b">
        <v>0</v>
      </c>
      <c r="X31" t="b">
        <v>0</v>
      </c>
      <c r="AA31" t="b">
        <v>0</v>
      </c>
      <c r="AD31" t="b">
        <v>0</v>
      </c>
      <c r="AE31" t="s">
        <v>25</v>
      </c>
      <c r="AF31" t="s">
        <v>32</v>
      </c>
      <c r="AG31" t="s">
        <v>34</v>
      </c>
      <c r="AH31">
        <v>114</v>
      </c>
      <c r="AI31" t="s">
        <v>431</v>
      </c>
      <c r="AK31" s="26" t="s">
        <v>229</v>
      </c>
      <c r="AL31" s="22">
        <f>(TABLE1[[#This Row],[TP Price]]-TABLE1[[#This Row],[Intended Entry]])/(TABLE1[[#This Row],[Intended Entry]]-TABLE1[[#This Row],[SL Price]])</f>
        <v>3.6000000000000072</v>
      </c>
      <c r="AM31" s="24">
        <f>IF(TABLE1[[#This Row],[Buy/Sell]]="BUY",(TABLE1[[#This Row],[Highest Price]]-TABLE1[[#This Row],[Entry Price]])/(TABLE1[[#This Row],[Intended Entry]]-TABLE1[[#This Row],[SL Price]]),(TABLE1[[#This Row],[Entry Price]]-TABLE1[[#This Row],[Lowest Price]])/(TABLE1[[#This Row],[SL Price]]-TABLE1[[#This Row],[Intended Entry]]))</f>
        <v>8.000000000000923E-2</v>
      </c>
      <c r="AN31" s="25">
        <f>IF(TABLE1[[#This Row],[Buy/Sell]]="BUY",(TABLE1[[#This Row],[Entry Price]]-TABLE1[[#This Row],[Lowest Price]])/(TABLE1[[#This Row],[SL Price]]-TABLE1[[#This Row],[Intended Entry]]),(TABLE1[[#This Row],[Entry Price]]-TABLE1[[#This Row],[Highest Price]])/(TABLE1[[#This Row],[SL Price]]-TABLE1[[#This Row],[Intended Entry]]))</f>
        <v>-2.3200000000000016</v>
      </c>
      <c r="AO31" s="5" t="str">
        <f>IF(TABLE1[[#This Row],[Gain/Loss]]&lt;0, "LOSER", "WINNER")</f>
        <v>LOSER</v>
      </c>
      <c r="AP31" s="5">
        <f>TABLE1[[#This Row],[Gain/Loss]]-TABLE1[[#This Row],[Comissions]]</f>
        <v>-23.63</v>
      </c>
      <c r="AQ31" s="4">
        <f>TABLE1[[#This Row],[Exit Time]]-TABLE1[[#This Row],[Entry Time]]</f>
        <v>1.388888888888884E-3</v>
      </c>
      <c r="AR31" s="21" t="str">
        <f>IF(TABLE1[[#This Row],[Retest Price]]&lt;&gt;FALSE,ROUND((TABLE1[[#This Row],[Retest Price]]-TABLE1[[#This Row],[Entry Price]])/(TABLE1[[#This Row],[Intended Entry]]-TABLE1[[#This Row],[SL Price]]),4), "FALSE")</f>
        <v>FALSE</v>
      </c>
      <c r="AS31" s="5">
        <f>TABLE1[[#This Row],[Net Gain/Loss]]+AS30</f>
        <v>-288.72400000000005</v>
      </c>
      <c r="AT31" s="5">
        <f>IF(TABLE1[[#This Row],[Potential Price Before BE]]=FALSE,"FALSE",( TABLE1[[#This Row],[Potential Price Before BE]]-TABLE1[[#This Row],[Intended Entry]])/(TABLE1[[#This Row],[Intended Entry]]-TABLE1[[#This Row],[SL Price]]))</f>
        <v>0</v>
      </c>
      <c r="AU31" s="5">
        <f>(IF(TABLE1[[#This Row],[Buy/Sell]]="BUY",(TABLE1[[#This Row],[Entry Price]]-TABLE1[[#This Row],[SL Price]])/(TABLE1[[#This Row],[Intended Entry]]-TABLE1[[#This Row],[SL Price]]),(TABLE1[[#This Row],[SL Price]]-TABLE1[[#This Row],[Entry Price]])/(TABLE1[[#This Row],[SL Price]]-TABLE1[[#This Row],[Intended Entry]])))-1</f>
        <v>-8.0000000000009286E-2</v>
      </c>
      <c r="AV31"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1.4000000000000106</v>
      </c>
      <c r="AW31" s="21">
        <f>TABLE1[[#This Row],[Missed RRR on Entry]]+TABLE1[[#This Row],[Missed RRR on Exit]]</f>
        <v>1.3200000000000012</v>
      </c>
      <c r="AX31" s="21">
        <f>ROUND((TABLE1[[#This Row],[Potential Price]]-TABLE1[[#This Row],[Entry Price]])/(TABLE1[[#This Row],[Intended Entry]]-TABLE1[[#This Row],[SL Price]]),4)</f>
        <v>0.08</v>
      </c>
      <c r="AY31" s="21">
        <f>ROUND((TABLE1[[#This Row],[Potential Price]]-TABLE1[[#This Row],[Intended Entry]])/(TABLE1[[#This Row],[Intended Entry]]-TABLE1[[#This Row],[SL Price]]),4)</f>
        <v>0</v>
      </c>
      <c r="AZ31" s="21">
        <f>TABLE1[[#This Row],[RRR Potential]]-TABLE1[[#This Row],[RRR Realized]]</f>
        <v>2.4</v>
      </c>
      <c r="BA31" s="29">
        <f>ROUND((TABLE1[[#This Row],[Exit Price]]-TABLE1[[#This Row],[Entry Price]])/(TABLE1[[#This Row],[Intended Entry]]-TABLE1[[#This Row],[SL Price]]),4)</f>
        <v>-2.3199999999999998</v>
      </c>
      <c r="BB31"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-2.3199999999999998</v>
      </c>
      <c r="BC31"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-2.3199999999999998</v>
      </c>
      <c r="BD31"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-2.3199999999999998</v>
      </c>
      <c r="BE31"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-2.3199999999999998</v>
      </c>
      <c r="BF31"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-2.3199999999999998</v>
      </c>
      <c r="BG31"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-2.3199999999999998</v>
      </c>
      <c r="BH31"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-2.3199999999999998</v>
      </c>
      <c r="BI31"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-2.3199999999999998</v>
      </c>
      <c r="BJ31"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-2.3199999999999998</v>
      </c>
      <c r="BK31"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-2.3199999999999998</v>
      </c>
      <c r="BL31"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-2.3199999999999998</v>
      </c>
      <c r="BM31"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-2.3199999999999998</v>
      </c>
      <c r="BN31"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-2.3199999999999998</v>
      </c>
      <c r="BO31"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-2.3199999999999998</v>
      </c>
      <c r="BP31"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-2.3199999999999998</v>
      </c>
      <c r="BQ31"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-2.3199999999999998</v>
      </c>
      <c r="BR31"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-2.3199999999999998</v>
      </c>
      <c r="BS31"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-2.3199999999999998</v>
      </c>
      <c r="BT31"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-2.3199999999999998</v>
      </c>
      <c r="BU31"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-2.3199999999999998</v>
      </c>
      <c r="BV31"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-2.3199999999999998</v>
      </c>
      <c r="BW31"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-2.3199999999999998</v>
      </c>
      <c r="BX31"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-2.3199999999999998</v>
      </c>
      <c r="BY31"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-2.3199999999999998</v>
      </c>
      <c r="BZ31" s="24">
        <f>IF( TABLE1[[#This Row],[Wick Exit]]&lt;&gt; FALSE,TABLE1[[#This Row],[RRR Wick Exit]],IF(TABLE1[[#This Row],[Volume Exit]]&lt;&gt; FALSE,TABLE1[[#This Row],[RRR Volume Exit]],TABLE1[[#This Row],[RRR Realized]]))</f>
        <v>-2.3199999999999998</v>
      </c>
      <c r="CA31"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-2.3199999999999998</v>
      </c>
      <c r="CB31"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-2.3199999999999998</v>
      </c>
      <c r="CC31"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-2.3199999999999998</v>
      </c>
      <c r="CD31"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-2.3199999999999998</v>
      </c>
    </row>
    <row r="32" spans="1:82" x14ac:dyDescent="0.25">
      <c r="A32" t="s">
        <v>230</v>
      </c>
      <c r="B32">
        <v>31</v>
      </c>
      <c r="C32" s="33">
        <v>43481</v>
      </c>
      <c r="D32" s="1">
        <v>0.42083333333333334</v>
      </c>
      <c r="E32" s="1">
        <v>0.43541666666666662</v>
      </c>
      <c r="F32" s="5">
        <v>2.04</v>
      </c>
      <c r="G32" s="5">
        <v>-16.04</v>
      </c>
      <c r="H32">
        <v>200</v>
      </c>
      <c r="I32" t="s">
        <v>19</v>
      </c>
      <c r="J32" t="s">
        <v>22</v>
      </c>
      <c r="K32">
        <v>5.27</v>
      </c>
      <c r="L32">
        <v>5.27</v>
      </c>
      <c r="M32">
        <v>5.22</v>
      </c>
      <c r="N32">
        <v>5.42</v>
      </c>
      <c r="O32">
        <v>5.2</v>
      </c>
      <c r="P32">
        <v>5.31</v>
      </c>
      <c r="Q32">
        <v>5.2</v>
      </c>
      <c r="R32">
        <v>5.31</v>
      </c>
      <c r="S32">
        <v>5.31</v>
      </c>
      <c r="T32" t="b">
        <v>0</v>
      </c>
      <c r="U32">
        <v>5.21</v>
      </c>
      <c r="V32" t="b">
        <v>0</v>
      </c>
      <c r="X32">
        <v>5.28</v>
      </c>
      <c r="Y32" t="b">
        <v>0</v>
      </c>
      <c r="Z32" t="b">
        <v>0</v>
      </c>
      <c r="AA32" t="b">
        <v>0</v>
      </c>
      <c r="AD32" t="b">
        <v>0</v>
      </c>
      <c r="AE32" t="s">
        <v>25</v>
      </c>
      <c r="AF32" t="s">
        <v>31</v>
      </c>
      <c r="AG32" t="s">
        <v>35</v>
      </c>
      <c r="AI32" t="s">
        <v>431</v>
      </c>
      <c r="AK32" s="26" t="s">
        <v>231</v>
      </c>
      <c r="AL32" s="22">
        <f>(TABLE1[[#This Row],[TP Price]]-TABLE1[[#This Row],[Intended Entry]])/(TABLE1[[#This Row],[Intended Entry]]-TABLE1[[#This Row],[SL Price]])</f>
        <v>3.0000000000000178</v>
      </c>
      <c r="AM32" s="24">
        <f>IF(TABLE1[[#This Row],[Buy/Sell]]="BUY",(TABLE1[[#This Row],[Highest Price]]-TABLE1[[#This Row],[Entry Price]])/(TABLE1[[#This Row],[Intended Entry]]-TABLE1[[#This Row],[SL Price]]),(TABLE1[[#This Row],[Entry Price]]-TABLE1[[#This Row],[Lowest Price]])/(TABLE1[[#This Row],[SL Price]]-TABLE1[[#This Row],[Intended Entry]]))</f>
        <v>0.8000000000000036</v>
      </c>
      <c r="AN32" s="25">
        <f>IF(TABLE1[[#This Row],[Buy/Sell]]="BUY",(TABLE1[[#This Row],[Entry Price]]-TABLE1[[#This Row],[Lowest Price]])/(TABLE1[[#This Row],[SL Price]]-TABLE1[[#This Row],[Intended Entry]]),(TABLE1[[#This Row],[Entry Price]]-TABLE1[[#This Row],[Highest Price]])/(TABLE1[[#This Row],[SL Price]]-TABLE1[[#This Row],[Intended Entry]]))</f>
        <v>-1.3999999999999928</v>
      </c>
      <c r="AO32" s="5" t="str">
        <f>IF(TABLE1[[#This Row],[Gain/Loss]]&lt;0, "LOSER", "WINNER")</f>
        <v>LOSER</v>
      </c>
      <c r="AP32" s="5">
        <f>TABLE1[[#This Row],[Gain/Loss]]-TABLE1[[#This Row],[Comissions]]</f>
        <v>-18.079999999999998</v>
      </c>
      <c r="AQ32" s="4">
        <f>TABLE1[[#This Row],[Exit Time]]-TABLE1[[#This Row],[Entry Time]]</f>
        <v>1.4583333333333282E-2</v>
      </c>
      <c r="AR32" s="21">
        <f>IF(TABLE1[[#This Row],[Retest Price]]&lt;&gt;FALSE,ROUND((TABLE1[[#This Row],[Retest Price]]-TABLE1[[#This Row],[Entry Price]])/(TABLE1[[#This Row],[Intended Entry]]-TABLE1[[#This Row],[SL Price]]),4), "FALSE")</f>
        <v>-1.2</v>
      </c>
      <c r="AS32" s="5">
        <f>TABLE1[[#This Row],[Net Gain/Loss]]+AS31</f>
        <v>-306.80400000000003</v>
      </c>
      <c r="AT32" s="5">
        <f>IF(TABLE1[[#This Row],[Potential Price Before BE]]=FALSE,"FALSE",( TABLE1[[#This Row],[Potential Price Before BE]]-TABLE1[[#This Row],[Intended Entry]])/(TABLE1[[#This Row],[Intended Entry]]-TABLE1[[#This Row],[SL Price]]))</f>
        <v>0.8000000000000036</v>
      </c>
      <c r="AU32" s="5">
        <f>(IF(TABLE1[[#This Row],[Buy/Sell]]="BUY",(TABLE1[[#This Row],[Entry Price]]-TABLE1[[#This Row],[SL Price]])/(TABLE1[[#This Row],[Intended Entry]]-TABLE1[[#This Row],[SL Price]]),(TABLE1[[#This Row],[SL Price]]-TABLE1[[#This Row],[Entry Price]])/(TABLE1[[#This Row],[SL Price]]-TABLE1[[#This Row],[Intended Entry]])))-1</f>
        <v>0</v>
      </c>
      <c r="AV32"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0.39999999999999292</v>
      </c>
      <c r="AW32" s="21">
        <f>TABLE1[[#This Row],[Missed RRR on Entry]]+TABLE1[[#This Row],[Missed RRR on Exit]]</f>
        <v>0.39999999999999292</v>
      </c>
      <c r="AX32" s="21">
        <f>ROUND((TABLE1[[#This Row],[Potential Price]]-TABLE1[[#This Row],[Entry Price]])/(TABLE1[[#This Row],[Intended Entry]]-TABLE1[[#This Row],[SL Price]]),4)</f>
        <v>0.8</v>
      </c>
      <c r="AY32" s="21">
        <f>ROUND((TABLE1[[#This Row],[Potential Price]]-TABLE1[[#This Row],[Intended Entry]])/(TABLE1[[#This Row],[Intended Entry]]-TABLE1[[#This Row],[SL Price]]),4)</f>
        <v>0.8</v>
      </c>
      <c r="AZ32" s="21">
        <f>TABLE1[[#This Row],[RRR Potential]]-TABLE1[[#This Row],[RRR Realized]]</f>
        <v>2.2000000000000002</v>
      </c>
      <c r="BA32" s="29">
        <f>ROUND((TABLE1[[#This Row],[Exit Price]]-TABLE1[[#This Row],[Entry Price]])/(TABLE1[[#This Row],[Intended Entry]]-TABLE1[[#This Row],[SL Price]]),4)</f>
        <v>-1.4</v>
      </c>
      <c r="BB32"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-1.4</v>
      </c>
      <c r="BC32"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-1.4</v>
      </c>
      <c r="BD32"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-1.4</v>
      </c>
      <c r="BE32"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-1.4</v>
      </c>
      <c r="BF32"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-1.4</v>
      </c>
      <c r="BG32"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-1.4</v>
      </c>
      <c r="BH32"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-1.4</v>
      </c>
      <c r="BI32"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-1.4</v>
      </c>
      <c r="BJ32"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-1.4</v>
      </c>
      <c r="BK32"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-1.4</v>
      </c>
      <c r="BL32"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-1.4</v>
      </c>
      <c r="BM32"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-1.4</v>
      </c>
      <c r="BN32"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-1.4</v>
      </c>
      <c r="BO32"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-1.4</v>
      </c>
      <c r="BP32"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-1.4</v>
      </c>
      <c r="BQ32"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-1.4</v>
      </c>
      <c r="BR32"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-1.4</v>
      </c>
      <c r="BS32"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-1.4</v>
      </c>
      <c r="BT32"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0.20000000000001422</v>
      </c>
      <c r="BU32"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0.20000000000001422</v>
      </c>
      <c r="BV32"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0.20000000000001422</v>
      </c>
      <c r="BW32"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0.20000000000001422</v>
      </c>
      <c r="BX32"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0.20000000000001422</v>
      </c>
      <c r="BY32"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0.20000000000001422</v>
      </c>
      <c r="BZ32" s="24">
        <f>IF( TABLE1[[#This Row],[Wick Exit]]&lt;&gt; FALSE,TABLE1[[#This Row],[RRR Wick Exit]],IF(TABLE1[[#This Row],[Volume Exit]]&lt;&gt; FALSE,TABLE1[[#This Row],[RRR Volume Exit]],TABLE1[[#This Row],[RRR Realized]]))</f>
        <v>0.20000000000001422</v>
      </c>
      <c r="CA32"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-1.4</v>
      </c>
      <c r="CB32"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-1.4</v>
      </c>
      <c r="CC32"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-1.4</v>
      </c>
      <c r="CD32"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-1.4</v>
      </c>
    </row>
    <row r="33" spans="1:82" x14ac:dyDescent="0.25">
      <c r="A33" t="s">
        <v>232</v>
      </c>
      <c r="B33">
        <v>32</v>
      </c>
      <c r="C33" s="2">
        <v>43482</v>
      </c>
      <c r="D33" s="1">
        <v>0.41250000000000003</v>
      </c>
      <c r="E33" s="1">
        <v>0.42083333333333334</v>
      </c>
      <c r="F33" s="5">
        <v>2.0299999999999998</v>
      </c>
      <c r="G33" s="5">
        <v>30</v>
      </c>
      <c r="H33" s="17">
        <v>200</v>
      </c>
      <c r="I33" t="s">
        <v>19</v>
      </c>
      <c r="J33" t="s">
        <v>22</v>
      </c>
      <c r="K33">
        <v>2.76</v>
      </c>
      <c r="L33">
        <v>2.76</v>
      </c>
      <c r="M33">
        <v>2.71</v>
      </c>
      <c r="N33">
        <v>2.91</v>
      </c>
      <c r="O33">
        <v>2.91</v>
      </c>
      <c r="P33">
        <v>2.91</v>
      </c>
      <c r="Q33">
        <v>2.71</v>
      </c>
      <c r="R33">
        <v>3.27</v>
      </c>
      <c r="S33">
        <v>3.27</v>
      </c>
      <c r="T33" t="b">
        <v>0</v>
      </c>
      <c r="U33">
        <v>2.7</v>
      </c>
      <c r="V33" t="b">
        <v>1</v>
      </c>
      <c r="X33">
        <v>3</v>
      </c>
      <c r="Y33">
        <v>4</v>
      </c>
      <c r="Z33" t="b">
        <v>0</v>
      </c>
      <c r="AA33">
        <v>3</v>
      </c>
      <c r="AB33">
        <v>4</v>
      </c>
      <c r="AC33" t="b">
        <v>0</v>
      </c>
      <c r="AD33" t="b">
        <v>0</v>
      </c>
      <c r="AE33" t="s">
        <v>28</v>
      </c>
      <c r="AF33" t="s">
        <v>31</v>
      </c>
      <c r="AG33" t="s">
        <v>34</v>
      </c>
      <c r="AH33">
        <v>38</v>
      </c>
      <c r="AI33" t="s">
        <v>431</v>
      </c>
      <c r="AJ33" t="s">
        <v>163</v>
      </c>
      <c r="AK33" s="26" t="s">
        <v>233</v>
      </c>
      <c r="AL33" s="22">
        <f>(TABLE1[[#This Row],[TP Price]]-TABLE1[[#This Row],[Intended Entry]])/(TABLE1[[#This Row],[Intended Entry]]-TABLE1[[#This Row],[SL Price]])</f>
        <v>3.0000000000000178</v>
      </c>
      <c r="AM33" s="24">
        <f>IF(TABLE1[[#This Row],[Buy/Sell]]="BUY",(TABLE1[[#This Row],[Highest Price]]-TABLE1[[#This Row],[Entry Price]])/(TABLE1[[#This Row],[Intended Entry]]-TABLE1[[#This Row],[SL Price]]),(TABLE1[[#This Row],[Entry Price]]-TABLE1[[#This Row],[Lowest Price]])/(TABLE1[[#This Row],[SL Price]]-TABLE1[[#This Row],[Intended Entry]]))</f>
        <v>3.0000000000000178</v>
      </c>
      <c r="AN33" s="25">
        <f>IF(TABLE1[[#This Row],[Buy/Sell]]="BUY",(TABLE1[[#This Row],[Entry Price]]-TABLE1[[#This Row],[Lowest Price]])/(TABLE1[[#This Row],[SL Price]]-TABLE1[[#This Row],[Intended Entry]]),(TABLE1[[#This Row],[Entry Price]]-TABLE1[[#This Row],[Highest Price]])/(TABLE1[[#This Row],[SL Price]]-TABLE1[[#This Row],[Intended Entry]]))</f>
        <v>-1</v>
      </c>
      <c r="AO33" s="9" t="str">
        <f>IF(TABLE1[[#This Row],[Gain/Loss]]&lt;0, "LOSER", "WINNER")</f>
        <v>WINNER</v>
      </c>
      <c r="AP33" s="5">
        <f>TABLE1[[#This Row],[Gain/Loss]]-TABLE1[[#This Row],[Comissions]]</f>
        <v>27.97</v>
      </c>
      <c r="AQ33" s="4">
        <f>TABLE1[[#This Row],[Exit Time]]-TABLE1[[#This Row],[Entry Time]]</f>
        <v>8.3333333333333037E-3</v>
      </c>
      <c r="AR33" s="21">
        <f>IF(TABLE1[[#This Row],[Retest Price]]&lt;&gt;FALSE,ROUND((TABLE1[[#This Row],[Retest Price]]-TABLE1[[#This Row],[Entry Price]])/(TABLE1[[#This Row],[Intended Entry]]-TABLE1[[#This Row],[SL Price]]),4), "FALSE")</f>
        <v>-1.2</v>
      </c>
      <c r="AS33" s="5">
        <f>TABLE1[[#This Row],[Net Gain/Loss]]+AS32</f>
        <v>-278.83400000000006</v>
      </c>
      <c r="AT33" s="5">
        <f>IF(TABLE1[[#This Row],[Potential Price Before BE]]=FALSE,"FALSE",( TABLE1[[#This Row],[Potential Price Before BE]]-TABLE1[[#This Row],[Intended Entry]])/(TABLE1[[#This Row],[Intended Entry]]-TABLE1[[#This Row],[SL Price]]))</f>
        <v>10.20000000000004</v>
      </c>
      <c r="AU33" s="5">
        <f>(IF(TABLE1[[#This Row],[Buy/Sell]]="BUY",(TABLE1[[#This Row],[Entry Price]]-TABLE1[[#This Row],[SL Price]])/(TABLE1[[#This Row],[Intended Entry]]-TABLE1[[#This Row],[SL Price]]),(TABLE1[[#This Row],[SL Price]]-TABLE1[[#This Row],[Entry Price]])/(TABLE1[[#This Row],[SL Price]]-TABLE1[[#This Row],[Intended Entry]])))-1</f>
        <v>0</v>
      </c>
      <c r="AV33"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W33" s="21">
        <f>TABLE1[[#This Row],[Missed RRR on Entry]]+TABLE1[[#This Row],[Missed RRR on Exit]]</f>
        <v>0</v>
      </c>
      <c r="AX33" s="21">
        <f>ROUND((TABLE1[[#This Row],[Potential Price]]-TABLE1[[#This Row],[Entry Price]])/(TABLE1[[#This Row],[Intended Entry]]-TABLE1[[#This Row],[SL Price]]),4)</f>
        <v>10.199999999999999</v>
      </c>
      <c r="AY33" s="21">
        <f>ROUND((TABLE1[[#This Row],[Potential Price]]-TABLE1[[#This Row],[Intended Entry]])/(TABLE1[[#This Row],[Intended Entry]]-TABLE1[[#This Row],[SL Price]]),4)</f>
        <v>10.199999999999999</v>
      </c>
      <c r="AZ33" s="21">
        <f>TABLE1[[#This Row],[RRR Potential]]-TABLE1[[#This Row],[RRR Realized]]</f>
        <v>7.1999999999999993</v>
      </c>
      <c r="BA33" s="29">
        <f>ROUND((TABLE1[[#This Row],[Exit Price]]-TABLE1[[#This Row],[Entry Price]])/(TABLE1[[#This Row],[Intended Entry]]-TABLE1[[#This Row],[SL Price]]),4)</f>
        <v>3</v>
      </c>
      <c r="BB33"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C33"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D33"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E33"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F33"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G33"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H33"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I33"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J33"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K33"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L33"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M33"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N33"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O33"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P33"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Q33"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R33"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S33"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T33"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4.8000000000000211</v>
      </c>
      <c r="BU33"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4.8000000000000211</v>
      </c>
      <c r="BV33"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4.8000000000000211</v>
      </c>
      <c r="BW33"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4.8000000000000211</v>
      </c>
      <c r="BX33"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4.8000000000000211</v>
      </c>
      <c r="BY33"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4.8000000000000211</v>
      </c>
      <c r="BZ33" s="24">
        <f>IF( TABLE1[[#This Row],[Wick Exit]]&lt;&gt; FALSE,TABLE1[[#This Row],[RRR Wick Exit]],IF(TABLE1[[#This Row],[Volume Exit]]&lt;&gt; FALSE,TABLE1[[#This Row],[RRR Volume Exit]],TABLE1[[#This Row],[RRR Realized]]))</f>
        <v>4.8000000000000211</v>
      </c>
      <c r="CA33"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v>
      </c>
      <c r="CB33"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CC33"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CD33"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row>
    <row r="34" spans="1:82" x14ac:dyDescent="0.25">
      <c r="A34" t="s">
        <v>242</v>
      </c>
      <c r="B34">
        <v>33</v>
      </c>
      <c r="C34" s="2">
        <v>43490</v>
      </c>
      <c r="D34" s="1">
        <v>0.40416666666666662</v>
      </c>
      <c r="E34" s="1">
        <v>0.41875000000000001</v>
      </c>
      <c r="F34" s="5">
        <f>1.25+1.29</f>
        <v>2.54</v>
      </c>
      <c r="G34" s="5">
        <v>30</v>
      </c>
      <c r="H34" s="17">
        <v>250</v>
      </c>
      <c r="I34" t="s">
        <v>19</v>
      </c>
      <c r="J34" t="s">
        <v>23</v>
      </c>
      <c r="K34">
        <v>3.14</v>
      </c>
      <c r="L34">
        <v>3.14</v>
      </c>
      <c r="M34">
        <v>3.18</v>
      </c>
      <c r="N34">
        <v>3.02</v>
      </c>
      <c r="O34">
        <v>3.02</v>
      </c>
      <c r="P34">
        <v>3.18</v>
      </c>
      <c r="Q34">
        <v>3.02</v>
      </c>
      <c r="R34">
        <v>3.0209999999999999</v>
      </c>
      <c r="S34">
        <v>2.58</v>
      </c>
      <c r="T34" t="b">
        <v>0</v>
      </c>
      <c r="U34">
        <v>3.21</v>
      </c>
      <c r="V34" t="b">
        <v>1</v>
      </c>
      <c r="X34">
        <v>2.75</v>
      </c>
      <c r="Y34">
        <v>5</v>
      </c>
      <c r="Z34">
        <v>1.5</v>
      </c>
      <c r="AA34">
        <v>2.75</v>
      </c>
      <c r="AB34">
        <v>5</v>
      </c>
      <c r="AC34">
        <v>1.5</v>
      </c>
      <c r="AD34" t="b">
        <v>0</v>
      </c>
      <c r="AE34" t="s">
        <v>26</v>
      </c>
      <c r="AF34" t="s">
        <v>29</v>
      </c>
      <c r="AG34" t="s">
        <v>40</v>
      </c>
      <c r="AH34">
        <v>4.08</v>
      </c>
      <c r="AI34" t="s">
        <v>52</v>
      </c>
      <c r="AJ34" t="s">
        <v>163</v>
      </c>
      <c r="AK34" s="26" t="s">
        <v>243</v>
      </c>
      <c r="AL34" s="22">
        <f>(TABLE1[[#This Row],[TP Price]]-TABLE1[[#This Row],[Intended Entry]])/(TABLE1[[#This Row],[Intended Entry]]-TABLE1[[#This Row],[SL Price]])</f>
        <v>3</v>
      </c>
      <c r="AM34" s="24">
        <f>IF(TABLE1[[#This Row],[Buy/Sell]]="BUY",(TABLE1[[#This Row],[Highest Price]]-TABLE1[[#This Row],[Entry Price]])/(TABLE1[[#This Row],[Intended Entry]]-TABLE1[[#This Row],[SL Price]]),(TABLE1[[#This Row],[Entry Price]]-TABLE1[[#This Row],[Lowest Price]])/(TABLE1[[#This Row],[SL Price]]-TABLE1[[#This Row],[Intended Entry]]))</f>
        <v>3</v>
      </c>
      <c r="AN34" s="25">
        <f>IF(TABLE1[[#This Row],[Buy/Sell]]="BUY",(TABLE1[[#This Row],[Entry Price]]-TABLE1[[#This Row],[Lowest Price]])/(TABLE1[[#This Row],[SL Price]]-TABLE1[[#This Row],[Intended Entry]]),(TABLE1[[#This Row],[Entry Price]]-TABLE1[[#This Row],[Highest Price]])/(TABLE1[[#This Row],[SL Price]]-TABLE1[[#This Row],[Intended Entry]]))</f>
        <v>-1</v>
      </c>
      <c r="AO34" s="70" t="str">
        <f>IF(TABLE1[[#This Row],[Gain/Loss]]&lt;0, "LOSER", "WINNER")</f>
        <v>WINNER</v>
      </c>
      <c r="AP34" s="5">
        <f>TABLE1[[#This Row],[Gain/Loss]]-TABLE1[[#This Row],[Comissions]]</f>
        <v>27.46</v>
      </c>
      <c r="AQ34" s="4">
        <f>TABLE1[[#This Row],[Exit Time]]-TABLE1[[#This Row],[Entry Time]]</f>
        <v>1.4583333333333393E-2</v>
      </c>
      <c r="AR34" s="21">
        <f>IF(TABLE1[[#This Row],[Retest Price]]&lt;&gt;FALSE,ROUND((TABLE1[[#This Row],[Retest Price]]-TABLE1[[#This Row],[Entry Price]])/(TABLE1[[#This Row],[Intended Entry]]-TABLE1[[#This Row],[SL Price]]),4), "FALSE")</f>
        <v>-1.75</v>
      </c>
      <c r="AS34" s="5">
        <f>TABLE1[[#This Row],[Net Gain/Loss]]+AS33</f>
        <v>-251.37400000000005</v>
      </c>
      <c r="AT34" s="5">
        <f>IF(TABLE1[[#This Row],[Potential Price Before BE]]=FALSE,"FALSE",( TABLE1[[#This Row],[Potential Price Before BE]]-TABLE1[[#This Row],[Intended Entry]])/(TABLE1[[#This Row],[Intended Entry]]-TABLE1[[#This Row],[SL Price]]))</f>
        <v>2.9750000000000028</v>
      </c>
      <c r="AU34" s="5">
        <f>(IF(TABLE1[[#This Row],[Buy/Sell]]="BUY",(TABLE1[[#This Row],[Entry Price]]-TABLE1[[#This Row],[SL Price]])/(TABLE1[[#This Row],[Intended Entry]]-TABLE1[[#This Row],[SL Price]]),(TABLE1[[#This Row],[SL Price]]-TABLE1[[#This Row],[Entry Price]])/(TABLE1[[#This Row],[SL Price]]-TABLE1[[#This Row],[Intended Entry]])))-1</f>
        <v>0</v>
      </c>
      <c r="AV34"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W34" s="21">
        <f>TABLE1[[#This Row],[Missed RRR on Entry]]+TABLE1[[#This Row],[Missed RRR on Exit]]</f>
        <v>0</v>
      </c>
      <c r="AX34" s="21">
        <f>ROUND((TABLE1[[#This Row],[Potential Price]]-TABLE1[[#This Row],[Entry Price]])/(TABLE1[[#This Row],[Intended Entry]]-TABLE1[[#This Row],[SL Price]]),4)</f>
        <v>14</v>
      </c>
      <c r="AY34" s="21">
        <f>ROUND((TABLE1[[#This Row],[Potential Price]]-TABLE1[[#This Row],[Intended Entry]])/(TABLE1[[#This Row],[Intended Entry]]-TABLE1[[#This Row],[SL Price]]),4)</f>
        <v>14</v>
      </c>
      <c r="AZ34" s="21"/>
      <c r="BA34" s="29">
        <f>ROUND((TABLE1[[#This Row],[Exit Price]]-TABLE1[[#This Row],[Entry Price]])/(TABLE1[[#This Row],[Intended Entry]]-TABLE1[[#This Row],[SL Price]]),4)</f>
        <v>3</v>
      </c>
      <c r="BB34"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C34"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D34"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E34"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F34"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G34"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H34"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I34"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J34"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K34"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L34"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M34"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N34"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O34"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P34"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Q34"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R34"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S34"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T34"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U34"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V34"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W34"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-78.499999999999929</v>
      </c>
      <c r="BX34"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v>
      </c>
      <c r="BY34"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v>
      </c>
      <c r="BZ34" s="24">
        <f>IF( TABLE1[[#This Row],[Wick Exit]]&lt;&gt; FALSE,TABLE1[[#This Row],[RRR Wick Exit]],IF(TABLE1[[#This Row],[Volume Exit]]&lt;&gt; FALSE,TABLE1[[#This Row],[RRR Volume Exit]],TABLE1[[#This Row],[RRR Realized]]))</f>
        <v>-78.499999999999929</v>
      </c>
      <c r="CA34"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v>
      </c>
      <c r="CB34"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CC34"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CD34"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row>
    <row r="35" spans="1:82" x14ac:dyDescent="0.25">
      <c r="A35" t="s">
        <v>244</v>
      </c>
      <c r="B35">
        <v>34</v>
      </c>
      <c r="C35" s="2">
        <v>43494</v>
      </c>
      <c r="D35" s="1">
        <v>0.43263888888888885</v>
      </c>
      <c r="E35" s="1">
        <v>0.44236111111111115</v>
      </c>
      <c r="F35" s="5">
        <v>3.09</v>
      </c>
      <c r="G35" s="5">
        <v>-14.45</v>
      </c>
      <c r="H35" s="17">
        <v>500</v>
      </c>
      <c r="I35" t="s">
        <v>262</v>
      </c>
      <c r="J35" t="s">
        <v>22</v>
      </c>
      <c r="K35">
        <v>4.71</v>
      </c>
      <c r="L35">
        <v>4.7089999999999996</v>
      </c>
      <c r="M35">
        <v>4.6900000000000004</v>
      </c>
      <c r="N35">
        <v>4.7699999999999996</v>
      </c>
      <c r="O35">
        <v>4.68</v>
      </c>
      <c r="P35">
        <v>4.74</v>
      </c>
      <c r="Q35">
        <v>4.68</v>
      </c>
      <c r="R35">
        <v>4.74</v>
      </c>
      <c r="S35">
        <v>4.74</v>
      </c>
      <c r="T35" t="b">
        <v>0</v>
      </c>
      <c r="U35">
        <v>4.68</v>
      </c>
      <c r="V35" t="b">
        <v>0</v>
      </c>
      <c r="X35" t="b">
        <v>0</v>
      </c>
      <c r="AA35" t="b">
        <v>0</v>
      </c>
      <c r="AD35" t="b">
        <v>0</v>
      </c>
      <c r="AE35" t="s">
        <v>28</v>
      </c>
      <c r="AF35" t="s">
        <v>31</v>
      </c>
      <c r="AG35" t="s">
        <v>36</v>
      </c>
      <c r="AH35">
        <v>433</v>
      </c>
      <c r="AI35" t="s">
        <v>433</v>
      </c>
      <c r="AJ35" t="s">
        <v>169</v>
      </c>
      <c r="AK35" s="26" t="s">
        <v>245</v>
      </c>
      <c r="AL35" s="22">
        <f>(TABLE1[[#This Row],[TP Price]]-TABLE1[[#This Row],[Intended Entry]])/(TABLE1[[#This Row],[Intended Entry]]-TABLE1[[#This Row],[SL Price]])</f>
        <v>3.0000000000000444</v>
      </c>
      <c r="AM35" s="24">
        <f>IF(TABLE1[[#This Row],[Buy/Sell]]="BUY",(TABLE1[[#This Row],[Highest Price]]-TABLE1[[#This Row],[Entry Price]])/(TABLE1[[#This Row],[Intended Entry]]-TABLE1[[#This Row],[SL Price]]),(TABLE1[[#This Row],[Entry Price]]-TABLE1[[#This Row],[Lowest Price]])/(TABLE1[[#This Row],[SL Price]]-TABLE1[[#This Row],[Intended Entry]]))</f>
        <v>1.5500000000000622</v>
      </c>
      <c r="AN35" s="25">
        <f>IF(TABLE1[[#This Row],[Buy/Sell]]="BUY",(TABLE1[[#This Row],[Entry Price]]-TABLE1[[#This Row],[Lowest Price]])/(TABLE1[[#This Row],[SL Price]]-TABLE1[[#This Row],[Intended Entry]]),(TABLE1[[#This Row],[Entry Price]]-TABLE1[[#This Row],[Highest Price]])/(TABLE1[[#This Row],[SL Price]]-TABLE1[[#This Row],[Intended Entry]]))</f>
        <v>-1.4500000000000266</v>
      </c>
      <c r="AO35" s="9" t="str">
        <f>IF(TABLE1[[#This Row],[Gain/Loss]]&lt;0, "LOSER", "WINNER")</f>
        <v>LOSER</v>
      </c>
      <c r="AP35" s="5">
        <f>TABLE1[[#This Row],[Gain/Loss]]-TABLE1[[#This Row],[Comissions]]</f>
        <v>-17.54</v>
      </c>
      <c r="AQ35" s="4">
        <f>TABLE1[[#This Row],[Exit Time]]-TABLE1[[#This Row],[Entry Time]]</f>
        <v>9.7222222222222987E-3</v>
      </c>
      <c r="AR35" s="21">
        <f>IF(TABLE1[[#This Row],[Retest Price]]&lt;&gt;FALSE,ROUND((TABLE1[[#This Row],[Retest Price]]-TABLE1[[#This Row],[Entry Price]])/(TABLE1[[#This Row],[Intended Entry]]-TABLE1[[#This Row],[SL Price]]),4), "FALSE")</f>
        <v>-1.45</v>
      </c>
      <c r="AS35" s="5">
        <f>TABLE1[[#This Row],[Net Gain/Loss]]+AS34</f>
        <v>-268.91400000000004</v>
      </c>
      <c r="AT35" s="5">
        <f>IF(TABLE1[[#This Row],[Potential Price Before BE]]=FALSE,"FALSE",( TABLE1[[#This Row],[Potential Price Before BE]]-TABLE1[[#This Row],[Intended Entry]])/(TABLE1[[#This Row],[Intended Entry]]-TABLE1[[#This Row],[SL Price]]))</f>
        <v>1.5000000000000444</v>
      </c>
      <c r="AU35" s="5">
        <f>(IF(TABLE1[[#This Row],[Buy/Sell]]="BUY",(TABLE1[[#This Row],[Entry Price]]-TABLE1[[#This Row],[SL Price]])/(TABLE1[[#This Row],[Intended Entry]]-TABLE1[[#This Row],[SL Price]]),(TABLE1[[#This Row],[SL Price]]-TABLE1[[#This Row],[Entry Price]])/(TABLE1[[#This Row],[SL Price]]-TABLE1[[#This Row],[Intended Entry]])))-1</f>
        <v>-5.0000000000017808E-2</v>
      </c>
      <c r="AV35"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0.50000000000004441</v>
      </c>
      <c r="AW35" s="21">
        <f>TABLE1[[#This Row],[Missed RRR on Entry]]+TABLE1[[#This Row],[Missed RRR on Exit]]</f>
        <v>0.4500000000000266</v>
      </c>
      <c r="AX35" s="21">
        <f>ROUND((TABLE1[[#This Row],[Potential Price]]-TABLE1[[#This Row],[Entry Price]])/(TABLE1[[#This Row],[Intended Entry]]-TABLE1[[#This Row],[SL Price]]),4)</f>
        <v>1.55</v>
      </c>
      <c r="AY35" s="21">
        <f>ROUND((TABLE1[[#This Row],[Potential Price]]-TABLE1[[#This Row],[Intended Entry]])/(TABLE1[[#This Row],[Intended Entry]]-TABLE1[[#This Row],[SL Price]]),4)</f>
        <v>1.5</v>
      </c>
      <c r="AZ35" s="21">
        <f>TABLE1[[#This Row],[RRR Potential]]-TABLE1[[#This Row],[RRR Realized]]</f>
        <v>3</v>
      </c>
      <c r="BA35" s="29">
        <f>ROUND((TABLE1[[#This Row],[Exit Price]]-TABLE1[[#This Row],[Entry Price]])/(TABLE1[[#This Row],[Intended Entry]]-TABLE1[[#This Row],[SL Price]]),4)</f>
        <v>-1.45</v>
      </c>
      <c r="BB35"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-1.45</v>
      </c>
      <c r="BC35"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5.0000000000017808E-2</v>
      </c>
      <c r="BD35"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5.0000000000017808E-2</v>
      </c>
      <c r="BE35"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-1.45</v>
      </c>
      <c r="BF35"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-1.45</v>
      </c>
      <c r="BG35"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-1.45</v>
      </c>
      <c r="BH35"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-1.45</v>
      </c>
      <c r="BI35"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5.0000000000017808E-2</v>
      </c>
      <c r="BJ35"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5.0000000000017808E-2</v>
      </c>
      <c r="BK35"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5.0000000000017808E-2</v>
      </c>
      <c r="BL35"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5.0000000000017808E-2</v>
      </c>
      <c r="BM35"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5.0000000000017808E-2</v>
      </c>
      <c r="BN35"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5.0000000000017808E-2</v>
      </c>
      <c r="BO35"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5.0000000000017808E-2</v>
      </c>
      <c r="BP35"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5.0000000000017808E-2</v>
      </c>
      <c r="BQ35"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-1.45</v>
      </c>
      <c r="BR35"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5.0000000000017808E-2</v>
      </c>
      <c r="BS35"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5.0000000000017808E-2</v>
      </c>
      <c r="BT35"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-1.45</v>
      </c>
      <c r="BU35"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5.0000000000017808E-2</v>
      </c>
      <c r="BV35"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5.0000000000017808E-2</v>
      </c>
      <c r="BW35"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-1.45</v>
      </c>
      <c r="BX35"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5.0000000000017808E-2</v>
      </c>
      <c r="BY35"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5.0000000000017808E-2</v>
      </c>
      <c r="BZ35" s="24">
        <f>IF( TABLE1[[#This Row],[Wick Exit]]&lt;&gt; FALSE,TABLE1[[#This Row],[RRR Wick Exit]],IF(TABLE1[[#This Row],[Volume Exit]]&lt;&gt; FALSE,TABLE1[[#This Row],[RRR Volume Exit]],TABLE1[[#This Row],[RRR Realized]]))</f>
        <v>-1.45</v>
      </c>
      <c r="CA35"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-1.45</v>
      </c>
      <c r="CB35"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-1.45</v>
      </c>
      <c r="CC35"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5.0000000000017808E-2</v>
      </c>
      <c r="CD35"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5.0000000000017808E-2</v>
      </c>
    </row>
    <row r="36" spans="1:82" x14ac:dyDescent="0.25">
      <c r="A36" t="s">
        <v>246</v>
      </c>
      <c r="B36">
        <v>35</v>
      </c>
      <c r="C36" s="2">
        <v>43494</v>
      </c>
      <c r="D36" s="1">
        <v>0.45902777777777781</v>
      </c>
      <c r="E36" s="1">
        <v>0.53541666666666665</v>
      </c>
      <c r="F36" s="5">
        <v>2.0499999999999998</v>
      </c>
      <c r="G36" s="5">
        <v>-15</v>
      </c>
      <c r="H36" s="17">
        <v>200</v>
      </c>
      <c r="I36" t="s">
        <v>262</v>
      </c>
      <c r="J36" t="s">
        <v>22</v>
      </c>
      <c r="K36">
        <v>9.23</v>
      </c>
      <c r="L36">
        <v>9.2149999999999999</v>
      </c>
      <c r="M36" s="5">
        <v>9.18</v>
      </c>
      <c r="N36">
        <v>9.3699999999999992</v>
      </c>
      <c r="O36">
        <v>9.14</v>
      </c>
      <c r="P36">
        <v>9.31</v>
      </c>
      <c r="Q36">
        <v>9.14</v>
      </c>
      <c r="R36">
        <v>9.31</v>
      </c>
      <c r="S36">
        <v>9.31</v>
      </c>
      <c r="T36" t="b">
        <v>0</v>
      </c>
      <c r="U36">
        <v>9.14</v>
      </c>
      <c r="V36" t="b">
        <v>0</v>
      </c>
      <c r="X36">
        <v>9.25</v>
      </c>
      <c r="Y36" t="b">
        <v>0</v>
      </c>
      <c r="Z36" t="b">
        <v>0</v>
      </c>
      <c r="AA36">
        <v>9.25</v>
      </c>
      <c r="AB36" t="b">
        <v>0</v>
      </c>
      <c r="AC36" t="b">
        <v>0</v>
      </c>
      <c r="AD36" t="b">
        <v>0</v>
      </c>
      <c r="AE36" t="s">
        <v>28</v>
      </c>
      <c r="AF36" t="s">
        <v>31</v>
      </c>
      <c r="AG36" t="s">
        <v>36</v>
      </c>
      <c r="AH36">
        <v>91</v>
      </c>
      <c r="AI36" t="s">
        <v>431</v>
      </c>
      <c r="AJ36" t="s">
        <v>169</v>
      </c>
      <c r="AK36" s="26" t="s">
        <v>247</v>
      </c>
      <c r="AL36" s="22">
        <f>(TABLE1[[#This Row],[TP Price]]-TABLE1[[#This Row],[Intended Entry]])/(TABLE1[[#This Row],[Intended Entry]]-TABLE1[[#This Row],[SL Price]])</f>
        <v>2.7999999999999359</v>
      </c>
      <c r="AM36" s="24">
        <f>IF(TABLE1[[#This Row],[Buy/Sell]]="BUY",(TABLE1[[#This Row],[Highest Price]]-TABLE1[[#This Row],[Entry Price]])/(TABLE1[[#This Row],[Intended Entry]]-TABLE1[[#This Row],[SL Price]]),(TABLE1[[#This Row],[Entry Price]]-TABLE1[[#This Row],[Lowest Price]])/(TABLE1[[#This Row],[SL Price]]-TABLE1[[#This Row],[Intended Entry]]))</f>
        <v>1.8999999999999857</v>
      </c>
      <c r="AN36" s="25">
        <f>IF(TABLE1[[#This Row],[Buy/Sell]]="BUY",(TABLE1[[#This Row],[Entry Price]]-TABLE1[[#This Row],[Lowest Price]])/(TABLE1[[#This Row],[SL Price]]-TABLE1[[#This Row],[Intended Entry]]),(TABLE1[[#This Row],[Entry Price]]-TABLE1[[#This Row],[Highest Price]])/(TABLE1[[#This Row],[SL Price]]-TABLE1[[#This Row],[Intended Entry]]))</f>
        <v>-1.4999999999999645</v>
      </c>
      <c r="AO36" s="9" t="str">
        <f>IF(TABLE1[[#This Row],[Gain/Loss]]&lt;0, "LOSER", "WINNER")</f>
        <v>LOSER</v>
      </c>
      <c r="AP36" s="5">
        <f>TABLE1[[#This Row],[Gain/Loss]]-TABLE1[[#This Row],[Comissions]]</f>
        <v>-17.05</v>
      </c>
      <c r="AQ36" s="4">
        <f>TABLE1[[#This Row],[Exit Time]]-TABLE1[[#This Row],[Entry Time]]</f>
        <v>7.638888888888884E-2</v>
      </c>
      <c r="AR36" s="21">
        <f>IF(TABLE1[[#This Row],[Retest Price]]&lt;&gt;FALSE,ROUND((TABLE1[[#This Row],[Retest Price]]-TABLE1[[#This Row],[Entry Price]])/(TABLE1[[#This Row],[Intended Entry]]-TABLE1[[#This Row],[SL Price]]),4), "FALSE")</f>
        <v>-1.5</v>
      </c>
      <c r="AS36" s="5">
        <f>TABLE1[[#This Row],[Net Gain/Loss]]+AS35</f>
        <v>-285.96400000000006</v>
      </c>
      <c r="AT36" s="5">
        <f>IF(TABLE1[[#This Row],[Potential Price Before BE]]=FALSE,"FALSE",( TABLE1[[#This Row],[Potential Price Before BE]]-TABLE1[[#This Row],[Intended Entry]])/(TABLE1[[#This Row],[Intended Entry]]-TABLE1[[#This Row],[SL Price]]))</f>
        <v>1.5999999999999788</v>
      </c>
      <c r="AU36" s="5">
        <f>(IF(TABLE1[[#This Row],[Buy/Sell]]="BUY",(TABLE1[[#This Row],[Entry Price]]-TABLE1[[#This Row],[SL Price]])/(TABLE1[[#This Row],[Intended Entry]]-TABLE1[[#This Row],[SL Price]]),(TABLE1[[#This Row],[SL Price]]-TABLE1[[#This Row],[Entry Price]])/(TABLE1[[#This Row],[SL Price]]-TABLE1[[#This Row],[Intended Entry]])))-1</f>
        <v>-0.30000000000000715</v>
      </c>
      <c r="AV36"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0.79999999999997162</v>
      </c>
      <c r="AW36" s="21">
        <f>TABLE1[[#This Row],[Missed RRR on Entry]]+TABLE1[[#This Row],[Missed RRR on Exit]]</f>
        <v>0.49999999999996447</v>
      </c>
      <c r="AX36" s="21">
        <f>ROUND((TABLE1[[#This Row],[Potential Price]]-TABLE1[[#This Row],[Entry Price]])/(TABLE1[[#This Row],[Intended Entry]]-TABLE1[[#This Row],[SL Price]]),4)</f>
        <v>1.9</v>
      </c>
      <c r="AY36" s="21">
        <f>ROUND((TABLE1[[#This Row],[Potential Price]]-TABLE1[[#This Row],[Intended Entry]])/(TABLE1[[#This Row],[Intended Entry]]-TABLE1[[#This Row],[SL Price]]),4)</f>
        <v>1.6</v>
      </c>
      <c r="AZ36" s="21">
        <f>TABLE1[[#This Row],[RRR Potential]]-TABLE1[[#This Row],[RRR Realized]]</f>
        <v>3.4</v>
      </c>
      <c r="BA36" s="29">
        <f>ROUND((TABLE1[[#This Row],[Exit Price]]-TABLE1[[#This Row],[Entry Price]])/(TABLE1[[#This Row],[Intended Entry]]-TABLE1[[#This Row],[SL Price]]),4)</f>
        <v>-1.5</v>
      </c>
      <c r="BB36"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-1.5</v>
      </c>
      <c r="BC36"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0.30000000000000715</v>
      </c>
      <c r="BD36"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0.30000000000000715</v>
      </c>
      <c r="BE36"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-1.5</v>
      </c>
      <c r="BF36"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-1.5</v>
      </c>
      <c r="BG36"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-1.5</v>
      </c>
      <c r="BH36"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-1.5</v>
      </c>
      <c r="BI36"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0.30000000000000715</v>
      </c>
      <c r="BJ36"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0.30000000000000715</v>
      </c>
      <c r="BK36"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0.30000000000000715</v>
      </c>
      <c r="BL36"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0.30000000000000715</v>
      </c>
      <c r="BM36"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0.30000000000000715</v>
      </c>
      <c r="BN36"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0.30000000000000715</v>
      </c>
      <c r="BO36"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0.30000000000000715</v>
      </c>
      <c r="BP36"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0.30000000000000715</v>
      </c>
      <c r="BQ36"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-1.5</v>
      </c>
      <c r="BR36"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0.30000000000000715</v>
      </c>
      <c r="BS36"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0.30000000000000715</v>
      </c>
      <c r="BT36"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0.69999999999999285</v>
      </c>
      <c r="BU36"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0.69999999999999285</v>
      </c>
      <c r="BV36"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0.69999999999999285</v>
      </c>
      <c r="BW36"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0.69999999999999285</v>
      </c>
      <c r="BX36"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0.69999999999999285</v>
      </c>
      <c r="BY36"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0.69999999999999285</v>
      </c>
      <c r="BZ36" s="24">
        <f>IF( TABLE1[[#This Row],[Wick Exit]]&lt;&gt; FALSE,TABLE1[[#This Row],[RRR Wick Exit]],IF(TABLE1[[#This Row],[Volume Exit]]&lt;&gt; FALSE,TABLE1[[#This Row],[RRR Volume Exit]],TABLE1[[#This Row],[RRR Realized]]))</f>
        <v>0.69999999999999285</v>
      </c>
      <c r="CA36"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-1.5</v>
      </c>
      <c r="CB36"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-1.5</v>
      </c>
      <c r="CC36"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0.30000000000000715</v>
      </c>
      <c r="CD36"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0.30000000000000715</v>
      </c>
    </row>
    <row r="37" spans="1:82" x14ac:dyDescent="0.25">
      <c r="A37" t="s">
        <v>254</v>
      </c>
      <c r="B37">
        <v>36</v>
      </c>
      <c r="C37" s="2">
        <v>43495</v>
      </c>
      <c r="D37" s="1">
        <v>0.40416666666666662</v>
      </c>
      <c r="E37" s="1">
        <v>0.40416666666666662</v>
      </c>
      <c r="F37" s="5">
        <v>2.02</v>
      </c>
      <c r="G37" s="5">
        <v>-20</v>
      </c>
      <c r="H37" s="17">
        <v>100</v>
      </c>
      <c r="I37" t="s">
        <v>19</v>
      </c>
      <c r="J37" t="s">
        <v>22</v>
      </c>
      <c r="K37">
        <v>3.5</v>
      </c>
      <c r="L37">
        <v>3.5</v>
      </c>
      <c r="M37">
        <v>3.4</v>
      </c>
      <c r="N37">
        <v>3.8</v>
      </c>
      <c r="O37">
        <v>3.3</v>
      </c>
      <c r="P37">
        <v>3.5</v>
      </c>
      <c r="Q37">
        <v>3.3</v>
      </c>
      <c r="R37">
        <v>3.5</v>
      </c>
      <c r="S37">
        <v>3.5</v>
      </c>
      <c r="T37" t="b">
        <v>0</v>
      </c>
      <c r="U37" t="b">
        <v>0</v>
      </c>
      <c r="V37" t="b">
        <v>0</v>
      </c>
      <c r="X37" t="b">
        <v>0</v>
      </c>
      <c r="AA37" t="b">
        <v>0</v>
      </c>
      <c r="AD37" t="b">
        <v>0</v>
      </c>
      <c r="AE37" t="s">
        <v>25</v>
      </c>
      <c r="AF37" t="s">
        <v>32</v>
      </c>
      <c r="AG37" t="s">
        <v>34</v>
      </c>
      <c r="AH37">
        <v>9.98</v>
      </c>
      <c r="AI37" t="s">
        <v>431</v>
      </c>
      <c r="AJ37" t="s">
        <v>163</v>
      </c>
      <c r="AK37" s="26" t="s">
        <v>255</v>
      </c>
      <c r="AL37" s="22">
        <f>(TABLE1[[#This Row],[TP Price]]-TABLE1[[#This Row],[Intended Entry]])/(TABLE1[[#This Row],[Intended Entry]]-TABLE1[[#This Row],[SL Price]])</f>
        <v>2.9999999999999956</v>
      </c>
      <c r="AM37" s="24">
        <f>IF(TABLE1[[#This Row],[Buy/Sell]]="BUY",(TABLE1[[#This Row],[Highest Price]]-TABLE1[[#This Row],[Entry Price]])/(TABLE1[[#This Row],[Intended Entry]]-TABLE1[[#This Row],[SL Price]]),(TABLE1[[#This Row],[Entry Price]]-TABLE1[[#This Row],[Lowest Price]])/(TABLE1[[#This Row],[SL Price]]-TABLE1[[#This Row],[Intended Entry]]))</f>
        <v>0</v>
      </c>
      <c r="AN37" s="25">
        <f>IF(TABLE1[[#This Row],[Buy/Sell]]="BUY",(TABLE1[[#This Row],[Entry Price]]-TABLE1[[#This Row],[Lowest Price]])/(TABLE1[[#This Row],[SL Price]]-TABLE1[[#This Row],[Intended Entry]]),(TABLE1[[#This Row],[Entry Price]]-TABLE1[[#This Row],[Highest Price]])/(TABLE1[[#This Row],[SL Price]]-TABLE1[[#This Row],[Intended Entry]]))</f>
        <v>-2</v>
      </c>
      <c r="AO37" s="9" t="str">
        <f>IF(TABLE1[[#This Row],[Gain/Loss]]&lt;0, "LOSER", "WINNER")</f>
        <v>LOSER</v>
      </c>
      <c r="AP37" s="5">
        <f>TABLE1[[#This Row],[Gain/Loss]]-TABLE1[[#This Row],[Comissions]]</f>
        <v>-22.02</v>
      </c>
      <c r="AQ37" s="4">
        <f>TABLE1[[#This Row],[Exit Time]]-TABLE1[[#This Row],[Entry Time]]</f>
        <v>0</v>
      </c>
      <c r="AR37" s="21" t="str">
        <f>IF(TABLE1[[#This Row],[Retest Price]]&lt;&gt;FALSE,ROUND((TABLE1[[#This Row],[Retest Price]]-TABLE1[[#This Row],[Entry Price]])/(TABLE1[[#This Row],[Intended Entry]]-TABLE1[[#This Row],[SL Price]]),4), "FALSE")</f>
        <v>FALSE</v>
      </c>
      <c r="AS37" s="5">
        <f>TABLE1[[#This Row],[Net Gain/Loss]]+AS36</f>
        <v>-307.98400000000004</v>
      </c>
      <c r="AT37" s="5">
        <f>IF(TABLE1[[#This Row],[Potential Price Before BE]]=FALSE,"FALSE",( TABLE1[[#This Row],[Potential Price Before BE]]-TABLE1[[#This Row],[Intended Entry]])/(TABLE1[[#This Row],[Intended Entry]]-TABLE1[[#This Row],[SL Price]]))</f>
        <v>0</v>
      </c>
      <c r="AU37" s="5">
        <f>(IF(TABLE1[[#This Row],[Buy/Sell]]="BUY",(TABLE1[[#This Row],[Entry Price]]-TABLE1[[#This Row],[SL Price]])/(TABLE1[[#This Row],[Intended Entry]]-TABLE1[[#This Row],[SL Price]]),(TABLE1[[#This Row],[SL Price]]-TABLE1[[#This Row],[Entry Price]])/(TABLE1[[#This Row],[SL Price]]-TABLE1[[#This Row],[Intended Entry]])))-1</f>
        <v>0</v>
      </c>
      <c r="AV37"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v>
      </c>
      <c r="AW37" s="21">
        <f>TABLE1[[#This Row],[Missed RRR on Entry]]+TABLE1[[#This Row],[Missed RRR on Exit]]</f>
        <v>1</v>
      </c>
      <c r="AX37" s="21">
        <f>ROUND((TABLE1[[#This Row],[Potential Price]]-TABLE1[[#This Row],[Entry Price]])/(TABLE1[[#This Row],[Intended Entry]]-TABLE1[[#This Row],[SL Price]]),4)</f>
        <v>0</v>
      </c>
      <c r="AY37" s="21">
        <f>ROUND((TABLE1[[#This Row],[Potential Price]]-TABLE1[[#This Row],[Intended Entry]])/(TABLE1[[#This Row],[Intended Entry]]-TABLE1[[#This Row],[SL Price]]),4)</f>
        <v>0</v>
      </c>
      <c r="AZ37" s="21">
        <f>TABLE1[[#This Row],[RRR Potential]]-TABLE1[[#This Row],[RRR Realized]]</f>
        <v>2</v>
      </c>
      <c r="BA37" s="29">
        <f>ROUND((TABLE1[[#This Row],[Exit Price]]-TABLE1[[#This Row],[Entry Price]])/(TABLE1[[#This Row],[Intended Entry]]-TABLE1[[#This Row],[SL Price]]),4)</f>
        <v>-2</v>
      </c>
      <c r="BB37"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v>
      </c>
      <c r="BC37"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v>
      </c>
      <c r="BD37"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v>
      </c>
      <c r="BE37"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v>
      </c>
      <c r="BF37"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v>
      </c>
      <c r="BG37"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v>
      </c>
      <c r="BH37"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v>
      </c>
      <c r="BI37"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v>
      </c>
      <c r="BJ37"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v>
      </c>
      <c r="BK37"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v>
      </c>
      <c r="BL37"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v>
      </c>
      <c r="BM37"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v>
      </c>
      <c r="BN37"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v>
      </c>
      <c r="BO37"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v>
      </c>
      <c r="BP37"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v>
      </c>
      <c r="BQ37"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v>
      </c>
      <c r="BR37"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v>
      </c>
      <c r="BS37"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v>
      </c>
      <c r="BT37"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v>
      </c>
      <c r="BU37"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v>
      </c>
      <c r="BV37"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v>
      </c>
      <c r="BW37"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v>
      </c>
      <c r="BX37"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v>
      </c>
      <c r="BY37"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v>
      </c>
      <c r="BZ37" s="24">
        <f>IF( TABLE1[[#This Row],[Wick Exit]]&lt;&gt; FALSE,TABLE1[[#This Row],[RRR Wick Exit]],IF(TABLE1[[#This Row],[Volume Exit]]&lt;&gt; FALSE,TABLE1[[#This Row],[RRR Volume Exit]],TABLE1[[#This Row],[RRR Realized]]))</f>
        <v>-2</v>
      </c>
      <c r="CA37"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v>
      </c>
      <c r="CB37"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v>
      </c>
      <c r="CC37"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v>
      </c>
      <c r="CD37"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v>
      </c>
    </row>
    <row r="38" spans="1:82" x14ac:dyDescent="0.25">
      <c r="A38" t="s">
        <v>254</v>
      </c>
      <c r="B38">
        <v>37</v>
      </c>
      <c r="C38" s="2">
        <v>43495</v>
      </c>
      <c r="D38" s="1">
        <v>0.40763888888888888</v>
      </c>
      <c r="E38" s="1">
        <v>0.41180555555555554</v>
      </c>
      <c r="F38" s="5">
        <v>2.0099999999999998</v>
      </c>
      <c r="G38" s="5">
        <v>-19.8</v>
      </c>
      <c r="H38" s="17">
        <v>66</v>
      </c>
      <c r="I38" t="s">
        <v>19</v>
      </c>
      <c r="J38" t="s">
        <v>22</v>
      </c>
      <c r="K38">
        <v>3.5</v>
      </c>
      <c r="L38">
        <v>3.5</v>
      </c>
      <c r="M38">
        <v>3.35</v>
      </c>
      <c r="N38">
        <v>3.95</v>
      </c>
      <c r="O38">
        <v>3.2</v>
      </c>
      <c r="P38">
        <v>3.78</v>
      </c>
      <c r="Q38">
        <v>3.2</v>
      </c>
      <c r="R38">
        <v>3.78</v>
      </c>
      <c r="S38">
        <v>3.78</v>
      </c>
      <c r="T38" t="b">
        <v>0</v>
      </c>
      <c r="U38" t="b">
        <v>0</v>
      </c>
      <c r="V38" t="b">
        <v>0</v>
      </c>
      <c r="X38" t="b">
        <v>0</v>
      </c>
      <c r="AA38" t="b">
        <v>0</v>
      </c>
      <c r="AD38" t="b">
        <v>0</v>
      </c>
      <c r="AE38" t="s">
        <v>28</v>
      </c>
      <c r="AF38" t="s">
        <v>32</v>
      </c>
      <c r="AG38" t="s">
        <v>34</v>
      </c>
      <c r="AH38">
        <v>9.98</v>
      </c>
      <c r="AI38" t="s">
        <v>431</v>
      </c>
      <c r="AJ38" t="s">
        <v>163</v>
      </c>
      <c r="AK38" s="26" t="s">
        <v>255</v>
      </c>
      <c r="AL38" s="22">
        <f>(TABLE1[[#This Row],[TP Price]]-TABLE1[[#This Row],[Intended Entry]])/(TABLE1[[#This Row],[Intended Entry]]-TABLE1[[#This Row],[SL Price]])</f>
        <v>3.0000000000000031</v>
      </c>
      <c r="AM38" s="71">
        <f>IF(TABLE1[[#This Row],[Buy/Sell]]="BUY",(TABLE1[[#This Row],[Highest Price]]-TABLE1[[#This Row],[Entry Price]])/(TABLE1[[#This Row],[Intended Entry]]-TABLE1[[#This Row],[SL Price]]),(TABLE1[[#This Row],[Entry Price]]-TABLE1[[#This Row],[Lowest Price]])/(TABLE1[[#This Row],[SL Price]]-TABLE1[[#This Row],[Intended Entry]]))</f>
        <v>1.8666666666666665</v>
      </c>
      <c r="AN38" s="72">
        <f>IF(TABLE1[[#This Row],[Buy/Sell]]="BUY",(TABLE1[[#This Row],[Entry Price]]-TABLE1[[#This Row],[Lowest Price]])/(TABLE1[[#This Row],[SL Price]]-TABLE1[[#This Row],[Intended Entry]]),(TABLE1[[#This Row],[Entry Price]]-TABLE1[[#This Row],[Highest Price]])/(TABLE1[[#This Row],[SL Price]]-TABLE1[[#This Row],[Intended Entry]]))</f>
        <v>-2</v>
      </c>
      <c r="AO38" s="9" t="str">
        <f>IF(TABLE1[[#This Row],[Gain/Loss]]&lt;0, "LOSER", "WINNER")</f>
        <v>LOSER</v>
      </c>
      <c r="AP38" s="5">
        <f>TABLE1[[#This Row],[Gain/Loss]]-TABLE1[[#This Row],[Comissions]]</f>
        <v>-21.810000000000002</v>
      </c>
      <c r="AQ38" s="4">
        <f>TABLE1[[#This Row],[Exit Time]]-TABLE1[[#This Row],[Entry Time]]</f>
        <v>4.1666666666666519E-3</v>
      </c>
      <c r="AR38" s="21" t="str">
        <f>IF(TABLE1[[#This Row],[Retest Price]]&lt;&gt;FALSE,ROUND((TABLE1[[#This Row],[Retest Price]]-TABLE1[[#This Row],[Entry Price]])/(TABLE1[[#This Row],[Intended Entry]]-TABLE1[[#This Row],[SL Price]]),4), "FALSE")</f>
        <v>FALSE</v>
      </c>
      <c r="AS38" s="5">
        <f>TABLE1[[#This Row],[Net Gain/Loss]]+AS37</f>
        <v>-329.79400000000004</v>
      </c>
      <c r="AT38" s="5">
        <f>IF(TABLE1[[#This Row],[Potential Price Before BE]]=FALSE,"FALSE",( TABLE1[[#This Row],[Potential Price Before BE]]-TABLE1[[#This Row],[Intended Entry]])/(TABLE1[[#This Row],[Intended Entry]]-TABLE1[[#This Row],[SL Price]]))</f>
        <v>1.8666666666666665</v>
      </c>
      <c r="AU38" s="5">
        <f>(IF(TABLE1[[#This Row],[Buy/Sell]]="BUY",(TABLE1[[#This Row],[Entry Price]]-TABLE1[[#This Row],[SL Price]])/(TABLE1[[#This Row],[Intended Entry]]-TABLE1[[#This Row],[SL Price]]),(TABLE1[[#This Row],[SL Price]]-TABLE1[[#This Row],[Entry Price]])/(TABLE1[[#This Row],[SL Price]]-TABLE1[[#This Row],[Intended Entry]])))-1</f>
        <v>0</v>
      </c>
      <c r="AV38"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v>
      </c>
      <c r="AW38" s="21">
        <f>TABLE1[[#This Row],[Missed RRR on Entry]]+TABLE1[[#This Row],[Missed RRR on Exit]]</f>
        <v>1</v>
      </c>
      <c r="AX38" s="21">
        <f>ROUND((TABLE1[[#This Row],[Potential Price]]-TABLE1[[#This Row],[Entry Price]])/(TABLE1[[#This Row],[Intended Entry]]-TABLE1[[#This Row],[SL Price]]),4)</f>
        <v>1.8667</v>
      </c>
      <c r="AY38" s="21">
        <f>ROUND((TABLE1[[#This Row],[Potential Price]]-TABLE1[[#This Row],[Intended Entry]])/(TABLE1[[#This Row],[Intended Entry]]-TABLE1[[#This Row],[SL Price]]),4)</f>
        <v>1.8667</v>
      </c>
      <c r="AZ38" s="21">
        <f>TABLE1[[#This Row],[RRR Potential]]-TABLE1[[#This Row],[RRR Realized]]</f>
        <v>3.8666999999999998</v>
      </c>
      <c r="BA38" s="29">
        <f>ROUND((TABLE1[[#This Row],[Exit Price]]-TABLE1[[#This Row],[Entry Price]])/(TABLE1[[#This Row],[Intended Entry]]-TABLE1[[#This Row],[SL Price]]),4)</f>
        <v>-2</v>
      </c>
      <c r="BB38"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v>
      </c>
      <c r="BC38"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D38"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E38"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v>
      </c>
      <c r="BF38"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v>
      </c>
      <c r="BG38"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v>
      </c>
      <c r="BH38"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v>
      </c>
      <c r="BI38"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J38"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K38"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L38"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M38"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N38"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O38"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P38"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Q38"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v>
      </c>
      <c r="BR38"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S38"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T38"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v>
      </c>
      <c r="BU38"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V38"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W38"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v>
      </c>
      <c r="BX38"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v>
      </c>
      <c r="BY38"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v>
      </c>
      <c r="BZ38" s="24">
        <f>IF( TABLE1[[#This Row],[Wick Exit]]&lt;&gt; FALSE,TABLE1[[#This Row],[RRR Wick Exit]],IF(TABLE1[[#This Row],[Volume Exit]]&lt;&gt; FALSE,TABLE1[[#This Row],[RRR Volume Exit]],TABLE1[[#This Row],[RRR Realized]]))</f>
        <v>-2</v>
      </c>
      <c r="CA38"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v>
      </c>
      <c r="CB38"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v>
      </c>
      <c r="CC38"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CD38"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row>
    <row r="39" spans="1:82" x14ac:dyDescent="0.25">
      <c r="A39" t="s">
        <v>256</v>
      </c>
      <c r="B39">
        <v>38</v>
      </c>
      <c r="C39" s="2">
        <v>43495</v>
      </c>
      <c r="D39" s="1">
        <v>0.43194444444444446</v>
      </c>
      <c r="E39" s="1">
        <v>0.43402777777777773</v>
      </c>
      <c r="F39" s="5">
        <v>2.97</v>
      </c>
      <c r="G39" s="5">
        <v>-14</v>
      </c>
      <c r="H39" s="17">
        <v>300</v>
      </c>
      <c r="I39" t="s">
        <v>19</v>
      </c>
      <c r="J39" t="s">
        <v>22</v>
      </c>
      <c r="K39">
        <v>8.9499999999999993</v>
      </c>
      <c r="L39">
        <v>8.9499999999999993</v>
      </c>
      <c r="M39">
        <v>8.92</v>
      </c>
      <c r="N39">
        <v>9.0399999999999991</v>
      </c>
      <c r="O39">
        <v>8.92</v>
      </c>
      <c r="P39">
        <v>9</v>
      </c>
      <c r="Q39">
        <v>8.89</v>
      </c>
      <c r="R39">
        <v>9</v>
      </c>
      <c r="S39">
        <v>9</v>
      </c>
      <c r="T39" t="b">
        <v>0</v>
      </c>
      <c r="U39" t="b">
        <v>0</v>
      </c>
      <c r="V39" t="b">
        <v>0</v>
      </c>
      <c r="X39">
        <v>8.9499999999999993</v>
      </c>
      <c r="Y39" t="b">
        <v>0</v>
      </c>
      <c r="Z39">
        <v>1.5</v>
      </c>
      <c r="AA39" s="5">
        <v>8.9600000000000009</v>
      </c>
      <c r="AB39" t="b">
        <v>0</v>
      </c>
      <c r="AC39">
        <v>1.5</v>
      </c>
      <c r="AD39" t="b">
        <v>0</v>
      </c>
      <c r="AE39" t="s">
        <v>28</v>
      </c>
      <c r="AF39" t="s">
        <v>29</v>
      </c>
      <c r="AG39" t="s">
        <v>35</v>
      </c>
      <c r="AH39">
        <v>107</v>
      </c>
      <c r="AI39" t="s">
        <v>433</v>
      </c>
      <c r="AJ39" t="s">
        <v>163</v>
      </c>
      <c r="AK39" s="26" t="s">
        <v>257</v>
      </c>
      <c r="AL39" s="22">
        <f>(TABLE1[[#This Row],[TP Price]]-TABLE1[[#This Row],[Intended Entry]])/(TABLE1[[#This Row],[Intended Entry]]-TABLE1[[#This Row],[SL Price]])</f>
        <v>3.0000000000000591</v>
      </c>
      <c r="AM39" s="71">
        <f>IF(TABLE1[[#This Row],[Buy/Sell]]="BUY",(TABLE1[[#This Row],[Highest Price]]-TABLE1[[#This Row],[Entry Price]])/(TABLE1[[#This Row],[Intended Entry]]-TABLE1[[#This Row],[SL Price]]),(TABLE1[[#This Row],[Entry Price]]-TABLE1[[#This Row],[Lowest Price]])/(TABLE1[[#This Row],[SL Price]]-TABLE1[[#This Row],[Intended Entry]]))</f>
        <v>1.6666666666667258</v>
      </c>
      <c r="AN39" s="72">
        <f>IF(TABLE1[[#This Row],[Buy/Sell]]="BUY",(TABLE1[[#This Row],[Entry Price]]-TABLE1[[#This Row],[Lowest Price]])/(TABLE1[[#This Row],[SL Price]]-TABLE1[[#This Row],[Intended Entry]]),(TABLE1[[#This Row],[Entry Price]]-TABLE1[[#This Row],[Highest Price]])/(TABLE1[[#This Row],[SL Price]]-TABLE1[[#This Row],[Intended Entry]]))</f>
        <v>-2</v>
      </c>
      <c r="AO39" s="9" t="str">
        <f>IF(TABLE1[[#This Row],[Gain/Loss]]&lt;0, "LOSER", "WINNER")</f>
        <v>LOSER</v>
      </c>
      <c r="AP39" s="5">
        <f>TABLE1[[#This Row],[Gain/Loss]]-TABLE1[[#This Row],[Comissions]]</f>
        <v>-16.97</v>
      </c>
      <c r="AQ39" s="4">
        <f>TABLE1[[#This Row],[Exit Time]]-TABLE1[[#This Row],[Entry Time]]</f>
        <v>2.0833333333332704E-3</v>
      </c>
      <c r="AR39" s="21" t="str">
        <f>IF(TABLE1[[#This Row],[Retest Price]]&lt;&gt;FALSE,ROUND((TABLE1[[#This Row],[Retest Price]]-TABLE1[[#This Row],[Entry Price]])/(TABLE1[[#This Row],[Intended Entry]]-TABLE1[[#This Row],[SL Price]]),4), "FALSE")</f>
        <v>FALSE</v>
      </c>
      <c r="AS39" s="5">
        <f>TABLE1[[#This Row],[Net Gain/Loss]]+AS38</f>
        <v>-346.76400000000001</v>
      </c>
      <c r="AT39" s="5">
        <f>IF(TABLE1[[#This Row],[Potential Price Before BE]]=FALSE,"FALSE",( TABLE1[[#This Row],[Potential Price Before BE]]-TABLE1[[#This Row],[Intended Entry]])/(TABLE1[[#This Row],[Intended Entry]]-TABLE1[[#This Row],[SL Price]]))</f>
        <v>1.6666666666667258</v>
      </c>
      <c r="AU39" s="5">
        <f>(IF(TABLE1[[#This Row],[Buy/Sell]]="BUY",(TABLE1[[#This Row],[Entry Price]]-TABLE1[[#This Row],[SL Price]])/(TABLE1[[#This Row],[Intended Entry]]-TABLE1[[#This Row],[SL Price]]),(TABLE1[[#This Row],[SL Price]]-TABLE1[[#This Row],[Entry Price]])/(TABLE1[[#This Row],[SL Price]]-TABLE1[[#This Row],[Intended Entry]])))-1</f>
        <v>0</v>
      </c>
      <c r="AV39"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W39" s="21">
        <f>TABLE1[[#This Row],[Missed RRR on Entry]]+TABLE1[[#This Row],[Missed RRR on Exit]]</f>
        <v>0</v>
      </c>
      <c r="AX39" s="21">
        <f>ROUND((TABLE1[[#This Row],[Potential Price]]-TABLE1[[#This Row],[Entry Price]])/(TABLE1[[#This Row],[Intended Entry]]-TABLE1[[#This Row],[SL Price]]),4)</f>
        <v>1.6667000000000001</v>
      </c>
      <c r="AY39" s="21">
        <f>ROUND((TABLE1[[#This Row],[Potential Price]]-TABLE1[[#This Row],[Intended Entry]])/(TABLE1[[#This Row],[Intended Entry]]-TABLE1[[#This Row],[SL Price]]),4)</f>
        <v>1.6667000000000001</v>
      </c>
      <c r="AZ39" s="21">
        <f>TABLE1[[#This Row],[RRR Potential]]-TABLE1[[#This Row],[RRR Realized]]</f>
        <v>2.6667000000000001</v>
      </c>
      <c r="BA39" s="29">
        <f>ROUND((TABLE1[[#This Row],[Exit Price]]-TABLE1[[#This Row],[Entry Price]])/(TABLE1[[#This Row],[Intended Entry]]-TABLE1[[#This Row],[SL Price]]),4)</f>
        <v>-1</v>
      </c>
      <c r="BB39"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BC39"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D39"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E39"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BF39"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BG39"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BH39"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BI39"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J39"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K39"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L39"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M39"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N39"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O39"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P39"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Q39"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BR39"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S39"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T39"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v>
      </c>
      <c r="BU39"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V39"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W39"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v>
      </c>
      <c r="BX39"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v>
      </c>
      <c r="BY39"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v>
      </c>
      <c r="BZ39" s="24">
        <f>IF( TABLE1[[#This Row],[Wick Exit]]&lt;&gt; FALSE,TABLE1[[#This Row],[RRR Wick Exit]],IF(TABLE1[[#This Row],[Volume Exit]]&lt;&gt; FALSE,TABLE1[[#This Row],[RRR Volume Exit]],TABLE1[[#This Row],[RRR Realized]]))</f>
        <v>0</v>
      </c>
      <c r="CA39"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v>
      </c>
      <c r="CB39"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CC39"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CD39"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row>
    <row r="40" spans="1:82" x14ac:dyDescent="0.25">
      <c r="A40" t="s">
        <v>258</v>
      </c>
      <c r="B40">
        <v>39</v>
      </c>
      <c r="C40" s="2">
        <v>43495</v>
      </c>
      <c r="D40" s="1">
        <v>0.46249999999999997</v>
      </c>
      <c r="E40" s="1">
        <v>0.47430555555555554</v>
      </c>
      <c r="F40" s="5">
        <v>2.04</v>
      </c>
      <c r="G40" s="5">
        <v>-14</v>
      </c>
      <c r="H40" s="17">
        <v>200</v>
      </c>
      <c r="I40" t="s">
        <v>19</v>
      </c>
      <c r="J40" t="s">
        <v>22</v>
      </c>
      <c r="K40">
        <v>7.35</v>
      </c>
      <c r="L40">
        <v>7.36</v>
      </c>
      <c r="M40">
        <v>7.3</v>
      </c>
      <c r="N40">
        <v>7.5</v>
      </c>
      <c r="O40">
        <v>7.29</v>
      </c>
      <c r="P40">
        <v>7.45</v>
      </c>
      <c r="Q40">
        <v>7.29</v>
      </c>
      <c r="R40">
        <v>7.45</v>
      </c>
      <c r="S40">
        <v>7.45</v>
      </c>
      <c r="T40" t="b">
        <v>0</v>
      </c>
      <c r="U40" t="b">
        <v>0</v>
      </c>
      <c r="V40" t="b">
        <v>0</v>
      </c>
      <c r="X40" t="b">
        <v>0</v>
      </c>
      <c r="AA40" s="5">
        <v>7.36</v>
      </c>
      <c r="AB40" t="b">
        <v>0</v>
      </c>
      <c r="AC40" t="b">
        <v>0</v>
      </c>
      <c r="AD40" t="b">
        <v>0</v>
      </c>
      <c r="AE40" t="s">
        <v>28</v>
      </c>
      <c r="AF40" t="s">
        <v>29</v>
      </c>
      <c r="AG40" t="s">
        <v>38</v>
      </c>
      <c r="AH40">
        <v>57</v>
      </c>
      <c r="AI40" t="s">
        <v>435</v>
      </c>
      <c r="AJ40" t="s">
        <v>163</v>
      </c>
      <c r="AK40" s="26" t="s">
        <v>259</v>
      </c>
      <c r="AL40" s="22">
        <f>(TABLE1[[#This Row],[TP Price]]-TABLE1[[#This Row],[Intended Entry]])/(TABLE1[[#This Row],[Intended Entry]]-TABLE1[[#This Row],[SL Price]])</f>
        <v>3.0000000000000178</v>
      </c>
      <c r="AM40" s="71">
        <f>IF(TABLE1[[#This Row],[Buy/Sell]]="BUY",(TABLE1[[#This Row],[Highest Price]]-TABLE1[[#This Row],[Entry Price]])/(TABLE1[[#This Row],[Intended Entry]]-TABLE1[[#This Row],[SL Price]]),(TABLE1[[#This Row],[Entry Price]]-TABLE1[[#This Row],[Lowest Price]])/(TABLE1[[#This Row],[SL Price]]-TABLE1[[#This Row],[Intended Entry]]))</f>
        <v>1.8000000000000036</v>
      </c>
      <c r="AN40" s="72">
        <f>IF(TABLE1[[#This Row],[Buy/Sell]]="BUY",(TABLE1[[#This Row],[Entry Price]]-TABLE1[[#This Row],[Lowest Price]])/(TABLE1[[#This Row],[SL Price]]-TABLE1[[#This Row],[Intended Entry]]),(TABLE1[[#This Row],[Entry Price]]-TABLE1[[#This Row],[Highest Price]])/(TABLE1[[#This Row],[SL Price]]-TABLE1[[#This Row],[Intended Entry]]))</f>
        <v>-1.4000000000000106</v>
      </c>
      <c r="AO40" s="9" t="str">
        <f>IF(TABLE1[[#This Row],[Gain/Loss]]&lt;0, "LOSER", "WINNER")</f>
        <v>LOSER</v>
      </c>
      <c r="AP40" s="5">
        <f>TABLE1[[#This Row],[Gain/Loss]]-TABLE1[[#This Row],[Comissions]]</f>
        <v>-16.04</v>
      </c>
      <c r="AQ40" s="4">
        <f>TABLE1[[#This Row],[Exit Time]]-TABLE1[[#This Row],[Entry Time]]</f>
        <v>1.1805555555555569E-2</v>
      </c>
      <c r="AR40" s="21" t="str">
        <f>IF(TABLE1[[#This Row],[Retest Price]]&lt;&gt;FALSE,ROUND((TABLE1[[#This Row],[Retest Price]]-TABLE1[[#This Row],[Entry Price]])/(TABLE1[[#This Row],[Intended Entry]]-TABLE1[[#This Row],[SL Price]]),4), "FALSE")</f>
        <v>FALSE</v>
      </c>
      <c r="AS40" s="5">
        <f>TABLE1[[#This Row],[Net Gain/Loss]]+AS39</f>
        <v>-362.80400000000003</v>
      </c>
      <c r="AT40" s="5">
        <f>IF(TABLE1[[#This Row],[Potential Price Before BE]]=FALSE,"FALSE",( TABLE1[[#This Row],[Potential Price Before BE]]-TABLE1[[#This Row],[Intended Entry]])/(TABLE1[[#This Row],[Intended Entry]]-TABLE1[[#This Row],[SL Price]]))</f>
        <v>2.0000000000000178</v>
      </c>
      <c r="AU40" s="5">
        <f>(IF(TABLE1[[#This Row],[Buy/Sell]]="BUY",(TABLE1[[#This Row],[Entry Price]]-TABLE1[[#This Row],[SL Price]])/(TABLE1[[#This Row],[Intended Entry]]-TABLE1[[#This Row],[SL Price]]),(TABLE1[[#This Row],[SL Price]]-TABLE1[[#This Row],[Entry Price]])/(TABLE1[[#This Row],[SL Price]]-TABLE1[[#This Row],[Intended Entry]])))-1</f>
        <v>0.20000000000001417</v>
      </c>
      <c r="AV40"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0.19999999999999646</v>
      </c>
      <c r="AW40" s="21">
        <f>TABLE1[[#This Row],[Missed RRR on Entry]]+TABLE1[[#This Row],[Missed RRR on Exit]]</f>
        <v>0.40000000000001062</v>
      </c>
      <c r="AX40" s="21">
        <f>ROUND((TABLE1[[#This Row],[Potential Price]]-TABLE1[[#This Row],[Entry Price]])/(TABLE1[[#This Row],[Intended Entry]]-TABLE1[[#This Row],[SL Price]]),4)</f>
        <v>1.8</v>
      </c>
      <c r="AY40" s="21">
        <f>ROUND((TABLE1[[#This Row],[Potential Price]]-TABLE1[[#This Row],[Intended Entry]])/(TABLE1[[#This Row],[Intended Entry]]-TABLE1[[#This Row],[SL Price]]),4)</f>
        <v>2</v>
      </c>
      <c r="AZ40" s="21">
        <f>TABLE1[[#This Row],[RRR Potential]]-TABLE1[[#This Row],[RRR Realized]]</f>
        <v>3.2</v>
      </c>
      <c r="BA40" s="29">
        <f>ROUND((TABLE1[[#This Row],[Exit Price]]-TABLE1[[#This Row],[Entry Price]])/(TABLE1[[#This Row],[Intended Entry]]-TABLE1[[#This Row],[SL Price]]),4)</f>
        <v>-1.4</v>
      </c>
      <c r="BB40"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-1.4</v>
      </c>
      <c r="BC40"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-0.20000000000001417</v>
      </c>
      <c r="BD40"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-0.20000000000001417</v>
      </c>
      <c r="BE40"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-1.4</v>
      </c>
      <c r="BF40"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-1.4</v>
      </c>
      <c r="BG40"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-1.4</v>
      </c>
      <c r="BH40"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-1.4</v>
      </c>
      <c r="BI40"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-0.20000000000001417</v>
      </c>
      <c r="BJ40"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-0.20000000000001417</v>
      </c>
      <c r="BK40"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-0.20000000000001417</v>
      </c>
      <c r="BL40"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-0.20000000000001417</v>
      </c>
      <c r="BM40"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-0.20000000000001417</v>
      </c>
      <c r="BN40"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-0.20000000000001417</v>
      </c>
      <c r="BO40"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-0.20000000000001417</v>
      </c>
      <c r="BP40"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-0.20000000000001417</v>
      </c>
      <c r="BQ40"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-1.4</v>
      </c>
      <c r="BR40"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-0.20000000000001417</v>
      </c>
      <c r="BS40"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-0.20000000000001417</v>
      </c>
      <c r="BT40"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-1.4</v>
      </c>
      <c r="BU40"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-0.20000000000001417</v>
      </c>
      <c r="BV40"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-0.20000000000001417</v>
      </c>
      <c r="BW40"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-1.4</v>
      </c>
      <c r="BX40"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-0.20000000000001417</v>
      </c>
      <c r="BY40"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-0.20000000000001417</v>
      </c>
      <c r="BZ40" s="24">
        <f>IF( TABLE1[[#This Row],[Wick Exit]]&lt;&gt; FALSE,TABLE1[[#This Row],[RRR Wick Exit]],IF(TABLE1[[#This Row],[Volume Exit]]&lt;&gt; FALSE,TABLE1[[#This Row],[RRR Volume Exit]],TABLE1[[#This Row],[RRR Realized]]))</f>
        <v>-1.4</v>
      </c>
      <c r="CA40"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-1.4</v>
      </c>
      <c r="CB40"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-1.4</v>
      </c>
      <c r="CC40"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-0.20000000000001417</v>
      </c>
      <c r="CD40"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-0.20000000000001417</v>
      </c>
    </row>
    <row r="41" spans="1:82" x14ac:dyDescent="0.25">
      <c r="A41" t="s">
        <v>260</v>
      </c>
      <c r="B41">
        <v>40</v>
      </c>
      <c r="C41" s="2">
        <v>43497</v>
      </c>
      <c r="D41" s="1">
        <v>0.41111111111111115</v>
      </c>
      <c r="E41" s="1">
        <v>0.41319444444444442</v>
      </c>
      <c r="F41" s="5">
        <v>3.05</v>
      </c>
      <c r="G41" s="5">
        <v>27</v>
      </c>
      <c r="H41" s="17">
        <v>300</v>
      </c>
      <c r="I41" t="s">
        <v>262</v>
      </c>
      <c r="J41" t="s">
        <v>22</v>
      </c>
      <c r="K41">
        <v>3.98</v>
      </c>
      <c r="L41">
        <v>3.98</v>
      </c>
      <c r="M41">
        <v>3.95</v>
      </c>
      <c r="N41">
        <v>4.07</v>
      </c>
      <c r="O41">
        <v>4.07</v>
      </c>
      <c r="P41">
        <v>4.07</v>
      </c>
      <c r="Q41">
        <v>3.98</v>
      </c>
      <c r="R41">
        <v>4.08</v>
      </c>
      <c r="S41">
        <v>4.08</v>
      </c>
      <c r="T41" t="b">
        <v>0</v>
      </c>
      <c r="U41">
        <v>3.92</v>
      </c>
      <c r="V41" t="b">
        <v>1</v>
      </c>
      <c r="X41">
        <v>3.96</v>
      </c>
      <c r="Y41" t="b">
        <v>0</v>
      </c>
      <c r="Z41">
        <v>1.5</v>
      </c>
      <c r="AA41" t="b">
        <v>0</v>
      </c>
      <c r="AB41" t="b">
        <v>0</v>
      </c>
      <c r="AD41" t="b">
        <v>0</v>
      </c>
      <c r="AE41" t="s">
        <v>26</v>
      </c>
      <c r="AF41" t="s">
        <v>29</v>
      </c>
      <c r="AG41" t="s">
        <v>36</v>
      </c>
      <c r="AH41">
        <v>156</v>
      </c>
      <c r="AI41" t="s">
        <v>431</v>
      </c>
      <c r="AJ41" t="s">
        <v>163</v>
      </c>
      <c r="AK41" s="26" t="s">
        <v>261</v>
      </c>
      <c r="AL41" s="22">
        <f>(TABLE1[[#This Row],[TP Price]]-TABLE1[[#This Row],[Intended Entry]])/(TABLE1[[#This Row],[Intended Entry]]-TABLE1[[#This Row],[SL Price]])</f>
        <v>3.0000000000000298</v>
      </c>
      <c r="AM41" s="71">
        <f>IF(TABLE1[[#This Row],[Buy/Sell]]="BUY",(TABLE1[[#This Row],[Highest Price]]-TABLE1[[#This Row],[Entry Price]])/(TABLE1[[#This Row],[Intended Entry]]-TABLE1[[#This Row],[SL Price]]),(TABLE1[[#This Row],[Entry Price]]-TABLE1[[#This Row],[Lowest Price]])/(TABLE1[[#This Row],[SL Price]]-TABLE1[[#This Row],[Intended Entry]]))</f>
        <v>3.0000000000000298</v>
      </c>
      <c r="AN41" s="72">
        <f>IF(TABLE1[[#This Row],[Buy/Sell]]="BUY",(TABLE1[[#This Row],[Entry Price]]-TABLE1[[#This Row],[Lowest Price]])/(TABLE1[[#This Row],[SL Price]]-TABLE1[[#This Row],[Intended Entry]]),(TABLE1[[#This Row],[Entry Price]]-TABLE1[[#This Row],[Highest Price]])/(TABLE1[[#This Row],[SL Price]]-TABLE1[[#This Row],[Intended Entry]]))</f>
        <v>0</v>
      </c>
      <c r="AO41" s="9" t="str">
        <f>IF(TABLE1[[#This Row],[Gain/Loss]]&lt;0, "LOSER", "WINNER")</f>
        <v>WINNER</v>
      </c>
      <c r="AP41" s="5">
        <f>TABLE1[[#This Row],[Gain/Loss]]-TABLE1[[#This Row],[Comissions]]</f>
        <v>23.95</v>
      </c>
      <c r="AQ41" s="4">
        <f>TABLE1[[#This Row],[Exit Time]]-TABLE1[[#This Row],[Entry Time]]</f>
        <v>2.0833333333332704E-3</v>
      </c>
      <c r="AR41" s="21">
        <f>IF(TABLE1[[#This Row],[Retest Price]]&lt;&gt;FALSE,ROUND((TABLE1[[#This Row],[Retest Price]]-TABLE1[[#This Row],[Entry Price]])/(TABLE1[[#This Row],[Intended Entry]]-TABLE1[[#This Row],[SL Price]]),4), "FALSE")</f>
        <v>-2</v>
      </c>
      <c r="AS41" s="5">
        <f>TABLE1[[#This Row],[Net Gain/Loss]]+AS40</f>
        <v>-338.85400000000004</v>
      </c>
      <c r="AT41" s="5">
        <f>IF(TABLE1[[#This Row],[Potential Price Before BE]]=FALSE,"FALSE",( TABLE1[[#This Row],[Potential Price Before BE]]-TABLE1[[#This Row],[Intended Entry]])/(TABLE1[[#This Row],[Intended Entry]]-TABLE1[[#This Row],[SL Price]]))</f>
        <v>3.3333333333333579</v>
      </c>
      <c r="AU41" s="5">
        <f>(IF(TABLE1[[#This Row],[Buy/Sell]]="BUY",(TABLE1[[#This Row],[Entry Price]]-TABLE1[[#This Row],[SL Price]])/(TABLE1[[#This Row],[Intended Entry]]-TABLE1[[#This Row],[SL Price]]),(TABLE1[[#This Row],[SL Price]]-TABLE1[[#This Row],[Entry Price]])/(TABLE1[[#This Row],[SL Price]]-TABLE1[[#This Row],[Intended Entry]])))-1</f>
        <v>0</v>
      </c>
      <c r="AV41"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W41" s="21">
        <f>TABLE1[[#This Row],[Missed RRR on Entry]]+TABLE1[[#This Row],[Missed RRR on Exit]]</f>
        <v>0</v>
      </c>
      <c r="AX41" s="21">
        <f>ROUND((TABLE1[[#This Row],[Potential Price]]-TABLE1[[#This Row],[Entry Price]])/(TABLE1[[#This Row],[Intended Entry]]-TABLE1[[#This Row],[SL Price]]),4)</f>
        <v>3.3332999999999999</v>
      </c>
      <c r="AY41" s="21">
        <f>ROUND((TABLE1[[#This Row],[Potential Price]]-TABLE1[[#This Row],[Intended Entry]])/(TABLE1[[#This Row],[Intended Entry]]-TABLE1[[#This Row],[SL Price]]),4)</f>
        <v>3.3332999999999999</v>
      </c>
      <c r="AZ41" s="21">
        <f>TABLE1[[#This Row],[RRR Potential]]-TABLE1[[#This Row],[RRR Realized]]</f>
        <v>0.33329999999999993</v>
      </c>
      <c r="BA41" s="29">
        <f>ROUND((TABLE1[[#This Row],[Exit Price]]-TABLE1[[#This Row],[Entry Price]])/(TABLE1[[#This Row],[Intended Entry]]-TABLE1[[#This Row],[SL Price]]),4)</f>
        <v>3</v>
      </c>
      <c r="BB41"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BC41"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D41"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E41"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BF41"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BG41"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BH41"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BI41"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J41"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K41"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L41"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M41"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N41"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O41"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P41"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Q41"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BR41"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S41"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T41"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-0.66666666666667163</v>
      </c>
      <c r="BU41"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V41"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W41"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-0.66666666666667163</v>
      </c>
      <c r="BX41"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v>
      </c>
      <c r="BY41"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v>
      </c>
      <c r="BZ41" s="24">
        <f>IF( TABLE1[[#This Row],[Wick Exit]]&lt;&gt; FALSE,TABLE1[[#This Row],[RRR Wick Exit]],IF(TABLE1[[#This Row],[Volume Exit]]&lt;&gt; FALSE,TABLE1[[#This Row],[RRR Volume Exit]],TABLE1[[#This Row],[RRR Realized]]))</f>
        <v>-0.66666666666667163</v>
      </c>
      <c r="CA41"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v>
      </c>
      <c r="CB41"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CC41"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CD41"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row>
    <row r="42" spans="1:82" x14ac:dyDescent="0.25">
      <c r="A42" t="s">
        <v>260</v>
      </c>
      <c r="B42">
        <v>41</v>
      </c>
      <c r="C42" s="2">
        <v>43497</v>
      </c>
      <c r="D42" s="1">
        <v>0.43194444444444446</v>
      </c>
      <c r="E42" s="1">
        <v>0.45555555555555555</v>
      </c>
      <c r="F42" s="5">
        <v>3.05</v>
      </c>
      <c r="G42" s="5">
        <v>-11.52</v>
      </c>
      <c r="H42" s="17">
        <v>300</v>
      </c>
      <c r="I42" t="s">
        <v>19</v>
      </c>
      <c r="J42" t="s">
        <v>23</v>
      </c>
      <c r="K42">
        <v>3.88</v>
      </c>
      <c r="L42">
        <v>3.88</v>
      </c>
      <c r="M42">
        <v>3.91</v>
      </c>
      <c r="N42">
        <v>3.79</v>
      </c>
      <c r="O42">
        <v>3.9180000000000001</v>
      </c>
      <c r="P42">
        <v>3.9180000000000001</v>
      </c>
      <c r="Q42">
        <v>3.82</v>
      </c>
      <c r="R42">
        <v>3.82</v>
      </c>
      <c r="S42">
        <v>3.82</v>
      </c>
      <c r="T42">
        <v>3.88</v>
      </c>
      <c r="U42">
        <v>3.91</v>
      </c>
      <c r="V42" t="b">
        <v>0</v>
      </c>
      <c r="X42">
        <v>3.84</v>
      </c>
      <c r="Y42" t="b">
        <v>0</v>
      </c>
      <c r="Z42">
        <v>1</v>
      </c>
      <c r="AA42">
        <v>3.87</v>
      </c>
      <c r="AB42" t="b">
        <v>0</v>
      </c>
      <c r="AC42">
        <v>1</v>
      </c>
      <c r="AD42" t="b">
        <v>0</v>
      </c>
      <c r="AE42" t="s">
        <v>28</v>
      </c>
      <c r="AF42" t="s">
        <v>30</v>
      </c>
      <c r="AG42" t="s">
        <v>36</v>
      </c>
      <c r="AH42">
        <v>156</v>
      </c>
      <c r="AI42" t="s">
        <v>52</v>
      </c>
      <c r="AJ42" t="s">
        <v>163</v>
      </c>
      <c r="AK42" s="26" t="s">
        <v>261</v>
      </c>
      <c r="AL42" s="22">
        <f>(TABLE1[[#This Row],[TP Price]]-TABLE1[[#This Row],[Intended Entry]])/(TABLE1[[#This Row],[Intended Entry]]-TABLE1[[#This Row],[SL Price]])</f>
        <v>2.9999999999999702</v>
      </c>
      <c r="AM42" s="73">
        <f>IF(TABLE1[[#This Row],[Buy/Sell]]="BUY",(TABLE1[[#This Row],[Highest Price]]-TABLE1[[#This Row],[Entry Price]])/(TABLE1[[#This Row],[Intended Entry]]-TABLE1[[#This Row],[SL Price]]),(TABLE1[[#This Row],[Entry Price]]-TABLE1[[#This Row],[Lowest Price]])/(TABLE1[[#This Row],[SL Price]]-TABLE1[[#This Row],[Intended Entry]]))</f>
        <v>1.9999999999999851</v>
      </c>
      <c r="AN42" s="74">
        <f>IF(TABLE1[[#This Row],[Buy/Sell]]="BUY",(TABLE1[[#This Row],[Entry Price]]-TABLE1[[#This Row],[Lowest Price]])/(TABLE1[[#This Row],[SL Price]]-TABLE1[[#This Row],[Intended Entry]]),(TABLE1[[#This Row],[Entry Price]]-TABLE1[[#This Row],[Highest Price]])/(TABLE1[[#This Row],[SL Price]]-TABLE1[[#This Row],[Intended Entry]]))</f>
        <v>-1.2666666666666646</v>
      </c>
      <c r="AO42" s="9" t="str">
        <f>IF(TABLE1[[#This Row],[Gain/Loss]]&lt;0, "LOSER", "WINNER")</f>
        <v>LOSER</v>
      </c>
      <c r="AP42" s="5">
        <f>TABLE1[[#This Row],[Gain/Loss]]-TABLE1[[#This Row],[Comissions]]</f>
        <v>-14.57</v>
      </c>
      <c r="AQ42" s="4">
        <f>TABLE1[[#This Row],[Exit Time]]-TABLE1[[#This Row],[Entry Time]]</f>
        <v>2.3611111111111083E-2</v>
      </c>
      <c r="AR42" s="21">
        <f>IF(TABLE1[[#This Row],[Retest Price]]&lt;&gt;FALSE,ROUND((TABLE1[[#This Row],[Retest Price]]-TABLE1[[#This Row],[Entry Price]])/(TABLE1[[#This Row],[Intended Entry]]-TABLE1[[#This Row],[SL Price]]),4), "FALSE")</f>
        <v>-1</v>
      </c>
      <c r="AS42" s="5">
        <f>TABLE1[[#This Row],[Net Gain/Loss]]+AS41</f>
        <v>-353.42400000000004</v>
      </c>
      <c r="AT42" s="5">
        <f>IF(TABLE1[[#This Row],[Potential Price Before BE]]=FALSE,"FALSE",( TABLE1[[#This Row],[Potential Price Before BE]]-TABLE1[[#This Row],[Intended Entry]])/(TABLE1[[#This Row],[Intended Entry]]-TABLE1[[#This Row],[SL Price]]))</f>
        <v>1.9999999999999851</v>
      </c>
      <c r="AU42" s="5">
        <f>(IF(TABLE1[[#This Row],[Buy/Sell]]="BUY",(TABLE1[[#This Row],[Entry Price]]-TABLE1[[#This Row],[SL Price]])/(TABLE1[[#This Row],[Intended Entry]]-TABLE1[[#This Row],[SL Price]]),(TABLE1[[#This Row],[SL Price]]-TABLE1[[#This Row],[Entry Price]])/(TABLE1[[#This Row],[SL Price]]-TABLE1[[#This Row],[Intended Entry]])))-1</f>
        <v>0</v>
      </c>
      <c r="AV42"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0.26666666666666472</v>
      </c>
      <c r="AW42" s="21">
        <f>TABLE1[[#This Row],[Missed RRR on Entry]]+TABLE1[[#This Row],[Missed RRR on Exit]]</f>
        <v>0.26666666666666472</v>
      </c>
      <c r="AX42" s="21">
        <f>ROUND((TABLE1[[#This Row],[Potential Price]]-TABLE1[[#This Row],[Entry Price]])/(TABLE1[[#This Row],[Intended Entry]]-TABLE1[[#This Row],[SL Price]]),4)</f>
        <v>2</v>
      </c>
      <c r="AY42" s="21">
        <f>ROUND((TABLE1[[#This Row],[Potential Price]]-TABLE1[[#This Row],[Intended Entry]])/(TABLE1[[#This Row],[Intended Entry]]-TABLE1[[#This Row],[SL Price]]),4)</f>
        <v>2</v>
      </c>
      <c r="AZ42" s="21"/>
      <c r="BA42" s="29">
        <f>ROUND((TABLE1[[#This Row],[Exit Price]]-TABLE1[[#This Row],[Entry Price]])/(TABLE1[[#This Row],[Intended Entry]]-TABLE1[[#This Row],[SL Price]]),4)</f>
        <v>-1.2666999999999999</v>
      </c>
      <c r="BB42"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-1.2666999999999999</v>
      </c>
      <c r="BC42"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D42"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E42"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-1.2666999999999999</v>
      </c>
      <c r="BF42"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-1.2666999999999999</v>
      </c>
      <c r="BG42"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-1.2666999999999999</v>
      </c>
      <c r="BH42"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-1.2666999999999999</v>
      </c>
      <c r="BI42"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J42"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K42"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L42"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M42"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N42"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O42"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P42"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Q42"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v>
      </c>
      <c r="BR42"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S42"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T42"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1.3333333333333235</v>
      </c>
      <c r="BU42"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V42"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1.3333333333333235</v>
      </c>
      <c r="BW42"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-129.33333333333226</v>
      </c>
      <c r="BX42"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v>
      </c>
      <c r="BY42"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1.3333333333333235</v>
      </c>
      <c r="BZ42" s="24">
        <f>IF( TABLE1[[#This Row],[Wick Exit]]&lt;&gt; FALSE,TABLE1[[#This Row],[RRR Wick Exit]],IF(TABLE1[[#This Row],[Volume Exit]]&lt;&gt; FALSE,TABLE1[[#This Row],[RRR Volume Exit]],TABLE1[[#This Row],[RRR Realized]]))</f>
        <v>-129.33333333333226</v>
      </c>
      <c r="CA42"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-1.2666999999999999</v>
      </c>
      <c r="CB42"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-1.2666999999999999</v>
      </c>
      <c r="CC42"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CD42"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row>
    <row r="43" spans="1:82" x14ac:dyDescent="0.25">
      <c r="A43" t="s">
        <v>277</v>
      </c>
      <c r="B43">
        <v>42</v>
      </c>
      <c r="C43" s="2">
        <v>43500</v>
      </c>
      <c r="D43" s="1">
        <v>0.42986111111111108</v>
      </c>
      <c r="E43" s="1">
        <v>0.4368055555555555</v>
      </c>
      <c r="F43" s="5">
        <v>3.06</v>
      </c>
      <c r="G43" s="5">
        <v>21.6</v>
      </c>
      <c r="H43" s="17">
        <v>500</v>
      </c>
      <c r="I43" t="s">
        <v>262</v>
      </c>
      <c r="J43" t="s">
        <v>22</v>
      </c>
      <c r="K43">
        <v>0.67290000000000005</v>
      </c>
      <c r="L43">
        <v>0.67500000000000004</v>
      </c>
      <c r="M43">
        <f>0.6729-(0.6729-0.6446)/2</f>
        <v>0.65874999999999995</v>
      </c>
      <c r="N43">
        <v>0.71819999999999995</v>
      </c>
      <c r="O43">
        <v>0.71819999999999995</v>
      </c>
      <c r="P43">
        <v>0.71819999999999995</v>
      </c>
      <c r="Q43">
        <v>0.67</v>
      </c>
      <c r="R43" t="b">
        <v>0</v>
      </c>
      <c r="S43">
        <v>0.75</v>
      </c>
      <c r="T43" t="b">
        <v>0</v>
      </c>
      <c r="U43">
        <v>0.64500000000000002</v>
      </c>
      <c r="V43" t="b">
        <v>1</v>
      </c>
      <c r="X43" t="b">
        <v>0</v>
      </c>
      <c r="AA43" t="b">
        <v>0</v>
      </c>
      <c r="AD43" t="b">
        <v>0</v>
      </c>
      <c r="AE43" t="s">
        <v>26</v>
      </c>
      <c r="AF43" t="s">
        <v>29</v>
      </c>
      <c r="AG43" t="s">
        <v>34</v>
      </c>
      <c r="AH43">
        <v>11.45</v>
      </c>
      <c r="AI43" t="s">
        <v>431</v>
      </c>
      <c r="AJ43" t="s">
        <v>166</v>
      </c>
      <c r="AK43" s="26"/>
      <c r="AL43" s="22">
        <f>(TABLE1[[#This Row],[TP Price]]-TABLE1[[#This Row],[Intended Entry]])/(TABLE1[[#This Row],[Intended Entry]]-TABLE1[[#This Row],[SL Price]])</f>
        <v>3.201413427561806</v>
      </c>
      <c r="AM43" s="73">
        <f>IF(TABLE1[[#This Row],[Buy/Sell]]="BUY",(TABLE1[[#This Row],[Highest Price]]-TABLE1[[#This Row],[Entry Price]])/(TABLE1[[#This Row],[Intended Entry]]-TABLE1[[#This Row],[SL Price]]),(TABLE1[[#This Row],[Entry Price]]-TABLE1[[#This Row],[Lowest Price]])/(TABLE1[[#This Row],[SL Price]]-TABLE1[[#This Row],[Intended Entry]]))</f>
        <v>3.0530035335688748</v>
      </c>
      <c r="AN43" s="74">
        <f>IF(TABLE1[[#This Row],[Buy/Sell]]="BUY",(TABLE1[[#This Row],[Entry Price]]-TABLE1[[#This Row],[Lowest Price]])/(TABLE1[[#This Row],[SL Price]]-TABLE1[[#This Row],[Intended Entry]]),(TABLE1[[#This Row],[Entry Price]]-TABLE1[[#This Row],[Highest Price]])/(TABLE1[[#This Row],[SL Price]]-TABLE1[[#This Row],[Intended Entry]]))</f>
        <v>-0.35335689045936158</v>
      </c>
      <c r="AO43" s="9" t="str">
        <f>IF(TABLE1[[#This Row],[Gain/Loss]]&lt;0, "LOSER", "WINNER")</f>
        <v>WINNER</v>
      </c>
      <c r="AP43" s="5">
        <f>TABLE1[[#This Row],[Gain/Loss]]-TABLE1[[#This Row],[Comissions]]</f>
        <v>18.540000000000003</v>
      </c>
      <c r="AQ43" s="4">
        <f>TABLE1[[#This Row],[Exit Time]]-TABLE1[[#This Row],[Entry Time]]</f>
        <v>6.9444444444444198E-3</v>
      </c>
      <c r="AR43" s="21">
        <f>IF(TABLE1[[#This Row],[Retest Price]]&lt;&gt;FALSE,ROUND((TABLE1[[#This Row],[Retest Price]]-TABLE1[[#This Row],[Entry Price]])/(TABLE1[[#This Row],[Intended Entry]]-TABLE1[[#This Row],[SL Price]]),4), "FALSE")</f>
        <v>-2.1200999999999999</v>
      </c>
      <c r="AS43" s="5">
        <f>TABLE1[[#This Row],[Net Gain/Loss]]+AS42</f>
        <v>-334.88400000000001</v>
      </c>
      <c r="AT43" s="5" t="str">
        <f>IF(TABLE1[[#This Row],[Potential Price Before BE]]=FALSE,"FALSE",( TABLE1[[#This Row],[Potential Price Before BE]]-TABLE1[[#This Row],[Intended Entry]])/(TABLE1[[#This Row],[Intended Entry]]-TABLE1[[#This Row],[SL Price]]))</f>
        <v>FALSE</v>
      </c>
      <c r="AU43" s="5">
        <f>(IF(TABLE1[[#This Row],[Buy/Sell]]="BUY",(TABLE1[[#This Row],[Entry Price]]-TABLE1[[#This Row],[SL Price]])/(TABLE1[[#This Row],[Intended Entry]]-TABLE1[[#This Row],[SL Price]]),(TABLE1[[#This Row],[SL Price]]-TABLE1[[#This Row],[Entry Price]])/(TABLE1[[#This Row],[SL Price]]-TABLE1[[#This Row],[Intended Entry]])))-1</f>
        <v>0.14840989399293103</v>
      </c>
      <c r="AV43"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W43" s="21">
        <f>TABLE1[[#This Row],[Missed RRR on Entry]]+TABLE1[[#This Row],[Missed RRR on Exit]]</f>
        <v>0.14840989399293103</v>
      </c>
      <c r="AX43" s="21">
        <f>ROUND((TABLE1[[#This Row],[Potential Price]]-TABLE1[[#This Row],[Entry Price]])/(TABLE1[[#This Row],[Intended Entry]]-TABLE1[[#This Row],[SL Price]]),4)</f>
        <v>5.3003999999999998</v>
      </c>
      <c r="AY43" s="21">
        <f>ROUND((TABLE1[[#This Row],[Potential Price]]-TABLE1[[#This Row],[Intended Entry]])/(TABLE1[[#This Row],[Intended Entry]]-TABLE1[[#This Row],[SL Price]]),4)</f>
        <v>5.4488000000000003</v>
      </c>
      <c r="AZ43" s="21">
        <f>TABLE1[[#This Row],[RRR Potential]]-TABLE1[[#This Row],[RRR Realized]]</f>
        <v>2.2473999999999998</v>
      </c>
      <c r="BA43" s="29">
        <f>ROUND((TABLE1[[#This Row],[Exit Price]]-TABLE1[[#This Row],[Entry Price]])/(TABLE1[[#This Row],[Intended Entry]]-TABLE1[[#This Row],[SL Price]]),4)</f>
        <v>3.0529999999999999</v>
      </c>
      <c r="BB43"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4.8515901060070687</v>
      </c>
      <c r="BC43"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4.8515901060070687</v>
      </c>
      <c r="BD43"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4.8515901060070687</v>
      </c>
      <c r="BE43"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4.8515901060070687</v>
      </c>
      <c r="BF43"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4.8515901060070687</v>
      </c>
      <c r="BG43"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4.8515901060070687</v>
      </c>
      <c r="BH43"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4.8515901060070687</v>
      </c>
      <c r="BI43"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4.8515901060070687</v>
      </c>
      <c r="BJ43"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4.8515901060070687</v>
      </c>
      <c r="BK43"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4.8515901060070687</v>
      </c>
      <c r="BL43"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4.8515901060070687</v>
      </c>
      <c r="BM43"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4.8515901060070687</v>
      </c>
      <c r="BN43"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4.8515901060070687</v>
      </c>
      <c r="BO43"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4.8515901060070687</v>
      </c>
      <c r="BP43"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4.8515901060070687</v>
      </c>
      <c r="BQ43"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4.8515901060070687</v>
      </c>
      <c r="BR43"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4.8515901060070687</v>
      </c>
      <c r="BS43"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4.8515901060070687</v>
      </c>
      <c r="BT43"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4.8515901060070687</v>
      </c>
      <c r="BU43"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4.8515901060070687</v>
      </c>
      <c r="BV43"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4.8515901060070687</v>
      </c>
      <c r="BW43"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3.0529999999999999</v>
      </c>
      <c r="BX43"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3.0529999999999999</v>
      </c>
      <c r="BY43"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3.0529999999999999</v>
      </c>
      <c r="BZ43" s="24">
        <f>IF( TABLE1[[#This Row],[Wick Exit]]&lt;&gt; FALSE,TABLE1[[#This Row],[RRR Wick Exit]],IF(TABLE1[[#This Row],[Volume Exit]]&lt;&gt; FALSE,TABLE1[[#This Row],[RRR Volume Exit]],TABLE1[[#This Row],[RRR Realized]]))</f>
        <v>3.0529999999999999</v>
      </c>
      <c r="CA43"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3.0529999999999999</v>
      </c>
      <c r="CB43"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4.8515901060070687</v>
      </c>
      <c r="CC43"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4.8515901060070687</v>
      </c>
      <c r="CD43"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4.8515901060070687</v>
      </c>
    </row>
    <row r="44" spans="1:82" x14ac:dyDescent="0.25">
      <c r="A44" t="s">
        <v>278</v>
      </c>
      <c r="B44">
        <v>43</v>
      </c>
      <c r="C44" s="2">
        <v>43500</v>
      </c>
      <c r="D44" s="1">
        <v>0.42569444444444443</v>
      </c>
      <c r="E44" s="1">
        <v>0.44722222222222219</v>
      </c>
      <c r="F44" s="5">
        <v>3.06</v>
      </c>
      <c r="G44" s="5">
        <v>-18.21</v>
      </c>
      <c r="H44" s="17">
        <v>500</v>
      </c>
      <c r="I44" t="s">
        <v>19</v>
      </c>
      <c r="J44" t="s">
        <v>22</v>
      </c>
      <c r="K44">
        <v>0.68420000000000003</v>
      </c>
      <c r="L44">
        <v>0.68479999999999996</v>
      </c>
      <c r="M44">
        <v>0.67210000000000003</v>
      </c>
      <c r="N44">
        <v>0.71730000000000005</v>
      </c>
      <c r="O44">
        <v>0.65849999999999997</v>
      </c>
      <c r="P44">
        <v>0.68500000000000005</v>
      </c>
      <c r="Q44">
        <v>0.65849999999999997</v>
      </c>
      <c r="R44">
        <v>0.68500000000000005</v>
      </c>
      <c r="S44">
        <v>0.68500000000000005</v>
      </c>
      <c r="T44" t="b">
        <v>0</v>
      </c>
      <c r="U44" t="b">
        <v>0</v>
      </c>
      <c r="V44" t="b">
        <v>0</v>
      </c>
      <c r="X44" t="b">
        <v>0</v>
      </c>
      <c r="AA44" t="b">
        <v>0</v>
      </c>
      <c r="AD44">
        <v>0.67500000000000004</v>
      </c>
      <c r="AE44" t="s">
        <v>25</v>
      </c>
      <c r="AF44" t="s">
        <v>29</v>
      </c>
      <c r="AG44" t="s">
        <v>37</v>
      </c>
      <c r="AH44">
        <v>142</v>
      </c>
      <c r="AI44" t="s">
        <v>435</v>
      </c>
      <c r="AJ44" t="s">
        <v>163</v>
      </c>
      <c r="AK44" s="26" t="s">
        <v>279</v>
      </c>
      <c r="AL44" s="22">
        <f>(TABLE1[[#This Row],[TP Price]]-TABLE1[[#This Row],[Intended Entry]])/(TABLE1[[#This Row],[Intended Entry]]-TABLE1[[#This Row],[SL Price]])</f>
        <v>2.7355371900826464</v>
      </c>
      <c r="AM44" s="73">
        <f>IF(TABLE1[[#This Row],[Buy/Sell]]="BUY",(TABLE1[[#This Row],[Highest Price]]-TABLE1[[#This Row],[Entry Price]])/(TABLE1[[#This Row],[Intended Entry]]-TABLE1[[#This Row],[SL Price]]),(TABLE1[[#This Row],[Entry Price]]-TABLE1[[#This Row],[Lowest Price]])/(TABLE1[[#This Row],[SL Price]]-TABLE1[[#This Row],[Intended Entry]]))</f>
        <v>1.6528925619842066E-2</v>
      </c>
      <c r="AN44" s="74">
        <f>IF(TABLE1[[#This Row],[Buy/Sell]]="BUY",(TABLE1[[#This Row],[Entry Price]]-TABLE1[[#This Row],[Lowest Price]])/(TABLE1[[#This Row],[SL Price]]-TABLE1[[#This Row],[Intended Entry]]),(TABLE1[[#This Row],[Entry Price]]-TABLE1[[#This Row],[Highest Price]])/(TABLE1[[#This Row],[SL Price]]-TABLE1[[#This Row],[Intended Entry]]))</f>
        <v>-2.1735537190082637</v>
      </c>
      <c r="AO44" s="9" t="str">
        <f>IF(TABLE1[[#This Row],[Gain/Loss]]&lt;0, "LOSER", "WINNER")</f>
        <v>LOSER</v>
      </c>
      <c r="AP44" s="5">
        <f>TABLE1[[#This Row],[Gain/Loss]]-TABLE1[[#This Row],[Comissions]]</f>
        <v>-21.27</v>
      </c>
      <c r="AQ44" s="4">
        <f>TABLE1[[#This Row],[Exit Time]]-TABLE1[[#This Row],[Entry Time]]</f>
        <v>2.1527777777777757E-2</v>
      </c>
      <c r="AR44" s="21" t="str">
        <f>IF(TABLE1[[#This Row],[Retest Price]]&lt;&gt;FALSE,ROUND((TABLE1[[#This Row],[Retest Price]]-TABLE1[[#This Row],[Entry Price]])/(TABLE1[[#This Row],[Intended Entry]]-TABLE1[[#This Row],[SL Price]]),4), "FALSE")</f>
        <v>FALSE</v>
      </c>
      <c r="AS44" s="5">
        <f>TABLE1[[#This Row],[Net Gain/Loss]]+AS43</f>
        <v>-356.154</v>
      </c>
      <c r="AT44" s="5">
        <f>IF(TABLE1[[#This Row],[Potential Price Before BE]]=FALSE,"FALSE",( TABLE1[[#This Row],[Potential Price Before BE]]-TABLE1[[#This Row],[Intended Entry]])/(TABLE1[[#This Row],[Intended Entry]]-TABLE1[[#This Row],[SL Price]]))</f>
        <v>6.6115702479340732E-2</v>
      </c>
      <c r="AU44" s="5">
        <f>(IF(TABLE1[[#This Row],[Buy/Sell]]="BUY",(TABLE1[[#This Row],[Entry Price]]-TABLE1[[#This Row],[SL Price]])/(TABLE1[[#This Row],[Intended Entry]]-TABLE1[[#This Row],[SL Price]]),(TABLE1[[#This Row],[SL Price]]-TABLE1[[#This Row],[Entry Price]])/(TABLE1[[#This Row],[SL Price]]-TABLE1[[#This Row],[Intended Entry]])))-1</f>
        <v>4.9586776859498638E-2</v>
      </c>
      <c r="AV44"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1.123966942148765</v>
      </c>
      <c r="AW44" s="21">
        <f>TABLE1[[#This Row],[Missed RRR on Entry]]+TABLE1[[#This Row],[Missed RRR on Exit]]</f>
        <v>1.1735537190082637</v>
      </c>
      <c r="AX44" s="21">
        <f>ROUND((TABLE1[[#This Row],[Potential Price]]-TABLE1[[#This Row],[Entry Price]])/(TABLE1[[#This Row],[Intended Entry]]-TABLE1[[#This Row],[SL Price]]),4)</f>
        <v>1.6500000000000001E-2</v>
      </c>
      <c r="AY44" s="21">
        <f>ROUND((TABLE1[[#This Row],[Potential Price]]-TABLE1[[#This Row],[Intended Entry]])/(TABLE1[[#This Row],[Intended Entry]]-TABLE1[[#This Row],[SL Price]]),4)</f>
        <v>6.6100000000000006E-2</v>
      </c>
      <c r="AZ44" s="21">
        <f>TABLE1[[#This Row],[RRR Potential]]-TABLE1[[#This Row],[RRR Realized]]</f>
        <v>2.1901000000000002</v>
      </c>
      <c r="BA44" s="29">
        <f>ROUND((TABLE1[[#This Row],[Exit Price]]-TABLE1[[#This Row],[Entry Price]])/(TABLE1[[#This Row],[Intended Entry]]-TABLE1[[#This Row],[SL Price]]),4)</f>
        <v>-2.1736</v>
      </c>
      <c r="BB44"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-2.1736</v>
      </c>
      <c r="BC44"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-2.1736</v>
      </c>
      <c r="BD44"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-2.1736</v>
      </c>
      <c r="BE44"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-2.1736</v>
      </c>
      <c r="BF44"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-2.1736</v>
      </c>
      <c r="BG44"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-2.1736</v>
      </c>
      <c r="BH44"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-2.1736</v>
      </c>
      <c r="BI44"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-2.1736</v>
      </c>
      <c r="BJ44"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-2.1736</v>
      </c>
      <c r="BK44"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-2.1736</v>
      </c>
      <c r="BL44"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-2.1736</v>
      </c>
      <c r="BM44"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-2.1736</v>
      </c>
      <c r="BN44"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-2.1736</v>
      </c>
      <c r="BO44"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-2.1736</v>
      </c>
      <c r="BP44"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-2.1736</v>
      </c>
      <c r="BQ44"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-2.1736</v>
      </c>
      <c r="BR44"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-2.1736</v>
      </c>
      <c r="BS44"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-2.1736</v>
      </c>
      <c r="BT44"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-2.1736</v>
      </c>
      <c r="BU44"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-2.1736</v>
      </c>
      <c r="BV44"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-2.1736</v>
      </c>
      <c r="BW44"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-2.1736</v>
      </c>
      <c r="BX44"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-2.1736</v>
      </c>
      <c r="BY44"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-2.1736</v>
      </c>
      <c r="BZ44" s="24">
        <f>IF( TABLE1[[#This Row],[Wick Exit]]&lt;&gt; FALSE,TABLE1[[#This Row],[RRR Wick Exit]],IF(TABLE1[[#This Row],[Volume Exit]]&lt;&gt; FALSE,TABLE1[[#This Row],[RRR Volume Exit]],TABLE1[[#This Row],[RRR Realized]]))</f>
        <v>-0.80991735537189424</v>
      </c>
      <c r="CA44"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-0.80991735537189424</v>
      </c>
      <c r="CB44"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-0.80991735537189424</v>
      </c>
      <c r="CC44"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-0.80991735537189424</v>
      </c>
      <c r="CD44"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-0.80991735537189424</v>
      </c>
    </row>
    <row r="45" spans="1:82" x14ac:dyDescent="0.25">
      <c r="A45" t="s">
        <v>280</v>
      </c>
      <c r="B45">
        <v>44</v>
      </c>
      <c r="C45" s="2">
        <v>43501</v>
      </c>
      <c r="D45" s="1">
        <v>0.41805555555555557</v>
      </c>
      <c r="E45" s="1">
        <v>0.43888888888888888</v>
      </c>
      <c r="F45" s="5">
        <v>2.02</v>
      </c>
      <c r="G45" s="5">
        <v>-11.85</v>
      </c>
      <c r="H45" s="17">
        <v>100</v>
      </c>
      <c r="I45" t="s">
        <v>19</v>
      </c>
      <c r="J45" t="s">
        <v>22</v>
      </c>
      <c r="K45">
        <v>4.59</v>
      </c>
      <c r="L45">
        <v>4.5880000000000001</v>
      </c>
      <c r="M45">
        <v>4.49</v>
      </c>
      <c r="N45">
        <v>4.8899999999999997</v>
      </c>
      <c r="O45">
        <v>4.47</v>
      </c>
      <c r="P45">
        <v>4.8600000000000003</v>
      </c>
      <c r="Q45">
        <v>4.47</v>
      </c>
      <c r="R45">
        <v>4.8600000000000003</v>
      </c>
      <c r="S45">
        <v>4.8600000000000003</v>
      </c>
      <c r="T45" t="b">
        <v>0</v>
      </c>
      <c r="U45">
        <v>4.4800000000000004</v>
      </c>
      <c r="V45" t="b">
        <v>0</v>
      </c>
      <c r="X45">
        <v>4.7300000000000004</v>
      </c>
      <c r="Y45" t="b">
        <v>0</v>
      </c>
      <c r="Z45" t="b">
        <v>0</v>
      </c>
      <c r="AA45" t="b">
        <v>0</v>
      </c>
      <c r="AB45" t="b">
        <v>0</v>
      </c>
      <c r="AD45" t="b">
        <v>0</v>
      </c>
      <c r="AE45" t="s">
        <v>26</v>
      </c>
      <c r="AF45" t="s">
        <v>31</v>
      </c>
      <c r="AG45" t="s">
        <v>34</v>
      </c>
      <c r="AH45">
        <v>26.9</v>
      </c>
      <c r="AI45" t="s">
        <v>434</v>
      </c>
      <c r="AJ45" t="s">
        <v>166</v>
      </c>
      <c r="AK45" s="26" t="s">
        <v>282</v>
      </c>
      <c r="AL45" s="22">
        <f>(TABLE1[[#This Row],[TP Price]]-TABLE1[[#This Row],[Intended Entry]])/(TABLE1[[#This Row],[Intended Entry]]-TABLE1[[#This Row],[SL Price]])</f>
        <v>3.0000000000000089</v>
      </c>
      <c r="AM45" s="24">
        <f>IF(TABLE1[[#This Row],[Buy/Sell]]="BUY",(TABLE1[[#This Row],[Highest Price]]-TABLE1[[#This Row],[Entry Price]])/(TABLE1[[#This Row],[Intended Entry]]-TABLE1[[#This Row],[SL Price]]),(TABLE1[[#This Row],[Entry Price]]-TABLE1[[#This Row],[Lowest Price]])/(TABLE1[[#This Row],[SL Price]]-TABLE1[[#This Row],[Intended Entry]]))</f>
        <v>2.7200000000000122</v>
      </c>
      <c r="AN45" s="25">
        <f>IF(TABLE1[[#This Row],[Buy/Sell]]="BUY",(TABLE1[[#This Row],[Entry Price]]-TABLE1[[#This Row],[Lowest Price]])/(TABLE1[[#This Row],[SL Price]]-TABLE1[[#This Row],[Intended Entry]]),(TABLE1[[#This Row],[Entry Price]]-TABLE1[[#This Row],[Highest Price]])/(TABLE1[[#This Row],[SL Price]]-TABLE1[[#This Row],[Intended Entry]]))</f>
        <v>-1.1800000000000075</v>
      </c>
      <c r="AO45" s="9" t="str">
        <f>IF(TABLE1[[#This Row],[Gain/Loss]]&lt;0, "LOSER", "WINNER")</f>
        <v>LOSER</v>
      </c>
      <c r="AP45" s="5">
        <f>TABLE1[[#This Row],[Gain/Loss]]-TABLE1[[#This Row],[Comissions]]</f>
        <v>-13.87</v>
      </c>
      <c r="AQ45" s="4">
        <f>TABLE1[[#This Row],[Exit Time]]-TABLE1[[#This Row],[Entry Time]]</f>
        <v>2.0833333333333315E-2</v>
      </c>
      <c r="AR45" s="21">
        <f>IF(TABLE1[[#This Row],[Retest Price]]&lt;&gt;FALSE,ROUND((TABLE1[[#This Row],[Retest Price]]-TABLE1[[#This Row],[Entry Price]])/(TABLE1[[#This Row],[Intended Entry]]-TABLE1[[#This Row],[SL Price]]),4), "FALSE")</f>
        <v>-1.08</v>
      </c>
      <c r="AS45" s="5">
        <f>TABLE1[[#This Row],[Net Gain/Loss]]+AS44</f>
        <v>-370.024</v>
      </c>
      <c r="AT45" s="5">
        <f>IF(TABLE1[[#This Row],[Potential Price Before BE]]=FALSE,"FALSE",( TABLE1[[#This Row],[Potential Price Before BE]]-TABLE1[[#This Row],[Intended Entry]])/(TABLE1[[#This Row],[Intended Entry]]-TABLE1[[#This Row],[SL Price]]))</f>
        <v>2.7000000000000144</v>
      </c>
      <c r="AU45" s="5">
        <f>(IF(TABLE1[[#This Row],[Buy/Sell]]="BUY",(TABLE1[[#This Row],[Entry Price]]-TABLE1[[#This Row],[SL Price]])/(TABLE1[[#This Row],[Intended Entry]]-TABLE1[[#This Row],[SL Price]]),(TABLE1[[#This Row],[SL Price]]-TABLE1[[#This Row],[Entry Price]])/(TABLE1[[#This Row],[SL Price]]-TABLE1[[#This Row],[Intended Entry]])))-1</f>
        <v>-1.9999999999997908E-2</v>
      </c>
      <c r="AV45"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0.20000000000000534</v>
      </c>
      <c r="AW45" s="21">
        <f>TABLE1[[#This Row],[Missed RRR on Entry]]+TABLE1[[#This Row],[Missed RRR on Exit]]</f>
        <v>0.18000000000000743</v>
      </c>
      <c r="AX45" s="21">
        <f>ROUND((TABLE1[[#This Row],[Potential Price]]-TABLE1[[#This Row],[Entry Price]])/(TABLE1[[#This Row],[Intended Entry]]-TABLE1[[#This Row],[SL Price]]),4)</f>
        <v>2.72</v>
      </c>
      <c r="AY45" s="21">
        <f>ROUND((TABLE1[[#This Row],[Potential Price]]-TABLE1[[#This Row],[Intended Entry]])/(TABLE1[[#This Row],[Intended Entry]]-TABLE1[[#This Row],[SL Price]]),4)</f>
        <v>2.7</v>
      </c>
      <c r="AZ45" s="21">
        <f>TABLE1[[#This Row],[RRR Potential]]-TABLE1[[#This Row],[RRR Realized]]</f>
        <v>3.9000000000000004</v>
      </c>
      <c r="BA45" s="29">
        <f>ROUND((TABLE1[[#This Row],[Exit Price]]-TABLE1[[#This Row],[Entry Price]])/(TABLE1[[#This Row],[Intended Entry]]-TABLE1[[#This Row],[SL Price]]),4)</f>
        <v>-1.18</v>
      </c>
      <c r="BB45"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-1.18</v>
      </c>
      <c r="BC45"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1.9999999999997908E-2</v>
      </c>
      <c r="BD45"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1.9999999999997908E-2</v>
      </c>
      <c r="BE45"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-1.18</v>
      </c>
      <c r="BF45"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-1.18</v>
      </c>
      <c r="BG45"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-1.18</v>
      </c>
      <c r="BH45"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-1.18</v>
      </c>
      <c r="BI45"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1.9999999999997908E-2</v>
      </c>
      <c r="BJ45"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1.9999999999997908E-2</v>
      </c>
      <c r="BK45"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1.9999999999997908E-2</v>
      </c>
      <c r="BL45"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1.9999999999997908E-2</v>
      </c>
      <c r="BM45"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1.9999999999997908E-2</v>
      </c>
      <c r="BN45"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1.9999999999997908E-2</v>
      </c>
      <c r="BO45"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1.9999999999997908E-2</v>
      </c>
      <c r="BP45"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1.9999999999997908E-2</v>
      </c>
      <c r="BQ45"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-1.18</v>
      </c>
      <c r="BR45"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1.9999999999997908E-2</v>
      </c>
      <c r="BS45"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1.9999999999997908E-2</v>
      </c>
      <c r="BT45"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1.4200000000000086</v>
      </c>
      <c r="BU45"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1.4200000000000086</v>
      </c>
      <c r="BV45"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1.4200000000000086</v>
      </c>
      <c r="BW45"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1.4200000000000086</v>
      </c>
      <c r="BX45"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1.4200000000000086</v>
      </c>
      <c r="BY45"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1.4200000000000086</v>
      </c>
      <c r="BZ45" s="24">
        <f>IF( TABLE1[[#This Row],[Wick Exit]]&lt;&gt; FALSE,TABLE1[[#This Row],[RRR Wick Exit]],IF(TABLE1[[#This Row],[Volume Exit]]&lt;&gt; FALSE,TABLE1[[#This Row],[RRR Volume Exit]],TABLE1[[#This Row],[RRR Realized]]))</f>
        <v>1.4200000000000086</v>
      </c>
      <c r="CA45"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-1.18</v>
      </c>
      <c r="CB45"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-1.18</v>
      </c>
      <c r="CC45"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1.9999999999997908E-2</v>
      </c>
      <c r="CD45"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1.9999999999997908E-2</v>
      </c>
    </row>
    <row r="46" spans="1:82" x14ac:dyDescent="0.25">
      <c r="A46" t="s">
        <v>281</v>
      </c>
      <c r="B46">
        <v>45</v>
      </c>
      <c r="C46" s="2">
        <v>43501</v>
      </c>
      <c r="D46" s="1">
        <v>0.43402777777777773</v>
      </c>
      <c r="E46" s="1">
        <v>0.49236111111111108</v>
      </c>
      <c r="F46" s="5">
        <v>3.04</v>
      </c>
      <c r="G46" s="5">
        <v>27</v>
      </c>
      <c r="H46" s="17">
        <v>300</v>
      </c>
      <c r="I46" t="s">
        <v>19</v>
      </c>
      <c r="J46" t="s">
        <v>22</v>
      </c>
      <c r="K46">
        <v>1.27</v>
      </c>
      <c r="L46">
        <v>1.27</v>
      </c>
      <c r="M46">
        <v>1.24</v>
      </c>
      <c r="N46">
        <v>1.36</v>
      </c>
      <c r="O46">
        <v>1.36</v>
      </c>
      <c r="P46">
        <v>1.36</v>
      </c>
      <c r="Q46">
        <v>1.25</v>
      </c>
      <c r="R46">
        <v>1.34</v>
      </c>
      <c r="S46">
        <v>1.4</v>
      </c>
      <c r="T46">
        <v>1.29</v>
      </c>
      <c r="U46" t="b">
        <v>0</v>
      </c>
      <c r="V46" t="b">
        <v>1</v>
      </c>
      <c r="X46">
        <v>1.29</v>
      </c>
      <c r="Y46" t="b">
        <v>0</v>
      </c>
      <c r="Z46" t="b">
        <v>0</v>
      </c>
      <c r="AA46">
        <v>1.33</v>
      </c>
      <c r="AB46" t="b">
        <v>0</v>
      </c>
      <c r="AC46" t="b">
        <v>0</v>
      </c>
      <c r="AD46" t="b">
        <v>0</v>
      </c>
      <c r="AE46" t="s">
        <v>26</v>
      </c>
      <c r="AF46" t="s">
        <v>29</v>
      </c>
      <c r="AG46" t="s">
        <v>34</v>
      </c>
      <c r="AH46">
        <v>87.88</v>
      </c>
      <c r="AI46" t="s">
        <v>434</v>
      </c>
      <c r="AJ46" t="s">
        <v>163</v>
      </c>
      <c r="AK46" s="26" t="s">
        <v>283</v>
      </c>
      <c r="AL46" s="22">
        <f>(TABLE1[[#This Row],[TP Price]]-TABLE1[[#This Row],[Intended Entry]])/(TABLE1[[#This Row],[Intended Entry]]-TABLE1[[#This Row],[SL Price]])</f>
        <v>3</v>
      </c>
      <c r="AM46" s="24">
        <f>IF(TABLE1[[#This Row],[Buy/Sell]]="BUY",(TABLE1[[#This Row],[Highest Price]]-TABLE1[[#This Row],[Entry Price]])/(TABLE1[[#This Row],[Intended Entry]]-TABLE1[[#This Row],[SL Price]]),(TABLE1[[#This Row],[Entry Price]]-TABLE1[[#This Row],[Lowest Price]])/(TABLE1[[#This Row],[SL Price]]-TABLE1[[#This Row],[Intended Entry]]))</f>
        <v>3</v>
      </c>
      <c r="AN46" s="25">
        <f>IF(TABLE1[[#This Row],[Buy/Sell]]="BUY",(TABLE1[[#This Row],[Entry Price]]-TABLE1[[#This Row],[Lowest Price]])/(TABLE1[[#This Row],[SL Price]]-TABLE1[[#This Row],[Intended Entry]]),(TABLE1[[#This Row],[Entry Price]]-TABLE1[[#This Row],[Highest Price]])/(TABLE1[[#This Row],[SL Price]]-TABLE1[[#This Row],[Intended Entry]]))</f>
        <v>-0.66666666666666663</v>
      </c>
      <c r="AO46" s="9" t="str">
        <f>IF(TABLE1[[#This Row],[Gain/Loss]]&lt;0, "LOSER", "WINNER")</f>
        <v>WINNER</v>
      </c>
      <c r="AP46" s="5">
        <f>TABLE1[[#This Row],[Gain/Loss]]-TABLE1[[#This Row],[Comissions]]</f>
        <v>23.96</v>
      </c>
      <c r="AQ46" s="4">
        <f>TABLE1[[#This Row],[Exit Time]]-TABLE1[[#This Row],[Entry Time]]</f>
        <v>5.8333333333333348E-2</v>
      </c>
      <c r="AR46" s="21" t="str">
        <f>IF(TABLE1[[#This Row],[Retest Price]]&lt;&gt;FALSE,ROUND((TABLE1[[#This Row],[Retest Price]]-TABLE1[[#This Row],[Entry Price]])/(TABLE1[[#This Row],[Intended Entry]]-TABLE1[[#This Row],[SL Price]]),4), "FALSE")</f>
        <v>FALSE</v>
      </c>
      <c r="AS46" s="5">
        <f>TABLE1[[#This Row],[Net Gain/Loss]]+AS45</f>
        <v>-346.06400000000002</v>
      </c>
      <c r="AT46" s="5">
        <f>IF(TABLE1[[#This Row],[Potential Price Before BE]]=FALSE,"FALSE",( TABLE1[[#This Row],[Potential Price Before BE]]-TABLE1[[#This Row],[Intended Entry]])/(TABLE1[[#This Row],[Intended Entry]]-TABLE1[[#This Row],[SL Price]]))</f>
        <v>2.3333333333333335</v>
      </c>
      <c r="AU46" s="5">
        <f>(IF(TABLE1[[#This Row],[Buy/Sell]]="BUY",(TABLE1[[#This Row],[Entry Price]]-TABLE1[[#This Row],[SL Price]])/(TABLE1[[#This Row],[Intended Entry]]-TABLE1[[#This Row],[SL Price]]),(TABLE1[[#This Row],[SL Price]]-TABLE1[[#This Row],[Entry Price]])/(TABLE1[[#This Row],[SL Price]]-TABLE1[[#This Row],[Intended Entry]])))-1</f>
        <v>0</v>
      </c>
      <c r="AV46"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W46" s="21">
        <f>TABLE1[[#This Row],[Missed RRR on Entry]]+TABLE1[[#This Row],[Missed RRR on Exit]]</f>
        <v>0</v>
      </c>
      <c r="AX46" s="21">
        <f>ROUND((TABLE1[[#This Row],[Potential Price]]-TABLE1[[#This Row],[Entry Price]])/(TABLE1[[#This Row],[Intended Entry]]-TABLE1[[#This Row],[SL Price]]),4)</f>
        <v>4.3333000000000004</v>
      </c>
      <c r="AY46" s="21">
        <f>ROUND((TABLE1[[#This Row],[Potential Price]]-TABLE1[[#This Row],[Intended Entry]])/(TABLE1[[#This Row],[Intended Entry]]-TABLE1[[#This Row],[SL Price]]),4)</f>
        <v>4.3333000000000004</v>
      </c>
      <c r="AZ46" s="21">
        <f>TABLE1[[#This Row],[RRR Potential]]-TABLE1[[#This Row],[RRR Realized]]</f>
        <v>1.3333000000000004</v>
      </c>
      <c r="BA46" s="29">
        <f>ROUND((TABLE1[[#This Row],[Exit Price]]-TABLE1[[#This Row],[Entry Price]])/(TABLE1[[#This Row],[Intended Entry]]-TABLE1[[#This Row],[SL Price]]),4)</f>
        <v>3</v>
      </c>
      <c r="BB46"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BC46"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D46"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E46"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BF46"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BG46"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BH46"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BI46"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J46"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K46"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L46"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M46"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N46"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O46"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P46"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Q46"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0.66666666666666663</v>
      </c>
      <c r="BR46"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0.66666666666666663</v>
      </c>
      <c r="BS46"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0.66666666666666663</v>
      </c>
      <c r="BT46"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0.66666666666666663</v>
      </c>
      <c r="BU46"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0.66666666666666663</v>
      </c>
      <c r="BV46"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0.66666666666666663</v>
      </c>
      <c r="BW46"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0.66666666666666663</v>
      </c>
      <c r="BX46"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0.66666666666666663</v>
      </c>
      <c r="BY46"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0.66666666666666663</v>
      </c>
      <c r="BZ46" s="24">
        <f>IF( TABLE1[[#This Row],[Wick Exit]]&lt;&gt; FALSE,TABLE1[[#This Row],[RRR Wick Exit]],IF(TABLE1[[#This Row],[Volume Exit]]&lt;&gt; FALSE,TABLE1[[#This Row],[RRR Volume Exit]],TABLE1[[#This Row],[RRR Realized]]))</f>
        <v>0.66666666666666663</v>
      </c>
      <c r="CA46"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v>
      </c>
      <c r="CB46"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v>
      </c>
      <c r="CC46"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CD46"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row>
    <row r="47" spans="1:82" x14ac:dyDescent="0.25">
      <c r="A47" t="s">
        <v>284</v>
      </c>
      <c r="B47">
        <v>46</v>
      </c>
      <c r="C47" s="2">
        <v>43503</v>
      </c>
      <c r="D47" s="1">
        <v>0.41111111111111115</v>
      </c>
      <c r="E47" s="1">
        <v>0.41319444444444442</v>
      </c>
      <c r="F47" s="5">
        <v>2.0299999999999998</v>
      </c>
      <c r="G47" s="5">
        <v>28</v>
      </c>
      <c r="H47" s="17">
        <v>200</v>
      </c>
      <c r="I47" t="s">
        <v>262</v>
      </c>
      <c r="J47" t="s">
        <v>22</v>
      </c>
      <c r="K47">
        <v>5.57</v>
      </c>
      <c r="L47">
        <v>5.58</v>
      </c>
      <c r="M47">
        <v>5.52</v>
      </c>
      <c r="N47">
        <v>5.72</v>
      </c>
      <c r="O47">
        <v>5.72</v>
      </c>
      <c r="P47">
        <v>5.72</v>
      </c>
      <c r="Q47">
        <v>5.56</v>
      </c>
      <c r="R47">
        <v>5.87</v>
      </c>
      <c r="S47">
        <v>5.87</v>
      </c>
      <c r="T47" t="b">
        <v>0</v>
      </c>
      <c r="U47">
        <v>5.52</v>
      </c>
      <c r="V47" t="b">
        <v>1</v>
      </c>
      <c r="X47" t="b">
        <v>0</v>
      </c>
      <c r="AA47">
        <v>5.65</v>
      </c>
      <c r="AB47">
        <v>5</v>
      </c>
      <c r="AC47" t="b">
        <v>0</v>
      </c>
      <c r="AD47" t="b">
        <v>0</v>
      </c>
      <c r="AE47" t="s">
        <v>26</v>
      </c>
      <c r="AF47" t="s">
        <v>29</v>
      </c>
      <c r="AG47" t="s">
        <v>39</v>
      </c>
      <c r="AH47">
        <v>26</v>
      </c>
      <c r="AI47" t="s">
        <v>431</v>
      </c>
      <c r="AJ47" t="s">
        <v>163</v>
      </c>
      <c r="AK47" s="26" t="s">
        <v>285</v>
      </c>
      <c r="AL47" s="22">
        <f>(TABLE1[[#This Row],[TP Price]]-TABLE1[[#This Row],[Intended Entry]])/(TABLE1[[#This Row],[Intended Entry]]-TABLE1[[#This Row],[SL Price]])</f>
        <v>2.9999999999999467</v>
      </c>
      <c r="AM47" s="24">
        <f>IF(TABLE1[[#This Row],[Buy/Sell]]="BUY",(TABLE1[[#This Row],[Highest Price]]-TABLE1[[#This Row],[Entry Price]])/(TABLE1[[#This Row],[Intended Entry]]-TABLE1[[#This Row],[SL Price]]),(TABLE1[[#This Row],[Entry Price]]-TABLE1[[#This Row],[Lowest Price]])/(TABLE1[[#This Row],[SL Price]]-TABLE1[[#This Row],[Intended Entry]]))</f>
        <v>2.7999999999999536</v>
      </c>
      <c r="AN47" s="25">
        <f>IF(TABLE1[[#This Row],[Buy/Sell]]="BUY",(TABLE1[[#This Row],[Entry Price]]-TABLE1[[#This Row],[Lowest Price]])/(TABLE1[[#This Row],[SL Price]]-TABLE1[[#This Row],[Intended Entry]]),(TABLE1[[#This Row],[Entry Price]]-TABLE1[[#This Row],[Highest Price]])/(TABLE1[[#This Row],[SL Price]]-TABLE1[[#This Row],[Intended Entry]]))</f>
        <v>-0.40000000000000357</v>
      </c>
      <c r="AO47" s="9" t="str">
        <f>IF(TABLE1[[#This Row],[Gain/Loss]]&lt;0, "LOSER", "WINNER")</f>
        <v>WINNER</v>
      </c>
      <c r="AP47" s="5">
        <f>TABLE1[[#This Row],[Gain/Loss]]-TABLE1[[#This Row],[Comissions]]</f>
        <v>25.97</v>
      </c>
      <c r="AQ47" s="4">
        <f>TABLE1[[#This Row],[Exit Time]]-TABLE1[[#This Row],[Entry Time]]</f>
        <v>2.0833333333332704E-3</v>
      </c>
      <c r="AR47" s="21">
        <f>IF(TABLE1[[#This Row],[Retest Price]]&lt;&gt;FALSE,ROUND((TABLE1[[#This Row],[Retest Price]]-TABLE1[[#This Row],[Entry Price]])/(TABLE1[[#This Row],[Intended Entry]]-TABLE1[[#This Row],[SL Price]]),4), "FALSE")</f>
        <v>-1.2</v>
      </c>
      <c r="AS47" s="5">
        <f>TABLE1[[#This Row],[Net Gain/Loss]]+AS46</f>
        <v>-320.09400000000005</v>
      </c>
      <c r="AT47" s="5">
        <f>IF(TABLE1[[#This Row],[Potential Price Before BE]]=FALSE,"FALSE",( TABLE1[[#This Row],[Potential Price Before BE]]-TABLE1[[#This Row],[Intended Entry]])/(TABLE1[[#This Row],[Intended Entry]]-TABLE1[[#This Row],[SL Price]]))</f>
        <v>5.9999999999999112</v>
      </c>
      <c r="AU47" s="5">
        <f>(IF(TABLE1[[#This Row],[Buy/Sell]]="BUY",(TABLE1[[#This Row],[Entry Price]]-TABLE1[[#This Row],[SL Price]])/(TABLE1[[#This Row],[Intended Entry]]-TABLE1[[#This Row],[SL Price]]),(TABLE1[[#This Row],[SL Price]]-TABLE1[[#This Row],[Entry Price]])/(TABLE1[[#This Row],[SL Price]]-TABLE1[[#This Row],[Intended Entry]])))-1</f>
        <v>0.19999999999999285</v>
      </c>
      <c r="AV47"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W47" s="21">
        <f>TABLE1[[#This Row],[Missed RRR on Entry]]+TABLE1[[#This Row],[Missed RRR on Exit]]</f>
        <v>0.19999999999999285</v>
      </c>
      <c r="AX47" s="21">
        <f>ROUND((TABLE1[[#This Row],[Potential Price]]-TABLE1[[#This Row],[Entry Price]])/(TABLE1[[#This Row],[Intended Entry]]-TABLE1[[#This Row],[SL Price]]),4)</f>
        <v>5.8</v>
      </c>
      <c r="AY47" s="21">
        <f>ROUND((TABLE1[[#This Row],[Potential Price]]-TABLE1[[#This Row],[Intended Entry]])/(TABLE1[[#This Row],[Intended Entry]]-TABLE1[[#This Row],[SL Price]]),4)</f>
        <v>6</v>
      </c>
      <c r="AZ47" s="21">
        <f>TABLE1[[#This Row],[RRR Potential]]-TABLE1[[#This Row],[RRR Realized]]</f>
        <v>3</v>
      </c>
      <c r="BA47" s="29">
        <f>ROUND((TABLE1[[#This Row],[Exit Price]]-TABLE1[[#This Row],[Entry Price]])/(TABLE1[[#This Row],[Intended Entry]]-TABLE1[[#This Row],[SL Price]]),4)</f>
        <v>2.8</v>
      </c>
      <c r="BB47"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4.8000000000000069</v>
      </c>
      <c r="BC47"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4.8000000000000069</v>
      </c>
      <c r="BD47"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4.8000000000000069</v>
      </c>
      <c r="BE47"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4.8000000000000069</v>
      </c>
      <c r="BF47"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4.8000000000000069</v>
      </c>
      <c r="BG47"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4.8000000000000069</v>
      </c>
      <c r="BH47"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4.8000000000000069</v>
      </c>
      <c r="BI47"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4.8000000000000069</v>
      </c>
      <c r="BJ47"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4.8000000000000069</v>
      </c>
      <c r="BK47"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4.8000000000000069</v>
      </c>
      <c r="BL47"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4.8000000000000069</v>
      </c>
      <c r="BM47"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4.8000000000000069</v>
      </c>
      <c r="BN47"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4.8000000000000069</v>
      </c>
      <c r="BO47"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4.8000000000000069</v>
      </c>
      <c r="BP47"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4.8000000000000069</v>
      </c>
      <c r="BQ47"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4.8000000000000069</v>
      </c>
      <c r="BR47"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4.8000000000000069</v>
      </c>
      <c r="BS47"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4.8000000000000069</v>
      </c>
      <c r="BT47"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4.8000000000000069</v>
      </c>
      <c r="BU47"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4.8000000000000069</v>
      </c>
      <c r="BV47"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4.8000000000000069</v>
      </c>
      <c r="BW47"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2.8</v>
      </c>
      <c r="BX47"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-0.19999999999999285</v>
      </c>
      <c r="BY47"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-0.19999999999999285</v>
      </c>
      <c r="BZ47" s="24">
        <f>IF( TABLE1[[#This Row],[Wick Exit]]&lt;&gt; FALSE,TABLE1[[#This Row],[RRR Wick Exit]],IF(TABLE1[[#This Row],[Volume Exit]]&lt;&gt; FALSE,TABLE1[[#This Row],[RRR Volume Exit]],TABLE1[[#This Row],[RRR Realized]]))</f>
        <v>2.8</v>
      </c>
      <c r="CA47"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2.8</v>
      </c>
      <c r="CB47"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4.8000000000000069</v>
      </c>
      <c r="CC47"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4.8000000000000069</v>
      </c>
      <c r="CD47"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4.8000000000000069</v>
      </c>
    </row>
    <row r="48" spans="1:82" x14ac:dyDescent="0.25">
      <c r="A48" t="s">
        <v>288</v>
      </c>
      <c r="B48">
        <v>47</v>
      </c>
      <c r="C48" s="2">
        <v>43507</v>
      </c>
      <c r="D48" s="1">
        <v>0.43611111111111112</v>
      </c>
      <c r="E48" s="1">
        <v>0.44930555555555557</v>
      </c>
      <c r="F48" s="5">
        <v>2.0099999999999998</v>
      </c>
      <c r="G48" s="5">
        <v>-11.91</v>
      </c>
      <c r="H48" s="17">
        <v>66</v>
      </c>
      <c r="I48" t="s">
        <v>19</v>
      </c>
      <c r="J48" t="s">
        <v>22</v>
      </c>
      <c r="K48">
        <v>4.51</v>
      </c>
      <c r="L48">
        <v>4.5199999999999996</v>
      </c>
      <c r="M48">
        <v>4.3600000000000003</v>
      </c>
      <c r="N48">
        <v>4.96</v>
      </c>
      <c r="O48">
        <v>4.34</v>
      </c>
      <c r="P48">
        <v>4.92</v>
      </c>
      <c r="Q48">
        <v>4.28</v>
      </c>
      <c r="R48">
        <v>4.92</v>
      </c>
      <c r="S48">
        <v>4.92</v>
      </c>
      <c r="T48" t="b">
        <v>0</v>
      </c>
      <c r="U48" t="b">
        <v>0</v>
      </c>
      <c r="V48" t="b">
        <v>0</v>
      </c>
      <c r="X48">
        <v>4.7</v>
      </c>
      <c r="Y48" t="b">
        <v>0</v>
      </c>
      <c r="Z48" t="b">
        <v>0</v>
      </c>
      <c r="AA48">
        <v>4.63</v>
      </c>
      <c r="AB48" t="b">
        <v>0</v>
      </c>
      <c r="AC48">
        <v>1.5</v>
      </c>
      <c r="AD48">
        <v>4.4000000000000004</v>
      </c>
      <c r="AE48" t="s">
        <v>26</v>
      </c>
      <c r="AF48" t="s">
        <v>29</v>
      </c>
      <c r="AG48" t="s">
        <v>35</v>
      </c>
      <c r="AH48">
        <v>7.04</v>
      </c>
      <c r="AI48" t="s">
        <v>431</v>
      </c>
      <c r="AJ48" t="s">
        <v>163</v>
      </c>
      <c r="AK48" s="26" t="s">
        <v>289</v>
      </c>
      <c r="AL48" s="22">
        <f>(TABLE1[[#This Row],[TP Price]]-TABLE1[[#This Row],[Intended Entry]])/(TABLE1[[#This Row],[Intended Entry]]-TABLE1[[#This Row],[SL Price]])</f>
        <v>3.000000000000012</v>
      </c>
      <c r="AM48" s="24">
        <f>IF(TABLE1[[#This Row],[Buy/Sell]]="BUY",(TABLE1[[#This Row],[Highest Price]]-TABLE1[[#This Row],[Entry Price]])/(TABLE1[[#This Row],[Intended Entry]]-TABLE1[[#This Row],[SL Price]]),(TABLE1[[#This Row],[Entry Price]]-TABLE1[[#This Row],[Lowest Price]])/(TABLE1[[#This Row],[SL Price]]-TABLE1[[#This Row],[Intended Entry]]))</f>
        <v>2.6666666666666785</v>
      </c>
      <c r="AN48" s="25">
        <f>IF(TABLE1[[#This Row],[Buy/Sell]]="BUY",(TABLE1[[#This Row],[Entry Price]]-TABLE1[[#This Row],[Lowest Price]])/(TABLE1[[#This Row],[SL Price]]-TABLE1[[#This Row],[Intended Entry]]),(TABLE1[[#This Row],[Entry Price]]-TABLE1[[#This Row],[Highest Price]])/(TABLE1[[#This Row],[SL Price]]-TABLE1[[#This Row],[Intended Entry]]))</f>
        <v>-1.6000000000000012</v>
      </c>
      <c r="AO48" s="9" t="str">
        <f>IF(TABLE1[[#This Row],[Gain/Loss]]&lt;0, "LOSER", "WINNER")</f>
        <v>LOSER</v>
      </c>
      <c r="AP48" s="5">
        <f>TABLE1[[#This Row],[Gain/Loss]]-TABLE1[[#This Row],[Comissions]]</f>
        <v>-13.92</v>
      </c>
      <c r="AQ48" s="4">
        <f>TABLE1[[#This Row],[Exit Time]]-TABLE1[[#This Row],[Entry Time]]</f>
        <v>1.3194444444444453E-2</v>
      </c>
      <c r="AR48" s="21" t="str">
        <f>IF(TABLE1[[#This Row],[Retest Price]]&lt;&gt;FALSE,ROUND((TABLE1[[#This Row],[Retest Price]]-TABLE1[[#This Row],[Entry Price]])/(TABLE1[[#This Row],[Intended Entry]]-TABLE1[[#This Row],[SL Price]]),4), "FALSE")</f>
        <v>FALSE</v>
      </c>
      <c r="AS48" s="5">
        <f>TABLE1[[#This Row],[Net Gain/Loss]]+AS47</f>
        <v>-334.01400000000007</v>
      </c>
      <c r="AT48" s="5">
        <f>IF(TABLE1[[#This Row],[Potential Price Before BE]]=FALSE,"FALSE",( TABLE1[[#This Row],[Potential Price Before BE]]-TABLE1[[#This Row],[Intended Entry]])/(TABLE1[[#This Row],[Intended Entry]]-TABLE1[[#This Row],[SL Price]]))</f>
        <v>2.7333333333333441</v>
      </c>
      <c r="AU48" s="5">
        <f>(IF(TABLE1[[#This Row],[Buy/Sell]]="BUY",(TABLE1[[#This Row],[Entry Price]]-TABLE1[[#This Row],[SL Price]])/(TABLE1[[#This Row],[Intended Entry]]-TABLE1[[#This Row],[SL Price]]),(TABLE1[[#This Row],[SL Price]]-TABLE1[[#This Row],[Entry Price]])/(TABLE1[[#This Row],[SL Price]]-TABLE1[[#This Row],[Intended Entry]])))-1</f>
        <v>6.6666666666665542E-2</v>
      </c>
      <c r="AV48"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0.13333333333333688</v>
      </c>
      <c r="AW48" s="21">
        <f>TABLE1[[#This Row],[Missed RRR on Entry]]+TABLE1[[#This Row],[Missed RRR on Exit]]</f>
        <v>0.20000000000000243</v>
      </c>
      <c r="AX48" s="21">
        <f>ROUND((TABLE1[[#This Row],[Potential Price]]-TABLE1[[#This Row],[Entry Price]])/(TABLE1[[#This Row],[Intended Entry]]-TABLE1[[#This Row],[SL Price]]),4)</f>
        <v>2.6667000000000001</v>
      </c>
      <c r="AY48" s="21">
        <f>ROUND((TABLE1[[#This Row],[Potential Price]]-TABLE1[[#This Row],[Intended Entry]])/(TABLE1[[#This Row],[Intended Entry]]-TABLE1[[#This Row],[SL Price]]),4)</f>
        <v>2.7332999999999998</v>
      </c>
      <c r="AZ48" s="21">
        <f>TABLE1[[#This Row],[RRR Potential]]-TABLE1[[#This Row],[RRR Realized]]</f>
        <v>3.8666999999999998</v>
      </c>
      <c r="BA48" s="29">
        <f>ROUND((TABLE1[[#This Row],[Exit Price]]-TABLE1[[#This Row],[Entry Price]])/(TABLE1[[#This Row],[Intended Entry]]-TABLE1[[#This Row],[SL Price]]),4)</f>
        <v>-1.2</v>
      </c>
      <c r="BB48"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-1.2</v>
      </c>
      <c r="BC48"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-6.6666666666665542E-2</v>
      </c>
      <c r="BD48"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-6.6666666666665542E-2</v>
      </c>
      <c r="BE48"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-1.2</v>
      </c>
      <c r="BF48"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-1.2</v>
      </c>
      <c r="BG48"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-1.2</v>
      </c>
      <c r="BH48"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-1.2</v>
      </c>
      <c r="BI48"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-6.6666666666665542E-2</v>
      </c>
      <c r="BJ48"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-6.6666666666665542E-2</v>
      </c>
      <c r="BK48"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-6.6666666666665542E-2</v>
      </c>
      <c r="BL48"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-6.6666666666665542E-2</v>
      </c>
      <c r="BM48"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-6.6666666666665542E-2</v>
      </c>
      <c r="BN48"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-6.6666666666665542E-2</v>
      </c>
      <c r="BO48"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-6.6666666666665542E-2</v>
      </c>
      <c r="BP48"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-6.6666666666665542E-2</v>
      </c>
      <c r="BQ48"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-1.2</v>
      </c>
      <c r="BR48"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-6.6666666666665542E-2</v>
      </c>
      <c r="BS48"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-6.6666666666665542E-2</v>
      </c>
      <c r="BT48"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1.2000000000000084</v>
      </c>
      <c r="BU48"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1.2000000000000084</v>
      </c>
      <c r="BV48"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1.2000000000000084</v>
      </c>
      <c r="BW48"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1.2000000000000084</v>
      </c>
      <c r="BX48"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1.2000000000000084</v>
      </c>
      <c r="BY48"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1.2000000000000084</v>
      </c>
      <c r="BZ48" s="24">
        <f>IF( TABLE1[[#This Row],[Wick Exit]]&lt;&gt; FALSE,TABLE1[[#This Row],[RRR Wick Exit]],IF(TABLE1[[#This Row],[Volume Exit]]&lt;&gt; FALSE,TABLE1[[#This Row],[RRR Volume Exit]],TABLE1[[#This Row],[RRR Realized]]))</f>
        <v>-0.7999999999999976</v>
      </c>
      <c r="CA48"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-0.7999999999999976</v>
      </c>
      <c r="CB48"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-0.7999999999999976</v>
      </c>
      <c r="CC48"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-0.7999999999999976</v>
      </c>
      <c r="CD48"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-0.7999999999999976</v>
      </c>
    </row>
    <row r="49" spans="1:82" x14ac:dyDescent="0.25">
      <c r="A49" t="s">
        <v>301</v>
      </c>
      <c r="B49">
        <v>48</v>
      </c>
      <c r="C49" s="2">
        <v>43508</v>
      </c>
      <c r="D49" s="1">
        <v>0.42638888888888887</v>
      </c>
      <c r="E49" s="1">
        <v>0.43263888888888885</v>
      </c>
      <c r="F49" s="5">
        <v>5.0599999999999996</v>
      </c>
      <c r="G49" s="5">
        <v>-8.3000000000000007</v>
      </c>
      <c r="H49" s="17">
        <v>500</v>
      </c>
      <c r="I49" s="17" t="s">
        <v>19</v>
      </c>
      <c r="J49" t="s">
        <v>22</v>
      </c>
      <c r="K49">
        <v>0.68859999999999999</v>
      </c>
      <c r="L49">
        <v>0.68859999999999999</v>
      </c>
      <c r="M49">
        <v>0.67430000000000001</v>
      </c>
      <c r="N49">
        <v>0.73280000000000001</v>
      </c>
      <c r="O49">
        <v>0.67200000000000004</v>
      </c>
      <c r="P49">
        <v>0.70299999999999996</v>
      </c>
      <c r="Q49">
        <v>0.67200000000000004</v>
      </c>
      <c r="R49">
        <v>0.70299999999999996</v>
      </c>
      <c r="S49">
        <v>0.70299999999999996</v>
      </c>
      <c r="T49" t="b">
        <v>0</v>
      </c>
      <c r="U49">
        <v>0.67200000000000004</v>
      </c>
      <c r="V49" t="b">
        <v>0</v>
      </c>
      <c r="X49">
        <v>0.69169999999999998</v>
      </c>
      <c r="Y49" t="b">
        <v>0</v>
      </c>
      <c r="Z49">
        <v>1</v>
      </c>
      <c r="AA49" t="b">
        <v>0</v>
      </c>
      <c r="AB49" t="b">
        <v>0</v>
      </c>
      <c r="AD49" t="b">
        <v>0</v>
      </c>
      <c r="AE49" t="s">
        <v>28</v>
      </c>
      <c r="AF49" t="s">
        <v>30</v>
      </c>
      <c r="AG49" t="s">
        <v>36</v>
      </c>
      <c r="AH49">
        <v>75.3</v>
      </c>
      <c r="AI49" t="s">
        <v>433</v>
      </c>
      <c r="AJ49" t="s">
        <v>169</v>
      </c>
      <c r="AK49" s="26" t="s">
        <v>300</v>
      </c>
      <c r="AL49" s="22">
        <f>(TABLE1[[#This Row],[TP Price]]-TABLE1[[#This Row],[Intended Entry]])/(TABLE1[[#This Row],[Intended Entry]]-TABLE1[[#This Row],[SL Price]])</f>
        <v>3.0909090909090966</v>
      </c>
      <c r="AM49" s="24">
        <f>IF(TABLE1[[#This Row],[Buy/Sell]]="BUY",(TABLE1[[#This Row],[Highest Price]]-TABLE1[[#This Row],[Entry Price]])/(TABLE1[[#This Row],[Intended Entry]]-TABLE1[[#This Row],[SL Price]]),(TABLE1[[#This Row],[Entry Price]]-TABLE1[[#This Row],[Lowest Price]])/(TABLE1[[#This Row],[SL Price]]-TABLE1[[#This Row],[Intended Entry]]))</f>
        <v>1.0069930069930062</v>
      </c>
      <c r="AN49" s="25">
        <f>IF(TABLE1[[#This Row],[Buy/Sell]]="BUY",(TABLE1[[#This Row],[Entry Price]]-TABLE1[[#This Row],[Lowest Price]])/(TABLE1[[#This Row],[SL Price]]-TABLE1[[#This Row],[Intended Entry]]),(TABLE1[[#This Row],[Entry Price]]-TABLE1[[#This Row],[Highest Price]])/(TABLE1[[#This Row],[SL Price]]-TABLE1[[#This Row],[Intended Entry]]))</f>
        <v>-1.1608391608391588</v>
      </c>
      <c r="AO49" s="9" t="str">
        <f>IF(TABLE1[[#This Row],[Gain/Loss]]&lt;0, "LOSER", "WINNER")</f>
        <v>LOSER</v>
      </c>
      <c r="AP49" s="5">
        <f>TABLE1[[#This Row],[Gain/Loss]]-TABLE1[[#This Row],[Comissions]]</f>
        <v>-13.36</v>
      </c>
      <c r="AQ49" s="4">
        <f>TABLE1[[#This Row],[Exit Time]]-TABLE1[[#This Row],[Entry Time]]</f>
        <v>6.2499999999999778E-3</v>
      </c>
      <c r="AR49" s="21">
        <f>IF(TABLE1[[#This Row],[Retest Price]]&lt;&gt;FALSE,ROUND((TABLE1[[#This Row],[Retest Price]]-TABLE1[[#This Row],[Entry Price]])/(TABLE1[[#This Row],[Intended Entry]]-TABLE1[[#This Row],[SL Price]]),4), "FALSE")</f>
        <v>-1.1608000000000001</v>
      </c>
      <c r="AS49" s="5">
        <f>TABLE1[[#This Row],[Net Gain/Loss]]+AS48</f>
        <v>-347.37400000000008</v>
      </c>
      <c r="AT49" s="5">
        <f>IF(TABLE1[[#This Row],[Potential Price Before BE]]=FALSE,"FALSE",( TABLE1[[#This Row],[Potential Price Before BE]]-TABLE1[[#This Row],[Intended Entry]])/(TABLE1[[#This Row],[Intended Entry]]-TABLE1[[#This Row],[SL Price]]))</f>
        <v>1.0069930069930062</v>
      </c>
      <c r="AU49" s="5">
        <f>(IF(TABLE1[[#This Row],[Buy/Sell]]="BUY",(TABLE1[[#This Row],[Entry Price]]-TABLE1[[#This Row],[SL Price]])/(TABLE1[[#This Row],[Intended Entry]]-TABLE1[[#This Row],[SL Price]]),(TABLE1[[#This Row],[SL Price]]-TABLE1[[#This Row],[Entry Price]])/(TABLE1[[#This Row],[SL Price]]-TABLE1[[#This Row],[Intended Entry]])))-1</f>
        <v>0</v>
      </c>
      <c r="AV49"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0.16083916083915889</v>
      </c>
      <c r="AW49" s="21">
        <f>TABLE1[[#This Row],[Missed RRR on Entry]]+TABLE1[[#This Row],[Missed RRR on Exit]]</f>
        <v>0.16083916083915889</v>
      </c>
      <c r="AX49" s="21">
        <f>ROUND((TABLE1[[#This Row],[Potential Price]]-TABLE1[[#This Row],[Entry Price]])/(TABLE1[[#This Row],[Intended Entry]]-TABLE1[[#This Row],[SL Price]]),4)</f>
        <v>1.0069999999999999</v>
      </c>
      <c r="AY49" s="21">
        <f>ROUND((TABLE1[[#This Row],[Potential Price]]-TABLE1[[#This Row],[Intended Entry]])/(TABLE1[[#This Row],[Intended Entry]]-TABLE1[[#This Row],[SL Price]]),4)</f>
        <v>1.0069999999999999</v>
      </c>
      <c r="AZ49" s="21">
        <f>TABLE1[[#This Row],[RRR Potential]]-TABLE1[[#This Row],[RRR Realized]]</f>
        <v>2.1677999999999997</v>
      </c>
      <c r="BA49" s="29">
        <f>ROUND((TABLE1[[#This Row],[Exit Price]]-TABLE1[[#This Row],[Entry Price]])/(TABLE1[[#This Row],[Intended Entry]]-TABLE1[[#This Row],[SL Price]]),4)</f>
        <v>-1.1608000000000001</v>
      </c>
      <c r="BB49"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-1.1608000000000001</v>
      </c>
      <c r="BC49"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D49"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-1.1608000000000001</v>
      </c>
      <c r="BE49"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-1.1608000000000001</v>
      </c>
      <c r="BF49"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-1.1608000000000001</v>
      </c>
      <c r="BG49"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-1.1608000000000001</v>
      </c>
      <c r="BH49"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-1.1608000000000001</v>
      </c>
      <c r="BI49"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J49"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K49"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L49"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M49"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-1.1608000000000001</v>
      </c>
      <c r="BN49"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-1.1608000000000001</v>
      </c>
      <c r="BO49"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-1.1608000000000001</v>
      </c>
      <c r="BP49"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-1.1608000000000001</v>
      </c>
      <c r="BQ49"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-1.1608000000000001</v>
      </c>
      <c r="BR49"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S49"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-1.1608000000000001</v>
      </c>
      <c r="BT49"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0.21678321678321652</v>
      </c>
      <c r="BU49"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V49"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0.21678321678321652</v>
      </c>
      <c r="BW49"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0.21678321678321652</v>
      </c>
      <c r="BX49"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v>
      </c>
      <c r="BY49"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0.21678321678321652</v>
      </c>
      <c r="BZ49" s="24">
        <f>IF( TABLE1[[#This Row],[Wick Exit]]&lt;&gt; FALSE,TABLE1[[#This Row],[RRR Wick Exit]],IF(TABLE1[[#This Row],[Volume Exit]]&lt;&gt; FALSE,TABLE1[[#This Row],[RRR Volume Exit]],TABLE1[[#This Row],[RRR Realized]]))</f>
        <v>0.21678321678321652</v>
      </c>
      <c r="CA49"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-1.1608000000000001</v>
      </c>
      <c r="CB49"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-1.1608000000000001</v>
      </c>
      <c r="CC49"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CD49"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-1.1608000000000001</v>
      </c>
    </row>
    <row r="50" spans="1:82" x14ac:dyDescent="0.25">
      <c r="A50" t="s">
        <v>302</v>
      </c>
      <c r="B50">
        <v>49</v>
      </c>
      <c r="C50" s="2">
        <v>43508</v>
      </c>
      <c r="D50" s="1">
        <v>0.45208333333333334</v>
      </c>
      <c r="E50" s="1">
        <v>0.45694444444444443</v>
      </c>
      <c r="F50" s="5">
        <v>2.0099999999999998</v>
      </c>
      <c r="G50" s="5">
        <v>-14.25</v>
      </c>
      <c r="H50" s="17">
        <v>66</v>
      </c>
      <c r="I50" s="17" t="s">
        <v>19</v>
      </c>
      <c r="J50" t="s">
        <v>23</v>
      </c>
      <c r="K50">
        <v>7.03</v>
      </c>
      <c r="L50">
        <v>7.07</v>
      </c>
      <c r="M50">
        <v>7.18</v>
      </c>
      <c r="N50">
        <v>6.58</v>
      </c>
      <c r="O50">
        <v>7.35</v>
      </c>
      <c r="P50">
        <v>7.35</v>
      </c>
      <c r="Q50">
        <v>6.91</v>
      </c>
      <c r="R50">
        <v>6.91</v>
      </c>
      <c r="S50">
        <v>6.91</v>
      </c>
      <c r="T50" t="b">
        <v>0</v>
      </c>
      <c r="U50">
        <v>7.21</v>
      </c>
      <c r="V50" t="b">
        <v>0</v>
      </c>
      <c r="W50" t="b">
        <v>0</v>
      </c>
      <c r="X50" t="b">
        <v>0</v>
      </c>
      <c r="AA50" t="b">
        <v>0</v>
      </c>
      <c r="AD50" t="b">
        <v>0</v>
      </c>
      <c r="AE50" t="s">
        <v>25</v>
      </c>
      <c r="AF50" t="s">
        <v>32</v>
      </c>
      <c r="AG50" t="s">
        <v>35</v>
      </c>
      <c r="AI50" t="s">
        <v>52</v>
      </c>
      <c r="AJ50" t="s">
        <v>163</v>
      </c>
      <c r="AK50" s="26" t="s">
        <v>304</v>
      </c>
      <c r="AL50" s="22">
        <f>(TABLE1[[#This Row],[TP Price]]-TABLE1[[#This Row],[Intended Entry]])/(TABLE1[[#This Row],[Intended Entry]]-TABLE1[[#This Row],[SL Price]])</f>
        <v>3.000000000000012</v>
      </c>
      <c r="AM50" s="24">
        <f>IF(TABLE1[[#This Row],[Buy/Sell]]="BUY",(TABLE1[[#This Row],[Highest Price]]-TABLE1[[#This Row],[Entry Price]])/(TABLE1[[#This Row],[Intended Entry]]-TABLE1[[#This Row],[SL Price]]),(TABLE1[[#This Row],[Entry Price]]-TABLE1[[#This Row],[Lowest Price]])/(TABLE1[[#This Row],[SL Price]]-TABLE1[[#This Row],[Intended Entry]]))</f>
        <v>1.0666666666666713</v>
      </c>
      <c r="AN50" s="25">
        <f>IF(TABLE1[[#This Row],[Buy/Sell]]="BUY",(TABLE1[[#This Row],[Entry Price]]-TABLE1[[#This Row],[Lowest Price]])/(TABLE1[[#This Row],[SL Price]]-TABLE1[[#This Row],[Intended Entry]]),(TABLE1[[#This Row],[Entry Price]]-TABLE1[[#This Row],[Highest Price]])/(TABLE1[[#This Row],[SL Price]]-TABLE1[[#This Row],[Intended Entry]]))</f>
        <v>-1.8666666666666691</v>
      </c>
      <c r="AO50" s="9" t="str">
        <f>IF(TABLE1[[#This Row],[Gain/Loss]]&lt;0, "LOSER", "WINNER")</f>
        <v>LOSER</v>
      </c>
      <c r="AP50" s="5">
        <f>TABLE1[[#This Row],[Gain/Loss]]-TABLE1[[#This Row],[Comissions]]</f>
        <v>-16.259999999999998</v>
      </c>
      <c r="AQ50" s="4">
        <f>TABLE1[[#This Row],[Exit Time]]-TABLE1[[#This Row],[Entry Time]]</f>
        <v>4.8611111111110938E-3</v>
      </c>
      <c r="AR50" s="21">
        <f>IF(TABLE1[[#This Row],[Retest Price]]&lt;&gt;FALSE,ROUND((TABLE1[[#This Row],[Retest Price]]-TABLE1[[#This Row],[Entry Price]])/(TABLE1[[#This Row],[Intended Entry]]-TABLE1[[#This Row],[SL Price]]),4), "FALSE")</f>
        <v>-0.93330000000000002</v>
      </c>
      <c r="AS50" s="5">
        <f>TABLE1[[#This Row],[Net Gain/Loss]]+AS49</f>
        <v>-363.63400000000007</v>
      </c>
      <c r="AT50" s="5">
        <f>IF(TABLE1[[#This Row],[Potential Price Before BE]]=FALSE,"FALSE",( TABLE1[[#This Row],[Potential Price Before BE]]-TABLE1[[#This Row],[Intended Entry]])/(TABLE1[[#This Row],[Intended Entry]]-TABLE1[[#This Row],[SL Price]]))</f>
        <v>0.8000000000000036</v>
      </c>
      <c r="AU50" s="5">
        <f>(IF(TABLE1[[#This Row],[Buy/Sell]]="BUY",(TABLE1[[#This Row],[Entry Price]]-TABLE1[[#This Row],[SL Price]])/(TABLE1[[#This Row],[Intended Entry]]-TABLE1[[#This Row],[SL Price]]),(TABLE1[[#This Row],[SL Price]]-TABLE1[[#This Row],[Entry Price]])/(TABLE1[[#This Row],[SL Price]]-TABLE1[[#This Row],[Intended Entry]])))-1</f>
        <v>-0.26666666666666783</v>
      </c>
      <c r="AV50"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1.5454545454545527</v>
      </c>
      <c r="AW50" s="21">
        <f>TABLE1[[#This Row],[Missed RRR on Entry]]+TABLE1[[#This Row],[Missed RRR on Exit]]</f>
        <v>1.278787878787885</v>
      </c>
      <c r="AX50" s="21">
        <f>ROUND((TABLE1[[#This Row],[Potential Price]]-TABLE1[[#This Row],[Entry Price]])/(TABLE1[[#This Row],[Intended Entry]]-TABLE1[[#This Row],[SL Price]]),4)</f>
        <v>1.0667</v>
      </c>
      <c r="AY50" s="21">
        <f>ROUND((TABLE1[[#This Row],[Potential Price]]-TABLE1[[#This Row],[Intended Entry]])/(TABLE1[[#This Row],[Intended Entry]]-TABLE1[[#This Row],[SL Price]]),4)</f>
        <v>0.8</v>
      </c>
      <c r="AZ50" s="21"/>
      <c r="BA50" s="29">
        <f>ROUND((TABLE1[[#This Row],[Exit Price]]-TABLE1[[#This Row],[Entry Price]])/(TABLE1[[#This Row],[Intended Entry]]-TABLE1[[#This Row],[SL Price]]),4)</f>
        <v>-1.8667</v>
      </c>
      <c r="BB50"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-1.8667</v>
      </c>
      <c r="BC50"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-1.8667</v>
      </c>
      <c r="BD50"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-1.8667</v>
      </c>
      <c r="BE50"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-1.8667</v>
      </c>
      <c r="BF50"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-1.8667</v>
      </c>
      <c r="BG50"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-1.8667</v>
      </c>
      <c r="BH50"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-1.8667</v>
      </c>
      <c r="BI50"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-1.8667</v>
      </c>
      <c r="BJ50"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-1.8667</v>
      </c>
      <c r="BK50"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-1.8667</v>
      </c>
      <c r="BL50"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-1.8667</v>
      </c>
      <c r="BM50"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-1.8667</v>
      </c>
      <c r="BN50"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-1.8667</v>
      </c>
      <c r="BO50"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-1.8667</v>
      </c>
      <c r="BP50"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-1.8667</v>
      </c>
      <c r="BQ50"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-1.8667</v>
      </c>
      <c r="BR50"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-1.8667</v>
      </c>
      <c r="BS50"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-1.8667</v>
      </c>
      <c r="BT50"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-1.8667</v>
      </c>
      <c r="BU50"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-1.8667</v>
      </c>
      <c r="BV50"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-1.8667</v>
      </c>
      <c r="BW50"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-1.8667</v>
      </c>
      <c r="BX50"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-1.8667</v>
      </c>
      <c r="BY50"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-1.8667</v>
      </c>
      <c r="BZ50" s="24">
        <f>IF( TABLE1[[#This Row],[Wick Exit]]&lt;&gt; FALSE,TABLE1[[#This Row],[RRR Wick Exit]],IF(TABLE1[[#This Row],[Volume Exit]]&lt;&gt; FALSE,TABLE1[[#This Row],[RRR Volume Exit]],TABLE1[[#This Row],[RRR Realized]]))</f>
        <v>-1.8667</v>
      </c>
      <c r="CA50"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-1.8667</v>
      </c>
      <c r="CB50"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-1.8667</v>
      </c>
      <c r="CC50"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-1.8667</v>
      </c>
      <c r="CD50"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-1.8667</v>
      </c>
    </row>
    <row r="51" spans="1:82" x14ac:dyDescent="0.25">
      <c r="A51" t="s">
        <v>305</v>
      </c>
      <c r="B51">
        <v>50</v>
      </c>
      <c r="C51" s="2">
        <v>43508</v>
      </c>
      <c r="D51" s="1">
        <v>0.4604166666666667</v>
      </c>
      <c r="E51" s="1">
        <v>0.46875</v>
      </c>
      <c r="F51" s="5">
        <v>3.06</v>
      </c>
      <c r="G51" s="5">
        <v>-8.25</v>
      </c>
      <c r="H51" s="17">
        <v>500</v>
      </c>
      <c r="I51" s="17" t="s">
        <v>19</v>
      </c>
      <c r="J51" t="s">
        <v>22</v>
      </c>
      <c r="K51">
        <v>0.629</v>
      </c>
      <c r="L51">
        <v>0.63</v>
      </c>
      <c r="M51">
        <v>0.60950000000000004</v>
      </c>
      <c r="N51">
        <v>0.67600000000000005</v>
      </c>
      <c r="O51">
        <v>0.61299999999999999</v>
      </c>
      <c r="P51">
        <v>0.67889999999999995</v>
      </c>
      <c r="Q51">
        <v>0.61299999999999999</v>
      </c>
      <c r="R51">
        <v>0.67889999999999995</v>
      </c>
      <c r="S51">
        <v>0.67889999999999995</v>
      </c>
      <c r="T51" t="b">
        <v>0</v>
      </c>
      <c r="U51" t="b">
        <v>0</v>
      </c>
      <c r="V51" t="b">
        <v>0</v>
      </c>
      <c r="X51">
        <v>0.62</v>
      </c>
      <c r="Y51" t="b">
        <v>0</v>
      </c>
      <c r="Z51">
        <v>1.5</v>
      </c>
      <c r="AA51" t="b">
        <v>0</v>
      </c>
      <c r="AB51" t="b">
        <v>0</v>
      </c>
      <c r="AD51" t="b">
        <v>0</v>
      </c>
      <c r="AE51" t="s">
        <v>26</v>
      </c>
      <c r="AF51" t="s">
        <v>29</v>
      </c>
      <c r="AG51" t="s">
        <v>35</v>
      </c>
      <c r="AH51">
        <v>27</v>
      </c>
      <c r="AI51" t="s">
        <v>434</v>
      </c>
      <c r="AJ51" t="s">
        <v>163</v>
      </c>
      <c r="AK51" s="26" t="s">
        <v>306</v>
      </c>
      <c r="AL51" s="22">
        <f>(TABLE1[[#This Row],[TP Price]]-TABLE1[[#This Row],[Intended Entry]])/(TABLE1[[#This Row],[Intended Entry]]-TABLE1[[#This Row],[SL Price]])</f>
        <v>2.4102564102564172</v>
      </c>
      <c r="AM51" s="24">
        <f>IF(TABLE1[[#This Row],[Buy/Sell]]="BUY",(TABLE1[[#This Row],[Highest Price]]-TABLE1[[#This Row],[Entry Price]])/(TABLE1[[#This Row],[Intended Entry]]-TABLE1[[#This Row],[SL Price]]),(TABLE1[[#This Row],[Entry Price]]-TABLE1[[#This Row],[Lowest Price]])/(TABLE1[[#This Row],[SL Price]]-TABLE1[[#This Row],[Intended Entry]]))</f>
        <v>2.5076923076923099</v>
      </c>
      <c r="AN51" s="25">
        <f>IF(TABLE1[[#This Row],[Buy/Sell]]="BUY",(TABLE1[[#This Row],[Entry Price]]-TABLE1[[#This Row],[Lowest Price]])/(TABLE1[[#This Row],[SL Price]]-TABLE1[[#This Row],[Intended Entry]]),(TABLE1[[#This Row],[Entry Price]]-TABLE1[[#This Row],[Highest Price]])/(TABLE1[[#This Row],[SL Price]]-TABLE1[[#This Row],[Intended Entry]]))</f>
        <v>-0.87179487179487425</v>
      </c>
      <c r="AO51" s="9" t="str">
        <f>IF(TABLE1[[#This Row],[Gain/Loss]]&lt;0, "LOSER", "WINNER")</f>
        <v>LOSER</v>
      </c>
      <c r="AP51" s="5">
        <f>TABLE1[[#This Row],[Gain/Loss]]-TABLE1[[#This Row],[Comissions]]</f>
        <v>-11.31</v>
      </c>
      <c r="AQ51" s="4">
        <f>TABLE1[[#This Row],[Exit Time]]-TABLE1[[#This Row],[Entry Time]]</f>
        <v>8.3333333333333037E-3</v>
      </c>
      <c r="AR51" s="21" t="str">
        <f>IF(TABLE1[[#This Row],[Retest Price]]&lt;&gt;FALSE,ROUND((TABLE1[[#This Row],[Retest Price]]-TABLE1[[#This Row],[Entry Price]])/(TABLE1[[#This Row],[Intended Entry]]-TABLE1[[#This Row],[SL Price]]),4), "FALSE")</f>
        <v>FALSE</v>
      </c>
      <c r="AS51" s="5">
        <f>TABLE1[[#This Row],[Net Gain/Loss]]+AS50</f>
        <v>-374.94400000000007</v>
      </c>
      <c r="AT51" s="5">
        <f>IF(TABLE1[[#This Row],[Potential Price Before BE]]=FALSE,"FALSE",( TABLE1[[#This Row],[Potential Price Before BE]]-TABLE1[[#This Row],[Intended Entry]])/(TABLE1[[#This Row],[Intended Entry]]-TABLE1[[#This Row],[SL Price]]))</f>
        <v>2.558974358974361</v>
      </c>
      <c r="AU51" s="5">
        <f>(IF(TABLE1[[#This Row],[Buy/Sell]]="BUY",(TABLE1[[#This Row],[Entry Price]]-TABLE1[[#This Row],[SL Price]])/(TABLE1[[#This Row],[Intended Entry]]-TABLE1[[#This Row],[SL Price]]),(TABLE1[[#This Row],[SL Price]]-TABLE1[[#This Row],[Entry Price]])/(TABLE1[[#This Row],[SL Price]]-TABLE1[[#This Row],[Intended Entry]])))-1</f>
        <v>5.1282051282051322E-2</v>
      </c>
      <c r="AV51"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-0.17948717948717716</v>
      </c>
      <c r="AW51" s="21">
        <f>TABLE1[[#This Row],[Missed RRR on Entry]]+TABLE1[[#This Row],[Missed RRR on Exit]]</f>
        <v>-0.12820512820512583</v>
      </c>
      <c r="AX51" s="21">
        <f>ROUND((TABLE1[[#This Row],[Potential Price]]-TABLE1[[#This Row],[Entry Price]])/(TABLE1[[#This Row],[Intended Entry]]-TABLE1[[#This Row],[SL Price]]),4)</f>
        <v>2.5076999999999998</v>
      </c>
      <c r="AY51" s="21">
        <f>ROUND((TABLE1[[#This Row],[Potential Price]]-TABLE1[[#This Row],[Intended Entry]])/(TABLE1[[#This Row],[Intended Entry]]-TABLE1[[#This Row],[SL Price]]),4)</f>
        <v>2.5590000000000002</v>
      </c>
      <c r="AZ51" s="21">
        <f>TABLE1[[#This Row],[RRR Potential]]-TABLE1[[#This Row],[RRR Realized]]</f>
        <v>3.3794999999999997</v>
      </c>
      <c r="BA51" s="29">
        <f>ROUND((TABLE1[[#This Row],[Exit Price]]-TABLE1[[#This Row],[Entry Price]])/(TABLE1[[#This Row],[Intended Entry]]-TABLE1[[#This Row],[SL Price]]),4)</f>
        <v>-0.87180000000000002</v>
      </c>
      <c r="BB51"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-0.87180000000000002</v>
      </c>
      <c r="BC51"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-5.1282051282051322E-2</v>
      </c>
      <c r="BD51"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-5.1282051282051322E-2</v>
      </c>
      <c r="BE51"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-0.87180000000000002</v>
      </c>
      <c r="BF51"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-0.87180000000000002</v>
      </c>
      <c r="BG51"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-0.87180000000000002</v>
      </c>
      <c r="BH51"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-0.87180000000000002</v>
      </c>
      <c r="BI51"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-5.1282051282051322E-2</v>
      </c>
      <c r="BJ51"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-5.1282051282051322E-2</v>
      </c>
      <c r="BK51"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-5.1282051282051322E-2</v>
      </c>
      <c r="BL51"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-5.1282051282051322E-2</v>
      </c>
      <c r="BM51"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-5.1282051282051322E-2</v>
      </c>
      <c r="BN51"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-5.1282051282051322E-2</v>
      </c>
      <c r="BO51"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-5.1282051282051322E-2</v>
      </c>
      <c r="BP51"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-5.1282051282051322E-2</v>
      </c>
      <c r="BQ51"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-0.87180000000000002</v>
      </c>
      <c r="BR51"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-5.1282051282051322E-2</v>
      </c>
      <c r="BS51"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-5.1282051282051322E-2</v>
      </c>
      <c r="BT51"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-0.51282051282051433</v>
      </c>
      <c r="BU51"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-5.1282051282051322E-2</v>
      </c>
      <c r="BV51"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-5.1282051282051322E-2</v>
      </c>
      <c r="BW51"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-0.51282051282051433</v>
      </c>
      <c r="BX51"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-5.1282051282051322E-2</v>
      </c>
      <c r="BY51"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-5.1282051282051322E-2</v>
      </c>
      <c r="BZ51" s="24">
        <f>IF( TABLE1[[#This Row],[Wick Exit]]&lt;&gt; FALSE,TABLE1[[#This Row],[RRR Wick Exit]],IF(TABLE1[[#This Row],[Volume Exit]]&lt;&gt; FALSE,TABLE1[[#This Row],[RRR Volume Exit]],TABLE1[[#This Row],[RRR Realized]]))</f>
        <v>-0.51282051282051433</v>
      </c>
      <c r="CA51"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-0.87180000000000002</v>
      </c>
      <c r="CB51"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-0.87180000000000002</v>
      </c>
      <c r="CC51"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-5.1282051282051322E-2</v>
      </c>
      <c r="CD51"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-5.1282051282051322E-2</v>
      </c>
    </row>
    <row r="52" spans="1:82" x14ac:dyDescent="0.25">
      <c r="A52" t="s">
        <v>310</v>
      </c>
      <c r="B52">
        <v>51</v>
      </c>
      <c r="C52" s="2">
        <v>43509</v>
      </c>
      <c r="D52" s="1">
        <v>0.4069444444444445</v>
      </c>
      <c r="E52" s="1">
        <v>0.40833333333333338</v>
      </c>
      <c r="F52" s="5">
        <v>4.07</v>
      </c>
      <c r="G52" s="5">
        <v>27</v>
      </c>
      <c r="H52" s="17">
        <v>300</v>
      </c>
      <c r="I52" s="17" t="s">
        <v>19</v>
      </c>
      <c r="J52" t="s">
        <v>22</v>
      </c>
      <c r="K52">
        <v>8.9600000000000009</v>
      </c>
      <c r="L52">
        <v>8.9600000000000009</v>
      </c>
      <c r="M52">
        <v>8.93</v>
      </c>
      <c r="N52">
        <v>9.0500000000000007</v>
      </c>
      <c r="O52">
        <v>9.0500000000000007</v>
      </c>
      <c r="P52">
        <v>9.0500000000000007</v>
      </c>
      <c r="Q52">
        <v>8.9499999999999993</v>
      </c>
      <c r="R52" t="b">
        <v>0</v>
      </c>
      <c r="S52">
        <v>9.23</v>
      </c>
      <c r="T52" t="b">
        <v>0</v>
      </c>
      <c r="U52" t="b">
        <v>0</v>
      </c>
      <c r="V52" t="b">
        <v>1</v>
      </c>
      <c r="X52">
        <v>9.1999999999999993</v>
      </c>
      <c r="Y52">
        <v>5</v>
      </c>
      <c r="Z52" t="b">
        <v>0</v>
      </c>
      <c r="AA52">
        <v>9.1999999999999993</v>
      </c>
      <c r="AB52">
        <v>5</v>
      </c>
      <c r="AC52" t="b">
        <v>0</v>
      </c>
      <c r="AD52" t="b">
        <v>0</v>
      </c>
      <c r="AE52" t="s">
        <v>26</v>
      </c>
      <c r="AF52" t="s">
        <v>29</v>
      </c>
      <c r="AG52" t="s">
        <v>35</v>
      </c>
      <c r="AH52">
        <v>921</v>
      </c>
      <c r="AI52" t="s">
        <v>434</v>
      </c>
      <c r="AJ52" t="s">
        <v>163</v>
      </c>
      <c r="AK52" s="26" t="s">
        <v>311</v>
      </c>
      <c r="AL52" s="22">
        <f>(TABLE1[[#This Row],[TP Price]]-TABLE1[[#This Row],[Intended Entry]])/(TABLE1[[#This Row],[Intended Entry]]-TABLE1[[#This Row],[SL Price]])</f>
        <v>2.9999999999998814</v>
      </c>
      <c r="AM52" s="24">
        <f>IF(TABLE1[[#This Row],[Buy/Sell]]="BUY",(TABLE1[[#This Row],[Highest Price]]-TABLE1[[#This Row],[Entry Price]])/(TABLE1[[#This Row],[Intended Entry]]-TABLE1[[#This Row],[SL Price]]),(TABLE1[[#This Row],[Entry Price]]-TABLE1[[#This Row],[Lowest Price]])/(TABLE1[[#This Row],[SL Price]]-TABLE1[[#This Row],[Intended Entry]]))</f>
        <v>2.9999999999998814</v>
      </c>
      <c r="AN52" s="25">
        <f>IF(TABLE1[[#This Row],[Buy/Sell]]="BUY",(TABLE1[[#This Row],[Entry Price]]-TABLE1[[#This Row],[Lowest Price]])/(TABLE1[[#This Row],[SL Price]]-TABLE1[[#This Row],[Intended Entry]]),(TABLE1[[#This Row],[Entry Price]]-TABLE1[[#This Row],[Highest Price]])/(TABLE1[[#This Row],[SL Price]]-TABLE1[[#This Row],[Intended Entry]]))</f>
        <v>-0.33333333333337278</v>
      </c>
      <c r="AO52" s="9" t="str">
        <f>IF(TABLE1[[#This Row],[Gain/Loss]]&lt;0, "LOSER", "WINNER")</f>
        <v>WINNER</v>
      </c>
      <c r="AP52" s="5">
        <f>TABLE1[[#This Row],[Gain/Loss]]-TABLE1[[#This Row],[Comissions]]</f>
        <v>22.93</v>
      </c>
      <c r="AQ52" s="4">
        <f>TABLE1[[#This Row],[Exit Time]]-TABLE1[[#This Row],[Entry Time]]</f>
        <v>1.388888888888884E-3</v>
      </c>
      <c r="AR52" s="21" t="str">
        <f>IF(TABLE1[[#This Row],[Retest Price]]&lt;&gt;FALSE,ROUND((TABLE1[[#This Row],[Retest Price]]-TABLE1[[#This Row],[Entry Price]])/(TABLE1[[#This Row],[Intended Entry]]-TABLE1[[#This Row],[SL Price]]),4), "FALSE")</f>
        <v>FALSE</v>
      </c>
      <c r="AS52" s="5">
        <f>TABLE1[[#This Row],[Net Gain/Loss]]+AS51</f>
        <v>-352.01400000000007</v>
      </c>
      <c r="AT52" s="5" t="str">
        <f>IF(TABLE1[[#This Row],[Potential Price Before BE]]=FALSE,"FALSE",( TABLE1[[#This Row],[Potential Price Before BE]]-TABLE1[[#This Row],[Intended Entry]])/(TABLE1[[#This Row],[Intended Entry]]-TABLE1[[#This Row],[SL Price]]))</f>
        <v>FALSE</v>
      </c>
      <c r="AU52" s="5">
        <f>(IF(TABLE1[[#This Row],[Buy/Sell]]="BUY",(TABLE1[[#This Row],[Entry Price]]-TABLE1[[#This Row],[SL Price]])/(TABLE1[[#This Row],[Intended Entry]]-TABLE1[[#This Row],[SL Price]]),(TABLE1[[#This Row],[SL Price]]-TABLE1[[#This Row],[Entry Price]])/(TABLE1[[#This Row],[SL Price]]-TABLE1[[#This Row],[Intended Entry]])))-1</f>
        <v>0</v>
      </c>
      <c r="AV52"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W52" s="21">
        <f>TABLE1[[#This Row],[Missed RRR on Entry]]+TABLE1[[#This Row],[Missed RRR on Exit]]</f>
        <v>0</v>
      </c>
      <c r="AX52" s="21">
        <f>ROUND((TABLE1[[#This Row],[Potential Price]]-TABLE1[[#This Row],[Entry Price]])/(TABLE1[[#This Row],[Intended Entry]]-TABLE1[[#This Row],[SL Price]]),4)</f>
        <v>9</v>
      </c>
      <c r="AY52" s="21">
        <f>ROUND((TABLE1[[#This Row],[Potential Price]]-TABLE1[[#This Row],[Intended Entry]])/(TABLE1[[#This Row],[Intended Entry]]-TABLE1[[#This Row],[SL Price]]),4)</f>
        <v>9</v>
      </c>
      <c r="AZ52" s="21">
        <f>TABLE1[[#This Row],[RRR Potential]]-TABLE1[[#This Row],[RRR Realized]]</f>
        <v>6</v>
      </c>
      <c r="BA52" s="29">
        <f>ROUND((TABLE1[[#This Row],[Exit Price]]-TABLE1[[#This Row],[Entry Price]])/(TABLE1[[#This Row],[Intended Entry]]-TABLE1[[#This Row],[SL Price]]),4)</f>
        <v>3</v>
      </c>
      <c r="BB52"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C52"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D52"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E52"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F52"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G52"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H52"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I52"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J52"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K52"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L52"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M52"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N52"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O52"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P52"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Q52"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R52"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S52"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T52"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U52"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V52"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W52"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7.9999999999996447</v>
      </c>
      <c r="BX52" s="2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7.9999999999996447</v>
      </c>
      <c r="BY52" s="24">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7.9999999999996447</v>
      </c>
      <c r="BZ52" s="24">
        <f>IF( TABLE1[[#This Row],[Wick Exit]]&lt;&gt; FALSE,TABLE1[[#This Row],[RRR Wick Exit]],IF(TABLE1[[#This Row],[Volume Exit]]&lt;&gt; FALSE,TABLE1[[#This Row],[RRR Volume Exit]],TABLE1[[#This Row],[RRR Realized]]))</f>
        <v>7.9999999999996447</v>
      </c>
      <c r="CA52"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v>
      </c>
      <c r="CB52"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CC52"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CD52"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row>
    <row r="53" spans="1:82" x14ac:dyDescent="0.25">
      <c r="A53" t="s">
        <v>310</v>
      </c>
      <c r="B53">
        <v>52</v>
      </c>
      <c r="C53" s="2">
        <v>43509</v>
      </c>
      <c r="D53" s="1">
        <v>0.41597222222222219</v>
      </c>
      <c r="E53" s="1">
        <v>0.41944444444444445</v>
      </c>
      <c r="F53" s="5">
        <v>2.56</v>
      </c>
      <c r="G53" s="5">
        <f>-24.67+2.56</f>
        <v>-22.110000000000003</v>
      </c>
      <c r="H53" s="17">
        <v>250</v>
      </c>
      <c r="I53" t="s">
        <v>19</v>
      </c>
      <c r="J53" t="s">
        <v>22</v>
      </c>
      <c r="K53">
        <v>9.17</v>
      </c>
      <c r="L53">
        <v>9.1679999999999993</v>
      </c>
      <c r="M53">
        <v>9.1199999999999992</v>
      </c>
      <c r="N53">
        <v>9.2899999999999991</v>
      </c>
      <c r="O53">
        <v>9.08</v>
      </c>
      <c r="P53">
        <v>9.18</v>
      </c>
      <c r="Q53">
        <v>9.08</v>
      </c>
      <c r="R53">
        <v>9.18</v>
      </c>
      <c r="S53">
        <v>9.18</v>
      </c>
      <c r="T53" t="b">
        <v>0</v>
      </c>
      <c r="U53" t="b">
        <v>0</v>
      </c>
      <c r="V53" t="b">
        <v>0</v>
      </c>
      <c r="W53" t="b">
        <v>0</v>
      </c>
      <c r="X53" t="b">
        <v>0</v>
      </c>
      <c r="AA53" t="b">
        <v>0</v>
      </c>
      <c r="AD53" t="b">
        <v>0</v>
      </c>
      <c r="AE53" t="s">
        <v>25</v>
      </c>
      <c r="AF53" t="s">
        <v>32</v>
      </c>
      <c r="AG53" t="s">
        <v>35</v>
      </c>
      <c r="AH53">
        <v>921</v>
      </c>
      <c r="AI53" t="s">
        <v>436</v>
      </c>
      <c r="AJ53" t="s">
        <v>163</v>
      </c>
      <c r="AK53" s="26" t="s">
        <v>311</v>
      </c>
      <c r="AL53" s="22">
        <f>(TABLE1[[#This Row],[TP Price]]-TABLE1[[#This Row],[Intended Entry]])/(TABLE1[[#This Row],[Intended Entry]]-TABLE1[[#This Row],[SL Price]])</f>
        <v>2.3999999999999502</v>
      </c>
      <c r="AM53" s="24">
        <f>IF(TABLE1[[#This Row],[Buy/Sell]]="BUY",(TABLE1[[#This Row],[Highest Price]]-TABLE1[[#This Row],[Entry Price]])/(TABLE1[[#This Row],[Intended Entry]]-TABLE1[[#This Row],[SL Price]]),(TABLE1[[#This Row],[Entry Price]]-TABLE1[[#This Row],[Lowest Price]])/(TABLE1[[#This Row],[SL Price]]-TABLE1[[#This Row],[Intended Entry]]))</f>
        <v>0.24000000000000568</v>
      </c>
      <c r="AN53" s="25">
        <f>IF(TABLE1[[#This Row],[Buy/Sell]]="BUY",(TABLE1[[#This Row],[Entry Price]]-TABLE1[[#This Row],[Lowest Price]])/(TABLE1[[#This Row],[SL Price]]-TABLE1[[#This Row],[Intended Entry]]),(TABLE1[[#This Row],[Entry Price]]-TABLE1[[#This Row],[Highest Price]])/(TABLE1[[#This Row],[SL Price]]-TABLE1[[#This Row],[Intended Entry]]))</f>
        <v>-1.7599999999999587</v>
      </c>
      <c r="AO53" s="9" t="str">
        <f>IF(TABLE1[[#This Row],[Gain/Loss]]&lt;0, "LOSER", "WINNER")</f>
        <v>LOSER</v>
      </c>
      <c r="AP53" s="5">
        <f>TABLE1[[#This Row],[Gain/Loss]]-TABLE1[[#This Row],[Comissions]]</f>
        <v>-24.67</v>
      </c>
      <c r="AQ53" s="4">
        <f>TABLE1[[#This Row],[Exit Time]]-TABLE1[[#This Row],[Entry Time]]</f>
        <v>3.4722222222222654E-3</v>
      </c>
      <c r="AR53" s="21" t="str">
        <f>IF(TABLE1[[#This Row],[Retest Price]]&lt;&gt;FALSE,ROUND((TABLE1[[#This Row],[Retest Price]]-TABLE1[[#This Row],[Entry Price]])/(TABLE1[[#This Row],[Intended Entry]]-TABLE1[[#This Row],[SL Price]]),4), "FALSE")</f>
        <v>FALSE</v>
      </c>
      <c r="AS53" s="5">
        <f>TABLE1[[#This Row],[Net Gain/Loss]]+AS52</f>
        <v>-376.68400000000008</v>
      </c>
      <c r="AT53" s="5">
        <f>IF(TABLE1[[#This Row],[Potential Price Before BE]]=FALSE,"FALSE",( TABLE1[[#This Row],[Potential Price Before BE]]-TABLE1[[#This Row],[Intended Entry]])/(TABLE1[[#This Row],[Intended Entry]]-TABLE1[[#This Row],[SL Price]]))</f>
        <v>0.19999999999999291</v>
      </c>
      <c r="AU53" s="5">
        <f>(IF(TABLE1[[#This Row],[Buy/Sell]]="BUY",(TABLE1[[#This Row],[Entry Price]]-TABLE1[[#This Row],[SL Price]])/(TABLE1[[#This Row],[Intended Entry]]-TABLE1[[#This Row],[SL Price]]),(TABLE1[[#This Row],[SL Price]]-TABLE1[[#This Row],[Entry Price]])/(TABLE1[[#This Row],[SL Price]]-TABLE1[[#This Row],[Intended Entry]])))-1</f>
        <v>-4.0000000000012803E-2</v>
      </c>
      <c r="AV53"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0.79999999999997162</v>
      </c>
      <c r="AW53" s="21">
        <f>TABLE1[[#This Row],[Missed RRR on Entry]]+TABLE1[[#This Row],[Missed RRR on Exit]]</f>
        <v>0.75999999999995882</v>
      </c>
      <c r="AX53" s="21">
        <f>ROUND((TABLE1[[#This Row],[Potential Price]]-TABLE1[[#This Row],[Entry Price]])/(TABLE1[[#This Row],[Intended Entry]]-TABLE1[[#This Row],[SL Price]]),4)</f>
        <v>0.24</v>
      </c>
      <c r="AY53" s="21">
        <f>ROUND((TABLE1[[#This Row],[Potential Price]]-TABLE1[[#This Row],[Intended Entry]])/(TABLE1[[#This Row],[Intended Entry]]-TABLE1[[#This Row],[SL Price]]),4)</f>
        <v>0.2</v>
      </c>
      <c r="AZ53" s="21">
        <f>TABLE1[[#This Row],[RRR Potential]]-TABLE1[[#This Row],[RRR Realized]]</f>
        <v>2</v>
      </c>
      <c r="BA53" s="29">
        <f>ROUND((TABLE1[[#This Row],[Exit Price]]-TABLE1[[#This Row],[Entry Price]])/(TABLE1[[#This Row],[Intended Entry]]-TABLE1[[#This Row],[SL Price]]),4)</f>
        <v>-1.76</v>
      </c>
      <c r="BB53"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-1.76</v>
      </c>
      <c r="BC53"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-1.76</v>
      </c>
      <c r="BD53"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-1.76</v>
      </c>
      <c r="BE53"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-1.76</v>
      </c>
      <c r="BF53"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-1.76</v>
      </c>
      <c r="BG53"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-1.76</v>
      </c>
      <c r="BH53"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-1.76</v>
      </c>
      <c r="BI53"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-1.76</v>
      </c>
      <c r="BJ53"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-1.76</v>
      </c>
      <c r="BK53"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-1.76</v>
      </c>
      <c r="BL53"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-1.76</v>
      </c>
      <c r="BM53"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-1.76</v>
      </c>
      <c r="BN53"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-1.76</v>
      </c>
      <c r="BO53"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-1.76</v>
      </c>
      <c r="BP53"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-1.76</v>
      </c>
      <c r="BQ53"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-1.76</v>
      </c>
      <c r="BR53"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-1.76</v>
      </c>
      <c r="BS53"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-1.76</v>
      </c>
      <c r="BT53"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-1.76</v>
      </c>
      <c r="BU53"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-1.76</v>
      </c>
      <c r="BV53"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-1.76</v>
      </c>
      <c r="BW53"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-1.76</v>
      </c>
      <c r="BX53"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-1.76</v>
      </c>
      <c r="BY53"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-1.76</v>
      </c>
      <c r="BZ53" s="24">
        <f>IF( TABLE1[[#This Row],[Wick Exit]]&lt;&gt; FALSE,TABLE1[[#This Row],[RRR Wick Exit]],IF(TABLE1[[#This Row],[Volume Exit]]&lt;&gt; FALSE,TABLE1[[#This Row],[RRR Volume Exit]],TABLE1[[#This Row],[RRR Realized]]))</f>
        <v>-1.76</v>
      </c>
      <c r="CA53"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-1.76</v>
      </c>
      <c r="CB53"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-1.76</v>
      </c>
      <c r="CC53"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-1.76</v>
      </c>
      <c r="CD53"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-1.76</v>
      </c>
    </row>
    <row r="54" spans="1:82" x14ac:dyDescent="0.25">
      <c r="A54" t="s">
        <v>312</v>
      </c>
      <c r="B54">
        <v>53</v>
      </c>
      <c r="C54" s="2">
        <v>43509</v>
      </c>
      <c r="D54" s="1">
        <v>0.41111111111111115</v>
      </c>
      <c r="E54" s="1">
        <v>0.44097222222222227</v>
      </c>
      <c r="F54" s="5">
        <v>2.36</v>
      </c>
      <c r="G54" s="5">
        <v>28</v>
      </c>
      <c r="H54" s="17">
        <v>200</v>
      </c>
      <c r="I54" t="s">
        <v>19</v>
      </c>
      <c r="J54" t="s">
        <v>22</v>
      </c>
      <c r="K54">
        <v>8.0399999999999991</v>
      </c>
      <c r="L54">
        <v>8.0500000000000007</v>
      </c>
      <c r="M54">
        <v>7.99</v>
      </c>
      <c r="N54">
        <v>8.19</v>
      </c>
      <c r="O54">
        <v>8.19</v>
      </c>
      <c r="P54">
        <v>8.19</v>
      </c>
      <c r="Q54">
        <v>7.98</v>
      </c>
      <c r="R54">
        <v>8.08</v>
      </c>
      <c r="S54">
        <v>8.4499999999999993</v>
      </c>
      <c r="T54">
        <v>8.11</v>
      </c>
      <c r="U54" t="b">
        <v>0</v>
      </c>
      <c r="V54" t="b">
        <v>1</v>
      </c>
      <c r="X54">
        <v>8.11</v>
      </c>
      <c r="Y54" t="b">
        <v>0</v>
      </c>
      <c r="Z54" t="b">
        <v>0</v>
      </c>
      <c r="AA54">
        <v>8.36</v>
      </c>
      <c r="AB54" t="b">
        <v>0</v>
      </c>
      <c r="AC54" t="b">
        <v>0</v>
      </c>
      <c r="AD54" t="b">
        <v>0</v>
      </c>
      <c r="AE54" t="s">
        <v>25</v>
      </c>
      <c r="AF54" t="s">
        <v>30</v>
      </c>
      <c r="AG54" t="s">
        <v>36</v>
      </c>
      <c r="AH54">
        <v>1002</v>
      </c>
      <c r="AI54" t="s">
        <v>431</v>
      </c>
      <c r="AJ54" t="s">
        <v>163</v>
      </c>
      <c r="AK54" s="26" t="s">
        <v>313</v>
      </c>
      <c r="AL54" s="22">
        <f>(TABLE1[[#This Row],[TP Price]]-TABLE1[[#This Row],[Intended Entry]])/(TABLE1[[#This Row],[Intended Entry]]-TABLE1[[#This Row],[SL Price]])</f>
        <v>3.0000000000000711</v>
      </c>
      <c r="AM54" s="24">
        <f>IF(TABLE1[[#This Row],[Buy/Sell]]="BUY",(TABLE1[[#This Row],[Highest Price]]-TABLE1[[#This Row],[Entry Price]])/(TABLE1[[#This Row],[Intended Entry]]-TABLE1[[#This Row],[SL Price]]),(TABLE1[[#This Row],[Entry Price]]-TABLE1[[#This Row],[Lowest Price]])/(TABLE1[[#This Row],[SL Price]]-TABLE1[[#This Row],[Intended Entry]]))</f>
        <v>2.8000000000000353</v>
      </c>
      <c r="AN54" s="25">
        <f>IF(TABLE1[[#This Row],[Buy/Sell]]="BUY",(TABLE1[[#This Row],[Entry Price]]-TABLE1[[#This Row],[Lowest Price]])/(TABLE1[[#This Row],[SL Price]]-TABLE1[[#This Row],[Intended Entry]]),(TABLE1[[#This Row],[Entry Price]]-TABLE1[[#This Row],[Highest Price]])/(TABLE1[[#This Row],[SL Price]]-TABLE1[[#This Row],[Intended Entry]]))</f>
        <v>-1.4000000000000354</v>
      </c>
      <c r="AO54" s="9" t="str">
        <f>IF(TABLE1[[#This Row],[Gain/Loss]]&lt;0, "LOSER", "WINNER")</f>
        <v>WINNER</v>
      </c>
      <c r="AP54" s="5">
        <f>TABLE1[[#This Row],[Gain/Loss]]-TABLE1[[#This Row],[Comissions]]</f>
        <v>25.64</v>
      </c>
      <c r="AQ54" s="4">
        <f>TABLE1[[#This Row],[Exit Time]]-TABLE1[[#This Row],[Entry Time]]</f>
        <v>2.9861111111111116E-2</v>
      </c>
      <c r="AR54" s="21" t="str">
        <f>IF(TABLE1[[#This Row],[Retest Price]]&lt;&gt;FALSE,ROUND((TABLE1[[#This Row],[Retest Price]]-TABLE1[[#This Row],[Entry Price]])/(TABLE1[[#This Row],[Intended Entry]]-TABLE1[[#This Row],[SL Price]]),4), "FALSE")</f>
        <v>FALSE</v>
      </c>
      <c r="AS54" s="5">
        <f>TABLE1[[#This Row],[Net Gain/Loss]]+AS53</f>
        <v>-351.0440000000001</v>
      </c>
      <c r="AT54" s="5">
        <f>IF(TABLE1[[#This Row],[Potential Price Before BE]]=FALSE,"FALSE",( TABLE1[[#This Row],[Potential Price Before BE]]-TABLE1[[#This Row],[Intended Entry]])/(TABLE1[[#This Row],[Intended Entry]]-TABLE1[[#This Row],[SL Price]]))</f>
        <v>0.80000000000003557</v>
      </c>
      <c r="AU54" s="5">
        <f>(IF(TABLE1[[#This Row],[Buy/Sell]]="BUY",(TABLE1[[#This Row],[Entry Price]]-TABLE1[[#This Row],[SL Price]])/(TABLE1[[#This Row],[Intended Entry]]-TABLE1[[#This Row],[SL Price]]),(TABLE1[[#This Row],[SL Price]]-TABLE1[[#This Row],[Entry Price]])/(TABLE1[[#This Row],[SL Price]]-TABLE1[[#This Row],[Intended Entry]])))-1</f>
        <v>0.20000000000003548</v>
      </c>
      <c r="AV54"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W54" s="21">
        <f>TABLE1[[#This Row],[Missed RRR on Entry]]+TABLE1[[#This Row],[Missed RRR on Exit]]</f>
        <v>0.20000000000003548</v>
      </c>
      <c r="AX54" s="21">
        <f>ROUND((TABLE1[[#This Row],[Potential Price]]-TABLE1[[#This Row],[Entry Price]])/(TABLE1[[#This Row],[Intended Entry]]-TABLE1[[#This Row],[SL Price]]),4)</f>
        <v>8</v>
      </c>
      <c r="AY54" s="21">
        <f>ROUND((TABLE1[[#This Row],[Potential Price]]-TABLE1[[#This Row],[Intended Entry]])/(TABLE1[[#This Row],[Intended Entry]]-TABLE1[[#This Row],[SL Price]]),4)</f>
        <v>8.1999999999999993</v>
      </c>
      <c r="AZ54" s="21">
        <f>TABLE1[[#This Row],[RRR Potential]]-TABLE1[[#This Row],[RRR Realized]]</f>
        <v>5.2</v>
      </c>
      <c r="BA54" s="29">
        <f>ROUND((TABLE1[[#This Row],[Exit Price]]-TABLE1[[#This Row],[Entry Price]])/(TABLE1[[#This Row],[Intended Entry]]-TABLE1[[#This Row],[SL Price]]),4)</f>
        <v>2.8</v>
      </c>
      <c r="BB54"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4.7999999999999643</v>
      </c>
      <c r="BC54"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4.7999999999999643</v>
      </c>
      <c r="BD54"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4.7999999999999643</v>
      </c>
      <c r="BE54"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4.7999999999999643</v>
      </c>
      <c r="BF54"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4.7999999999999643</v>
      </c>
      <c r="BG54"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4.7999999999999643</v>
      </c>
      <c r="BH54"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4.7999999999999643</v>
      </c>
      <c r="BI54"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4.7999999999999643</v>
      </c>
      <c r="BJ54"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4.7999999999999643</v>
      </c>
      <c r="BK54"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4.7999999999999643</v>
      </c>
      <c r="BL54"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4.7999999999999643</v>
      </c>
      <c r="BM54"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4.7999999999999643</v>
      </c>
      <c r="BN54"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4.7999999999999643</v>
      </c>
      <c r="BO54"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4.7999999999999643</v>
      </c>
      <c r="BP54"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4.7999999999999643</v>
      </c>
      <c r="BQ54"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1.2</v>
      </c>
      <c r="BR54"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1.2</v>
      </c>
      <c r="BS54"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1.2</v>
      </c>
      <c r="BT54"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1.2</v>
      </c>
      <c r="BU54"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1.2</v>
      </c>
      <c r="BV54"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1.2</v>
      </c>
      <c r="BW54"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1.2</v>
      </c>
      <c r="BX54"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1.2</v>
      </c>
      <c r="BY54"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1.2</v>
      </c>
      <c r="BZ54" s="24">
        <f>IF( TABLE1[[#This Row],[Wick Exit]]&lt;&gt; FALSE,TABLE1[[#This Row],[RRR Wick Exit]],IF(TABLE1[[#This Row],[Volume Exit]]&lt;&gt; FALSE,TABLE1[[#This Row],[RRR Volume Exit]],TABLE1[[#This Row],[RRR Realized]]))</f>
        <v>1.2</v>
      </c>
      <c r="CA54"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2.8</v>
      </c>
      <c r="CB54"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4.7999999999999643</v>
      </c>
      <c r="CC54"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4.7999999999999643</v>
      </c>
      <c r="CD54"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4.7999999999999643</v>
      </c>
    </row>
    <row r="55" spans="1:82" x14ac:dyDescent="0.25">
      <c r="A55" t="s">
        <v>316</v>
      </c>
      <c r="B55">
        <v>54</v>
      </c>
      <c r="C55" s="2">
        <v>43510</v>
      </c>
      <c r="D55" s="1">
        <v>0.40486111111111112</v>
      </c>
      <c r="E55" s="1">
        <v>0.4069444444444445</v>
      </c>
      <c r="F55" s="5">
        <v>2.02</v>
      </c>
      <c r="G55" s="5">
        <v>29</v>
      </c>
      <c r="H55" s="17">
        <v>100</v>
      </c>
      <c r="I55" t="s">
        <v>19</v>
      </c>
      <c r="J55" t="s">
        <v>22</v>
      </c>
      <c r="K55">
        <v>8.1</v>
      </c>
      <c r="L55">
        <v>8.11</v>
      </c>
      <c r="M55">
        <v>8</v>
      </c>
      <c r="N55">
        <v>8.4</v>
      </c>
      <c r="O55">
        <v>8.4</v>
      </c>
      <c r="P55">
        <v>8.4</v>
      </c>
      <c r="Q55">
        <v>8</v>
      </c>
      <c r="R55" t="b">
        <v>0</v>
      </c>
      <c r="S55">
        <v>9.06</v>
      </c>
      <c r="T55" t="b">
        <v>0</v>
      </c>
      <c r="U55" t="b">
        <v>0</v>
      </c>
      <c r="V55" t="b">
        <v>1</v>
      </c>
      <c r="X55">
        <v>8.66</v>
      </c>
      <c r="Y55">
        <v>5</v>
      </c>
      <c r="Z55" t="b">
        <v>0</v>
      </c>
      <c r="AA55">
        <v>8.49</v>
      </c>
      <c r="AB55">
        <v>5</v>
      </c>
      <c r="AC55" t="b">
        <v>0</v>
      </c>
      <c r="AD55" t="b">
        <v>0</v>
      </c>
      <c r="AE55" t="s">
        <v>26</v>
      </c>
      <c r="AF55" t="s">
        <v>29</v>
      </c>
      <c r="AG55" t="s">
        <v>34</v>
      </c>
      <c r="AH55">
        <v>35</v>
      </c>
      <c r="AI55" t="s">
        <v>432</v>
      </c>
      <c r="AJ55" t="s">
        <v>163</v>
      </c>
      <c r="AK55" s="26" t="s">
        <v>317</v>
      </c>
      <c r="AL55" s="22">
        <f>(TABLE1[[#This Row],[TP Price]]-TABLE1[[#This Row],[Intended Entry]])/(TABLE1[[#This Row],[Intended Entry]]-TABLE1[[#This Row],[SL Price]])</f>
        <v>3.0000000000000178</v>
      </c>
      <c r="AM55" s="24">
        <f>IF(TABLE1[[#This Row],[Buy/Sell]]="BUY",(TABLE1[[#This Row],[Highest Price]]-TABLE1[[#This Row],[Entry Price]])/(TABLE1[[#This Row],[Intended Entry]]-TABLE1[[#This Row],[SL Price]]),(TABLE1[[#This Row],[Entry Price]]-TABLE1[[#This Row],[Lowest Price]])/(TABLE1[[#This Row],[SL Price]]-TABLE1[[#This Row],[Intended Entry]]))</f>
        <v>2.9000000000000195</v>
      </c>
      <c r="AN55" s="25">
        <f>IF(TABLE1[[#This Row],[Buy/Sell]]="BUY",(TABLE1[[#This Row],[Entry Price]]-TABLE1[[#This Row],[Lowest Price]])/(TABLE1[[#This Row],[SL Price]]-TABLE1[[#This Row],[Intended Entry]]),(TABLE1[[#This Row],[Entry Price]]-TABLE1[[#This Row],[Highest Price]])/(TABLE1[[#This Row],[SL Price]]-TABLE1[[#This Row],[Intended Entry]]))</f>
        <v>-1.0999999999999983</v>
      </c>
      <c r="AO55" s="9" t="str">
        <f>IF(TABLE1[[#This Row],[Gain/Loss]]&lt;0, "LOSER", "WINNER")</f>
        <v>WINNER</v>
      </c>
      <c r="AP55" s="5">
        <f>TABLE1[[#This Row],[Gain/Loss]]-TABLE1[[#This Row],[Comissions]]</f>
        <v>26.98</v>
      </c>
      <c r="AQ55" s="4">
        <f>TABLE1[[#This Row],[Exit Time]]-TABLE1[[#This Row],[Entry Time]]</f>
        <v>2.0833333333333814E-3</v>
      </c>
      <c r="AR55" s="21" t="str">
        <f>IF(TABLE1[[#This Row],[Retest Price]]&lt;&gt;FALSE,ROUND((TABLE1[[#This Row],[Retest Price]]-TABLE1[[#This Row],[Entry Price]])/(TABLE1[[#This Row],[Intended Entry]]-TABLE1[[#This Row],[SL Price]]),4), "FALSE")</f>
        <v>FALSE</v>
      </c>
      <c r="AS55" s="5">
        <f>TABLE1[[#This Row],[Net Gain/Loss]]+AS54</f>
        <v>-324.06400000000008</v>
      </c>
      <c r="AT55" s="5" t="str">
        <f>IF(TABLE1[[#This Row],[Potential Price Before BE]]=FALSE,"FALSE",( TABLE1[[#This Row],[Potential Price Before BE]]-TABLE1[[#This Row],[Intended Entry]])/(TABLE1[[#This Row],[Intended Entry]]-TABLE1[[#This Row],[SL Price]]))</f>
        <v>FALSE</v>
      </c>
      <c r="AU55" s="5">
        <f>(IF(TABLE1[[#This Row],[Buy/Sell]]="BUY",(TABLE1[[#This Row],[Entry Price]]-TABLE1[[#This Row],[SL Price]])/(TABLE1[[#This Row],[Intended Entry]]-TABLE1[[#This Row],[SL Price]]),(TABLE1[[#This Row],[SL Price]]-TABLE1[[#This Row],[Entry Price]])/(TABLE1[[#This Row],[SL Price]]-TABLE1[[#This Row],[Intended Entry]])))-1</f>
        <v>9.9999999999998312E-2</v>
      </c>
      <c r="AV55"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W55" s="21">
        <f>TABLE1[[#This Row],[Missed RRR on Entry]]+TABLE1[[#This Row],[Missed RRR on Exit]]</f>
        <v>9.9999999999998312E-2</v>
      </c>
      <c r="AX55" s="21">
        <f>ROUND((TABLE1[[#This Row],[Potential Price]]-TABLE1[[#This Row],[Entry Price]])/(TABLE1[[#This Row],[Intended Entry]]-TABLE1[[#This Row],[SL Price]]),4)</f>
        <v>9.5</v>
      </c>
      <c r="AY55" s="21">
        <f>ROUND((TABLE1[[#This Row],[Potential Price]]-TABLE1[[#This Row],[Intended Entry]])/(TABLE1[[#This Row],[Intended Entry]]-TABLE1[[#This Row],[SL Price]]),4)</f>
        <v>9.6</v>
      </c>
      <c r="AZ55" s="21">
        <f>TABLE1[[#This Row],[RRR Potential]]-TABLE1[[#This Row],[RRR Realized]]</f>
        <v>6.6</v>
      </c>
      <c r="BA55" s="29">
        <f>ROUND((TABLE1[[#This Row],[Exit Price]]-TABLE1[[#This Row],[Entry Price]])/(TABLE1[[#This Row],[Intended Entry]]-TABLE1[[#This Row],[SL Price]]),4)</f>
        <v>2.9</v>
      </c>
      <c r="BB55"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4.9000000000000021</v>
      </c>
      <c r="BC55"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4.9000000000000021</v>
      </c>
      <c r="BD55"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4.9000000000000021</v>
      </c>
      <c r="BE55"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4.9000000000000021</v>
      </c>
      <c r="BF55"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4.9000000000000021</v>
      </c>
      <c r="BG55"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4.9000000000000021</v>
      </c>
      <c r="BH55"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4.9000000000000021</v>
      </c>
      <c r="BI55"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4.9000000000000021</v>
      </c>
      <c r="BJ55"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4.9000000000000021</v>
      </c>
      <c r="BK55"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4.9000000000000021</v>
      </c>
      <c r="BL55"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4.9000000000000021</v>
      </c>
      <c r="BM55"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4.9000000000000021</v>
      </c>
      <c r="BN55"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4.9000000000000021</v>
      </c>
      <c r="BO55"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4.9000000000000021</v>
      </c>
      <c r="BP55"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4.9000000000000021</v>
      </c>
      <c r="BQ55"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4.9000000000000021</v>
      </c>
      <c r="BR55"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4.9000000000000021</v>
      </c>
      <c r="BS55"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4.9000000000000021</v>
      </c>
      <c r="BT55"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4.9000000000000021</v>
      </c>
      <c r="BU55"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4.9000000000000021</v>
      </c>
      <c r="BV55"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4.9000000000000021</v>
      </c>
      <c r="BW55"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5.5000000000000266</v>
      </c>
      <c r="BX55"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5.5000000000000266</v>
      </c>
      <c r="BY55"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5.5000000000000266</v>
      </c>
      <c r="BZ55" s="24">
        <f>IF( TABLE1[[#This Row],[Wick Exit]]&lt;&gt; FALSE,TABLE1[[#This Row],[RRR Wick Exit]],IF(TABLE1[[#This Row],[Volume Exit]]&lt;&gt; FALSE,TABLE1[[#This Row],[RRR Volume Exit]],TABLE1[[#This Row],[RRR Realized]]))</f>
        <v>5.5000000000000266</v>
      </c>
      <c r="CA55"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2.9</v>
      </c>
      <c r="CB55"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4.9000000000000021</v>
      </c>
      <c r="CC55"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4.9000000000000021</v>
      </c>
      <c r="CD55"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4.9000000000000021</v>
      </c>
    </row>
    <row r="56" spans="1:82" x14ac:dyDescent="0.25">
      <c r="A56" t="s">
        <v>318</v>
      </c>
      <c r="B56">
        <v>55</v>
      </c>
      <c r="C56" s="2">
        <v>43510</v>
      </c>
      <c r="D56" s="1">
        <v>0.4201388888888889</v>
      </c>
      <c r="E56" s="1">
        <v>0.4548611111111111</v>
      </c>
      <c r="F56" s="5">
        <v>2.04</v>
      </c>
      <c r="G56" s="5">
        <v>-23.07</v>
      </c>
      <c r="H56" s="17">
        <v>200</v>
      </c>
      <c r="I56" t="s">
        <v>19</v>
      </c>
      <c r="J56" t="s">
        <v>22</v>
      </c>
      <c r="K56">
        <v>6.47</v>
      </c>
      <c r="L56">
        <v>6.476</v>
      </c>
      <c r="M56">
        <v>6.42</v>
      </c>
      <c r="N56">
        <v>6.62</v>
      </c>
      <c r="O56">
        <v>6.3620000000000001</v>
      </c>
      <c r="P56">
        <v>6.59</v>
      </c>
      <c r="Q56">
        <v>6.3620000000000001</v>
      </c>
      <c r="R56">
        <v>6.55</v>
      </c>
      <c r="S56">
        <v>6.59</v>
      </c>
      <c r="T56" t="b">
        <v>0</v>
      </c>
      <c r="U56" t="b">
        <v>0</v>
      </c>
      <c r="V56" t="b">
        <v>0</v>
      </c>
      <c r="X56">
        <v>6.47</v>
      </c>
      <c r="Y56" t="b">
        <v>0</v>
      </c>
      <c r="Z56">
        <v>1.5</v>
      </c>
      <c r="AA56">
        <v>6.46</v>
      </c>
      <c r="AB56" t="b">
        <v>0</v>
      </c>
      <c r="AC56">
        <v>1.5</v>
      </c>
      <c r="AD56" t="b">
        <v>0</v>
      </c>
      <c r="AE56" t="s">
        <v>28</v>
      </c>
      <c r="AF56" t="s">
        <v>29</v>
      </c>
      <c r="AG56" t="s">
        <v>35</v>
      </c>
      <c r="AH56">
        <v>61</v>
      </c>
      <c r="AI56" t="s">
        <v>435</v>
      </c>
      <c r="AJ56" t="s">
        <v>163</v>
      </c>
      <c r="AK56" s="26" t="s">
        <v>319</v>
      </c>
      <c r="AL56" s="22">
        <f>(TABLE1[[#This Row],[TP Price]]-TABLE1[[#This Row],[Intended Entry]])/(TABLE1[[#This Row],[Intended Entry]]-TABLE1[[#This Row],[SL Price]])</f>
        <v>3.0000000000000178</v>
      </c>
      <c r="AM56" s="24">
        <f>IF(TABLE1[[#This Row],[Buy/Sell]]="BUY",(TABLE1[[#This Row],[Highest Price]]-TABLE1[[#This Row],[Entry Price]])/(TABLE1[[#This Row],[Intended Entry]]-TABLE1[[#This Row],[SL Price]]),(TABLE1[[#This Row],[Entry Price]]-TABLE1[[#This Row],[Lowest Price]])/(TABLE1[[#This Row],[SL Price]]-TABLE1[[#This Row],[Intended Entry]]))</f>
        <v>2.2800000000000056</v>
      </c>
      <c r="AN56" s="25">
        <f>IF(TABLE1[[#This Row],[Buy/Sell]]="BUY",(TABLE1[[#This Row],[Entry Price]]-TABLE1[[#This Row],[Lowest Price]])/(TABLE1[[#This Row],[SL Price]]-TABLE1[[#This Row],[Intended Entry]]),(TABLE1[[#This Row],[Entry Price]]-TABLE1[[#This Row],[Highest Price]])/(TABLE1[[#This Row],[SL Price]]-TABLE1[[#This Row],[Intended Entry]]))</f>
        <v>-2.2800000000000056</v>
      </c>
      <c r="AO56" s="9" t="str">
        <f>IF(TABLE1[[#This Row],[Gain/Loss]]&lt;0, "LOSER", "WINNER")</f>
        <v>LOSER</v>
      </c>
      <c r="AP56" s="5">
        <f>TABLE1[[#This Row],[Gain/Loss]]-TABLE1[[#This Row],[Comissions]]</f>
        <v>-25.11</v>
      </c>
      <c r="AQ56" s="4">
        <f>TABLE1[[#This Row],[Exit Time]]-TABLE1[[#This Row],[Entry Time]]</f>
        <v>3.472222222222221E-2</v>
      </c>
      <c r="AR56" s="21" t="str">
        <f>IF(TABLE1[[#This Row],[Retest Price]]&lt;&gt;FALSE,ROUND((TABLE1[[#This Row],[Retest Price]]-TABLE1[[#This Row],[Entry Price]])/(TABLE1[[#This Row],[Intended Entry]]-TABLE1[[#This Row],[SL Price]]),4), "FALSE")</f>
        <v>FALSE</v>
      </c>
      <c r="AS56" s="5">
        <f>TABLE1[[#This Row],[Net Gain/Loss]]+AS55</f>
        <v>-349.17400000000009</v>
      </c>
      <c r="AT56" s="5">
        <f>IF(TABLE1[[#This Row],[Potential Price Before BE]]=FALSE,"FALSE",( TABLE1[[#This Row],[Potential Price Before BE]]-TABLE1[[#This Row],[Intended Entry]])/(TABLE1[[#This Row],[Intended Entry]]-TABLE1[[#This Row],[SL Price]]))</f>
        <v>1.6000000000000072</v>
      </c>
      <c r="AU56" s="5">
        <f>(IF(TABLE1[[#This Row],[Buy/Sell]]="BUY",(TABLE1[[#This Row],[Entry Price]]-TABLE1[[#This Row],[SL Price]])/(TABLE1[[#This Row],[Intended Entry]]-TABLE1[[#This Row],[SL Price]]),(TABLE1[[#This Row],[SL Price]]-TABLE1[[#This Row],[Entry Price]])/(TABLE1[[#This Row],[SL Price]]-TABLE1[[#This Row],[Intended Entry]])))-1</f>
        <v>0.12000000000000499</v>
      </c>
      <c r="AV56"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1.1600000000000008</v>
      </c>
      <c r="AW56" s="21">
        <f>TABLE1[[#This Row],[Missed RRR on Entry]]+TABLE1[[#This Row],[Missed RRR on Exit]]</f>
        <v>1.2800000000000058</v>
      </c>
      <c r="AX56" s="21">
        <f>ROUND((TABLE1[[#This Row],[Potential Price]]-TABLE1[[#This Row],[Entry Price]])/(TABLE1[[#This Row],[Intended Entry]]-TABLE1[[#This Row],[SL Price]]),4)</f>
        <v>2.2799999999999998</v>
      </c>
      <c r="AY56" s="21">
        <f>ROUND((TABLE1[[#This Row],[Potential Price]]-TABLE1[[#This Row],[Intended Entry]])/(TABLE1[[#This Row],[Intended Entry]]-TABLE1[[#This Row],[SL Price]]),4)</f>
        <v>2.4</v>
      </c>
      <c r="AZ56" s="21">
        <f>TABLE1[[#This Row],[RRR Potential]]-TABLE1[[#This Row],[RRR Realized]]</f>
        <v>4.5599999999999996</v>
      </c>
      <c r="BA56" s="29">
        <f>ROUND((TABLE1[[#This Row],[Exit Price]]-TABLE1[[#This Row],[Entry Price]])/(TABLE1[[#This Row],[Intended Entry]]-TABLE1[[#This Row],[SL Price]]),4)</f>
        <v>-2.2799999999999998</v>
      </c>
      <c r="BB56"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-2.2799999999999998</v>
      </c>
      <c r="BC56"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-0.12000000000000499</v>
      </c>
      <c r="BD56"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-0.12000000000000499</v>
      </c>
      <c r="BE56"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-2.2799999999999998</v>
      </c>
      <c r="BF56"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-2.2799999999999998</v>
      </c>
      <c r="BG56"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-2.2799999999999998</v>
      </c>
      <c r="BH56"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-2.2799999999999998</v>
      </c>
      <c r="BI56"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-0.12000000000000499</v>
      </c>
      <c r="BJ56"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-0.12000000000000499</v>
      </c>
      <c r="BK56"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-0.12000000000000499</v>
      </c>
      <c r="BL56"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-0.12000000000000499</v>
      </c>
      <c r="BM56"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-0.12000000000000499</v>
      </c>
      <c r="BN56"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-0.12000000000000499</v>
      </c>
      <c r="BO56"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-0.12000000000000499</v>
      </c>
      <c r="BP56"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-0.12000000000000499</v>
      </c>
      <c r="BQ56"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-2.2799999999999998</v>
      </c>
      <c r="BR56"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-0.12000000000000499</v>
      </c>
      <c r="BS56"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-0.12000000000000499</v>
      </c>
      <c r="BT56"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-0.12000000000000498</v>
      </c>
      <c r="BU56"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-0.12000000000000499</v>
      </c>
      <c r="BV56"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-0.12000000000000499</v>
      </c>
      <c r="BW56"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-0.12000000000000498</v>
      </c>
      <c r="BX56"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-0.12000000000000499</v>
      </c>
      <c r="BY56"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-0.12000000000000499</v>
      </c>
      <c r="BZ56" s="24">
        <f>IF( TABLE1[[#This Row],[Wick Exit]]&lt;&gt; FALSE,TABLE1[[#This Row],[RRR Wick Exit]],IF(TABLE1[[#This Row],[Volume Exit]]&lt;&gt; FALSE,TABLE1[[#This Row],[RRR Volume Exit]],TABLE1[[#This Row],[RRR Realized]]))</f>
        <v>-0.12000000000000498</v>
      </c>
      <c r="CA56"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-2.2799999999999998</v>
      </c>
      <c r="CB56"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-2.2799999999999998</v>
      </c>
      <c r="CC56"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-0.12000000000000499</v>
      </c>
      <c r="CD56"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-0.12000000000000499</v>
      </c>
    </row>
    <row r="57" spans="1:82" x14ac:dyDescent="0.25">
      <c r="A57" t="s">
        <v>320</v>
      </c>
      <c r="B57">
        <v>56</v>
      </c>
      <c r="C57" s="2">
        <v>43511</v>
      </c>
      <c r="D57" s="1">
        <v>0.42777777777777781</v>
      </c>
      <c r="E57" s="1">
        <v>0.43263888888888885</v>
      </c>
      <c r="F57" s="5">
        <v>2.0299999999999998</v>
      </c>
      <c r="G57" s="5">
        <v>30</v>
      </c>
      <c r="H57" s="17">
        <v>200</v>
      </c>
      <c r="I57" t="s">
        <v>19</v>
      </c>
      <c r="J57" t="s">
        <v>22</v>
      </c>
      <c r="K57">
        <v>1.17</v>
      </c>
      <c r="L57" s="5">
        <v>1.17</v>
      </c>
      <c r="M57">
        <v>1.1200000000000001</v>
      </c>
      <c r="N57">
        <v>1.32</v>
      </c>
      <c r="O57">
        <v>1.32</v>
      </c>
      <c r="P57">
        <v>1.32</v>
      </c>
      <c r="Q57">
        <v>1.0900000000000001</v>
      </c>
      <c r="R57">
        <v>1.47</v>
      </c>
      <c r="S57">
        <v>1.58</v>
      </c>
      <c r="T57" t="b">
        <v>0</v>
      </c>
      <c r="U57">
        <v>1.08</v>
      </c>
      <c r="V57" t="b">
        <v>1</v>
      </c>
      <c r="X57">
        <v>1.24</v>
      </c>
      <c r="Y57">
        <v>5</v>
      </c>
      <c r="Z57" t="b">
        <v>0</v>
      </c>
      <c r="AA57">
        <v>1.39</v>
      </c>
      <c r="AB57">
        <v>5</v>
      </c>
      <c r="AC57" t="b">
        <v>0</v>
      </c>
      <c r="AD57" t="b">
        <v>0</v>
      </c>
      <c r="AE57" t="s">
        <v>26</v>
      </c>
      <c r="AF57" t="s">
        <v>29</v>
      </c>
      <c r="AG57" t="s">
        <v>321</v>
      </c>
      <c r="AH57">
        <v>6.03</v>
      </c>
      <c r="AI57" t="s">
        <v>434</v>
      </c>
      <c r="AJ57" t="s">
        <v>163</v>
      </c>
      <c r="AK57" s="26" t="s">
        <v>322</v>
      </c>
      <c r="AL57" s="22">
        <f>(TABLE1[[#This Row],[TP Price]]-TABLE1[[#This Row],[Intended Entry]])/(TABLE1[[#This Row],[Intended Entry]]-TABLE1[[#This Row],[SL Price]])</f>
        <v>3.0000000000000133</v>
      </c>
      <c r="AM57" s="24">
        <f>IF(TABLE1[[#This Row],[Buy/Sell]]="BUY",(TABLE1[[#This Row],[Highest Price]]-TABLE1[[#This Row],[Entry Price]])/(TABLE1[[#This Row],[Intended Entry]]-TABLE1[[#This Row],[SL Price]]),(TABLE1[[#This Row],[Entry Price]]-TABLE1[[#This Row],[Lowest Price]])/(TABLE1[[#This Row],[SL Price]]-TABLE1[[#This Row],[Intended Entry]]))</f>
        <v>3.0000000000000133</v>
      </c>
      <c r="AN57" s="25">
        <f>IF(TABLE1[[#This Row],[Buy/Sell]]="BUY",(TABLE1[[#This Row],[Entry Price]]-TABLE1[[#This Row],[Lowest Price]])/(TABLE1[[#This Row],[SL Price]]-TABLE1[[#This Row],[Intended Entry]]),(TABLE1[[#This Row],[Entry Price]]-TABLE1[[#This Row],[Highest Price]])/(TABLE1[[#This Row],[SL Price]]-TABLE1[[#This Row],[Intended Entry]]))</f>
        <v>-1.6000000000000028</v>
      </c>
      <c r="AO57" s="9" t="str">
        <f>IF(TABLE1[[#This Row],[Gain/Loss]]&lt;0, "LOSER", "WINNER")</f>
        <v>WINNER</v>
      </c>
      <c r="AP57" s="5">
        <f>TABLE1[[#This Row],[Gain/Loss]]-TABLE1[[#This Row],[Comissions]]</f>
        <v>27.97</v>
      </c>
      <c r="AQ57" s="4">
        <f>TABLE1[[#This Row],[Exit Time]]-TABLE1[[#This Row],[Entry Time]]</f>
        <v>4.8611111111110383E-3</v>
      </c>
      <c r="AR57" s="21">
        <f>IF(TABLE1[[#This Row],[Retest Price]]&lt;&gt;FALSE,ROUND((TABLE1[[#This Row],[Retest Price]]-TABLE1[[#This Row],[Entry Price]])/(TABLE1[[#This Row],[Intended Entry]]-TABLE1[[#This Row],[SL Price]]),4), "FALSE")</f>
        <v>-1.8</v>
      </c>
      <c r="AS57" s="5">
        <f>TABLE1[[#This Row],[Net Gain/Loss]]+AS56</f>
        <v>-321.20400000000006</v>
      </c>
      <c r="AT57" s="5">
        <f>IF(TABLE1[[#This Row],[Potential Price Before BE]]=FALSE,"FALSE",( TABLE1[[#This Row],[Potential Price Before BE]]-TABLE1[[#This Row],[Intended Entry]])/(TABLE1[[#This Row],[Intended Entry]]-TABLE1[[#This Row],[SL Price]]))</f>
        <v>6.0000000000000222</v>
      </c>
      <c r="AU57" s="5">
        <f>(IF(TABLE1[[#This Row],[Buy/Sell]]="BUY",(TABLE1[[#This Row],[Entry Price]]-TABLE1[[#This Row],[SL Price]])/(TABLE1[[#This Row],[Intended Entry]]-TABLE1[[#This Row],[SL Price]]),(TABLE1[[#This Row],[SL Price]]-TABLE1[[#This Row],[Entry Price]])/(TABLE1[[#This Row],[SL Price]]-TABLE1[[#This Row],[Intended Entry]])))-1</f>
        <v>0</v>
      </c>
      <c r="AV57"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W57" s="21">
        <f>TABLE1[[#This Row],[Missed RRR on Entry]]+TABLE1[[#This Row],[Missed RRR on Exit]]</f>
        <v>0</v>
      </c>
      <c r="AX57" s="21">
        <f>ROUND((TABLE1[[#This Row],[Potential Price]]-TABLE1[[#This Row],[Entry Price]])/(TABLE1[[#This Row],[Intended Entry]]-TABLE1[[#This Row],[SL Price]]),4)</f>
        <v>8.1999999999999993</v>
      </c>
      <c r="AY57" s="21">
        <f>ROUND((TABLE1[[#This Row],[Potential Price]]-TABLE1[[#This Row],[Intended Entry]])/(TABLE1[[#This Row],[Intended Entry]]-TABLE1[[#This Row],[SL Price]]),4)</f>
        <v>8.1999999999999993</v>
      </c>
      <c r="AZ57" s="21">
        <f>TABLE1[[#This Row],[RRR Potential]]-TABLE1[[#This Row],[RRR Realized]]</f>
        <v>5.1999999999999993</v>
      </c>
      <c r="BA57" s="29">
        <f>ROUND((TABLE1[[#This Row],[Exit Price]]-TABLE1[[#This Row],[Entry Price]])/(TABLE1[[#This Row],[Intended Entry]]-TABLE1[[#This Row],[SL Price]]),4)</f>
        <v>3</v>
      </c>
      <c r="BB57"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C57"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D57"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E57"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F57"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G57"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H57"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I57"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J57"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K57"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L57"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M57"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N57"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O57"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P57"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Q57"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R57"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S57"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T57"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U57"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V57"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W57"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1.4000000000000061</v>
      </c>
      <c r="BX57"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1.4000000000000061</v>
      </c>
      <c r="BY57"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1.4000000000000061</v>
      </c>
      <c r="BZ57" s="24">
        <f>IF( TABLE1[[#This Row],[Wick Exit]]&lt;&gt; FALSE,TABLE1[[#This Row],[RRR Wick Exit]],IF(TABLE1[[#This Row],[Volume Exit]]&lt;&gt; FALSE,TABLE1[[#This Row],[RRR Volume Exit]],TABLE1[[#This Row],[RRR Realized]]))</f>
        <v>1.4000000000000061</v>
      </c>
      <c r="CA57"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v>
      </c>
      <c r="CB57"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CC57"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CD57"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row>
    <row r="58" spans="1:82" x14ac:dyDescent="0.25">
      <c r="A58" t="s">
        <v>323</v>
      </c>
      <c r="B58">
        <v>57</v>
      </c>
      <c r="C58" s="2">
        <v>43511</v>
      </c>
      <c r="D58" s="1">
        <v>0.42430555555555555</v>
      </c>
      <c r="E58" s="1">
        <v>0.60625000000000007</v>
      </c>
      <c r="F58" s="5">
        <v>3.06</v>
      </c>
      <c r="G58" s="5">
        <v>27.48</v>
      </c>
      <c r="H58" s="17">
        <v>300</v>
      </c>
      <c r="I58" t="s">
        <v>19</v>
      </c>
      <c r="J58" t="s">
        <v>22</v>
      </c>
      <c r="K58">
        <v>6.77</v>
      </c>
      <c r="L58">
        <v>6.7679999999999998</v>
      </c>
      <c r="M58">
        <v>6.74</v>
      </c>
      <c r="N58">
        <v>6.86</v>
      </c>
      <c r="O58">
        <v>6.86</v>
      </c>
      <c r="P58">
        <v>6.86</v>
      </c>
      <c r="Q58">
        <v>6.74</v>
      </c>
      <c r="R58">
        <v>6.79</v>
      </c>
      <c r="S58">
        <v>6.92</v>
      </c>
      <c r="T58" t="b">
        <v>0</v>
      </c>
      <c r="U58">
        <v>6.75</v>
      </c>
      <c r="V58" t="b">
        <v>1</v>
      </c>
      <c r="X58">
        <v>6.77</v>
      </c>
      <c r="Y58" t="b">
        <v>0</v>
      </c>
      <c r="Z58" t="b">
        <v>0</v>
      </c>
      <c r="AA58">
        <v>6.79</v>
      </c>
      <c r="AB58" t="b">
        <v>0</v>
      </c>
      <c r="AC58" t="b">
        <v>0</v>
      </c>
      <c r="AD58" t="b">
        <v>0</v>
      </c>
      <c r="AE58" t="s">
        <v>28</v>
      </c>
      <c r="AF58" t="s">
        <v>30</v>
      </c>
      <c r="AG58" t="s">
        <v>36</v>
      </c>
      <c r="AH58">
        <v>1490</v>
      </c>
      <c r="AI58" t="s">
        <v>434</v>
      </c>
      <c r="AJ58" t="s">
        <v>169</v>
      </c>
      <c r="AK58" s="26" t="s">
        <v>324</v>
      </c>
      <c r="AL58" s="22">
        <f>(TABLE1[[#This Row],[TP Price]]-TABLE1[[#This Row],[Intended Entry]])/(TABLE1[[#This Row],[Intended Entry]]-TABLE1[[#This Row],[SL Price]])</f>
        <v>3.0000000000000888</v>
      </c>
      <c r="AM58" s="24">
        <f>IF(TABLE1[[#This Row],[Buy/Sell]]="BUY",(TABLE1[[#This Row],[Highest Price]]-TABLE1[[#This Row],[Entry Price]])/(TABLE1[[#This Row],[Intended Entry]]-TABLE1[[#This Row],[SL Price]]),(TABLE1[[#This Row],[Entry Price]]-TABLE1[[#This Row],[Lowest Price]])/(TABLE1[[#This Row],[SL Price]]-TABLE1[[#This Row],[Intended Entry]]))</f>
        <v>3.0666666666667495</v>
      </c>
      <c r="AN58" s="25">
        <f>IF(TABLE1[[#This Row],[Buy/Sell]]="BUY",(TABLE1[[#This Row],[Entry Price]]-TABLE1[[#This Row],[Lowest Price]])/(TABLE1[[#This Row],[SL Price]]-TABLE1[[#This Row],[Intended Entry]]),(TABLE1[[#This Row],[Entry Price]]-TABLE1[[#This Row],[Highest Price]])/(TABLE1[[#This Row],[SL Price]]-TABLE1[[#This Row],[Intended Entry]]))</f>
        <v>-0.93333333333333923</v>
      </c>
      <c r="AO58" s="9" t="str">
        <f>IF(TABLE1[[#This Row],[Gain/Loss]]&lt;0, "LOSER", "WINNER")</f>
        <v>WINNER</v>
      </c>
      <c r="AP58" s="5">
        <f>TABLE1[[#This Row],[Gain/Loss]]-TABLE1[[#This Row],[Comissions]]</f>
        <v>24.42</v>
      </c>
      <c r="AQ58" s="4">
        <f>TABLE1[[#This Row],[Exit Time]]-TABLE1[[#This Row],[Entry Time]]</f>
        <v>0.18194444444444452</v>
      </c>
      <c r="AR58" s="21">
        <f>IF(TABLE1[[#This Row],[Retest Price]]&lt;&gt;FALSE,ROUND((TABLE1[[#This Row],[Retest Price]]-TABLE1[[#This Row],[Entry Price]])/(TABLE1[[#This Row],[Intended Entry]]-TABLE1[[#This Row],[SL Price]]),4), "FALSE")</f>
        <v>-0.6</v>
      </c>
      <c r="AS58" s="5">
        <f>TABLE1[[#This Row],[Net Gain/Loss]]+AS57</f>
        <v>-296.78400000000005</v>
      </c>
      <c r="AT58" s="5">
        <f>IF(TABLE1[[#This Row],[Potential Price Before BE]]=FALSE,"FALSE",( TABLE1[[#This Row],[Potential Price Before BE]]-TABLE1[[#This Row],[Intended Entry]])/(TABLE1[[#This Row],[Intended Entry]]-TABLE1[[#This Row],[SL Price]]))</f>
        <v>0.66666666666669627</v>
      </c>
      <c r="AU58" s="5">
        <f>(IF(TABLE1[[#This Row],[Buy/Sell]]="BUY",(TABLE1[[#This Row],[Entry Price]]-TABLE1[[#This Row],[SL Price]])/(TABLE1[[#This Row],[Intended Entry]]-TABLE1[[#This Row],[SL Price]]),(TABLE1[[#This Row],[SL Price]]-TABLE1[[#This Row],[Entry Price]])/(TABLE1[[#This Row],[SL Price]]-TABLE1[[#This Row],[Intended Entry]])))-1</f>
        <v>-6.6666666666660768E-2</v>
      </c>
      <c r="AV58"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W58" s="21">
        <f>TABLE1[[#This Row],[Missed RRR on Entry]]+TABLE1[[#This Row],[Missed RRR on Exit]]</f>
        <v>-6.6666666666660768E-2</v>
      </c>
      <c r="AX58" s="21">
        <f>ROUND((TABLE1[[#This Row],[Potential Price]]-TABLE1[[#This Row],[Entry Price]])/(TABLE1[[#This Row],[Intended Entry]]-TABLE1[[#This Row],[SL Price]]),4)</f>
        <v>5.0667</v>
      </c>
      <c r="AY58" s="21">
        <f>ROUND((TABLE1[[#This Row],[Potential Price]]-TABLE1[[#This Row],[Intended Entry]])/(TABLE1[[#This Row],[Intended Entry]]-TABLE1[[#This Row],[SL Price]]),4)</f>
        <v>5</v>
      </c>
      <c r="AZ58" s="21">
        <f>TABLE1[[#This Row],[RRR Potential]]-TABLE1[[#This Row],[RRR Realized]]</f>
        <v>2</v>
      </c>
      <c r="BA58" s="29">
        <f>ROUND((TABLE1[[#This Row],[Exit Price]]-TABLE1[[#This Row],[Entry Price]])/(TABLE1[[#This Row],[Intended Entry]]-TABLE1[[#This Row],[SL Price]]),4)</f>
        <v>3.0667</v>
      </c>
      <c r="BB58"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5.0666666666666611</v>
      </c>
      <c r="BC58"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5.0666666666666611</v>
      </c>
      <c r="BD58"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5.0666666666666611</v>
      </c>
      <c r="BE58"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5.0666666666666611</v>
      </c>
      <c r="BF58"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5.0666666666666611</v>
      </c>
      <c r="BG58"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5.0666666666666611</v>
      </c>
      <c r="BH58"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5.0666666666666611</v>
      </c>
      <c r="BI58"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5.0666666666666611</v>
      </c>
      <c r="BJ58"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5.0666666666666611</v>
      </c>
      <c r="BK58"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5.0666666666666611</v>
      </c>
      <c r="BL58"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5.0666666666666611</v>
      </c>
      <c r="BM58"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5.0666666666666611</v>
      </c>
      <c r="BN58"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5.0666666666666611</v>
      </c>
      <c r="BO58"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5.0666666666666611</v>
      </c>
      <c r="BP58"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5.0666666666666611</v>
      </c>
      <c r="BQ58"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5.0666666666666611</v>
      </c>
      <c r="BR58"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5.0666666666666611</v>
      </c>
      <c r="BS58"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5.0666666666666611</v>
      </c>
      <c r="BT58"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6.666666666666074E-2</v>
      </c>
      <c r="BU58"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6.666666666666074E-2</v>
      </c>
      <c r="BV58"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6.666666666666074E-2</v>
      </c>
      <c r="BW58"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6.666666666666074E-2</v>
      </c>
      <c r="BX58"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6.666666666666074E-2</v>
      </c>
      <c r="BY58"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6.666666666666074E-2</v>
      </c>
      <c r="BZ58" s="24">
        <f>IF( TABLE1[[#This Row],[Wick Exit]]&lt;&gt; FALSE,TABLE1[[#This Row],[RRR Wick Exit]],IF(TABLE1[[#This Row],[Volume Exit]]&lt;&gt; FALSE,TABLE1[[#This Row],[RRR Volume Exit]],TABLE1[[#This Row],[RRR Realized]]))</f>
        <v>6.666666666666074E-2</v>
      </c>
      <c r="CA58"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3.0667</v>
      </c>
      <c r="CB58"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5.0666666666666611</v>
      </c>
      <c r="CC58"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5.0666666666666611</v>
      </c>
      <c r="CD58"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5.0666666666666611</v>
      </c>
    </row>
    <row r="59" spans="1:82" x14ac:dyDescent="0.25">
      <c r="A59" t="s">
        <v>280</v>
      </c>
      <c r="B59">
        <v>58</v>
      </c>
      <c r="C59" s="2">
        <v>43515</v>
      </c>
      <c r="D59" s="1">
        <v>0.4145833333333333</v>
      </c>
      <c r="E59" s="1">
        <v>0.4152777777777778</v>
      </c>
      <c r="F59" s="5">
        <v>1</v>
      </c>
      <c r="G59" s="5">
        <f>-22</f>
        <v>-22</v>
      </c>
      <c r="H59" s="17">
        <v>300</v>
      </c>
      <c r="I59" t="s">
        <v>19</v>
      </c>
      <c r="J59" t="s">
        <v>22</v>
      </c>
      <c r="K59">
        <v>5.35</v>
      </c>
      <c r="L59">
        <v>5.34</v>
      </c>
      <c r="M59">
        <v>5.32</v>
      </c>
      <c r="N59">
        <v>5.44</v>
      </c>
      <c r="O59">
        <v>5.27</v>
      </c>
      <c r="P59">
        <v>5.34</v>
      </c>
      <c r="Q59">
        <v>5.27</v>
      </c>
      <c r="R59">
        <v>5.34</v>
      </c>
      <c r="S59">
        <v>5.34</v>
      </c>
      <c r="T59" t="b">
        <v>0</v>
      </c>
      <c r="U59" t="b">
        <v>0</v>
      </c>
      <c r="V59" t="b">
        <v>0</v>
      </c>
      <c r="W59" t="b">
        <v>0</v>
      </c>
      <c r="X59" t="b">
        <v>0</v>
      </c>
      <c r="AA59" t="b">
        <v>0</v>
      </c>
      <c r="AD59" t="b">
        <v>0</v>
      </c>
      <c r="AE59" t="s">
        <v>25</v>
      </c>
      <c r="AF59" t="s">
        <v>32</v>
      </c>
      <c r="AG59" t="s">
        <v>34</v>
      </c>
      <c r="AH59">
        <v>27</v>
      </c>
      <c r="AI59" t="s">
        <v>431</v>
      </c>
      <c r="AJ59" t="s">
        <v>163</v>
      </c>
      <c r="AK59" s="26" t="s">
        <v>325</v>
      </c>
      <c r="AL59" s="22">
        <f>(TABLE1[[#This Row],[TP Price]]-TABLE1[[#This Row],[Intended Entry]])/(TABLE1[[#This Row],[Intended Entry]]-TABLE1[[#This Row],[SL Price]])</f>
        <v>3.0000000000000888</v>
      </c>
      <c r="AM59" s="24">
        <f>IF(TABLE1[[#This Row],[Buy/Sell]]="BUY",(TABLE1[[#This Row],[Highest Price]]-TABLE1[[#This Row],[Entry Price]])/(TABLE1[[#This Row],[Intended Entry]]-TABLE1[[#This Row],[SL Price]]),(TABLE1[[#This Row],[Entry Price]]-TABLE1[[#This Row],[Lowest Price]])/(TABLE1[[#This Row],[SL Price]]-TABLE1[[#This Row],[Intended Entry]]))</f>
        <v>0</v>
      </c>
      <c r="AN59" s="25">
        <f>IF(TABLE1[[#This Row],[Buy/Sell]]="BUY",(TABLE1[[#This Row],[Entry Price]]-TABLE1[[#This Row],[Lowest Price]])/(TABLE1[[#This Row],[SL Price]]-TABLE1[[#This Row],[Intended Entry]]),(TABLE1[[#This Row],[Entry Price]]-TABLE1[[#This Row],[Highest Price]])/(TABLE1[[#This Row],[SL Price]]-TABLE1[[#This Row],[Intended Entry]]))</f>
        <v>-2.3333333333333925</v>
      </c>
      <c r="AO59" s="9" t="str">
        <f>IF(TABLE1[[#This Row],[Gain/Loss]]&lt;0, "LOSER", "WINNER")</f>
        <v>LOSER</v>
      </c>
      <c r="AP59" s="5">
        <f>TABLE1[[#This Row],[Gain/Loss]]-TABLE1[[#This Row],[Comissions]]</f>
        <v>-23</v>
      </c>
      <c r="AQ59" s="4">
        <f>TABLE1[[#This Row],[Exit Time]]-TABLE1[[#This Row],[Entry Time]]</f>
        <v>6.9444444444449749E-4</v>
      </c>
      <c r="AR59" s="21" t="str">
        <f>IF(TABLE1[[#This Row],[Retest Price]]&lt;&gt;FALSE,ROUND((TABLE1[[#This Row],[Retest Price]]-TABLE1[[#This Row],[Entry Price]])/(TABLE1[[#This Row],[Intended Entry]]-TABLE1[[#This Row],[SL Price]]),4), "FALSE")</f>
        <v>FALSE</v>
      </c>
      <c r="AS59" s="5">
        <f>TABLE1[[#This Row],[Net Gain/Loss]]+AS58</f>
        <v>-319.78400000000005</v>
      </c>
      <c r="AT59" s="5">
        <f>IF(TABLE1[[#This Row],[Potential Price Before BE]]=FALSE,"FALSE",( TABLE1[[#This Row],[Potential Price Before BE]]-TABLE1[[#This Row],[Intended Entry]])/(TABLE1[[#This Row],[Intended Entry]]-TABLE1[[#This Row],[SL Price]]))</f>
        <v>-0.33333333333333331</v>
      </c>
      <c r="AU59" s="5">
        <f>(IF(TABLE1[[#This Row],[Buy/Sell]]="BUY",(TABLE1[[#This Row],[Entry Price]]-TABLE1[[#This Row],[SL Price]])/(TABLE1[[#This Row],[Intended Entry]]-TABLE1[[#This Row],[SL Price]]),(TABLE1[[#This Row],[SL Price]]-TABLE1[[#This Row],[Entry Price]])/(TABLE1[[#This Row],[SL Price]]-TABLE1[[#This Row],[Intended Entry]])))-1</f>
        <v>-0.33333333333333337</v>
      </c>
      <c r="AV59"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1.6666666666667258</v>
      </c>
      <c r="AW59" s="21">
        <f>TABLE1[[#This Row],[Missed RRR on Entry]]+TABLE1[[#This Row],[Missed RRR on Exit]]</f>
        <v>1.3333333333333925</v>
      </c>
      <c r="AX59" s="21">
        <f>ROUND((TABLE1[[#This Row],[Potential Price]]-TABLE1[[#This Row],[Entry Price]])/(TABLE1[[#This Row],[Intended Entry]]-TABLE1[[#This Row],[SL Price]]),4)</f>
        <v>0</v>
      </c>
      <c r="AY59" s="21">
        <f>ROUND((TABLE1[[#This Row],[Potential Price]]-TABLE1[[#This Row],[Intended Entry]])/(TABLE1[[#This Row],[Intended Entry]]-TABLE1[[#This Row],[SL Price]]),4)</f>
        <v>-0.33329999999999999</v>
      </c>
      <c r="AZ59" s="21">
        <f>TABLE1[[#This Row],[RRR Potential]]-TABLE1[[#This Row],[RRR Realized]]</f>
        <v>2.3332999999999999</v>
      </c>
      <c r="BA59" s="29">
        <f>ROUND((TABLE1[[#This Row],[Exit Price]]-TABLE1[[#This Row],[Entry Price]])/(TABLE1[[#This Row],[Intended Entry]]-TABLE1[[#This Row],[SL Price]]),4)</f>
        <v>-2.3332999999999999</v>
      </c>
      <c r="BB59"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-2.3332999999999999</v>
      </c>
      <c r="BC59"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-2.3332999999999999</v>
      </c>
      <c r="BD59"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-2.3332999999999999</v>
      </c>
      <c r="BE59"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-2.3332999999999999</v>
      </c>
      <c r="BF59"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-2.3332999999999999</v>
      </c>
      <c r="BG59"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-2.3332999999999999</v>
      </c>
      <c r="BH59"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-2.3332999999999999</v>
      </c>
      <c r="BI59"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-2.3332999999999999</v>
      </c>
      <c r="BJ59"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-2.3332999999999999</v>
      </c>
      <c r="BK59"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-2.3332999999999999</v>
      </c>
      <c r="BL59"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-2.3332999999999999</v>
      </c>
      <c r="BM59"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-2.3332999999999999</v>
      </c>
      <c r="BN59"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-2.3332999999999999</v>
      </c>
      <c r="BO59"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-2.3332999999999999</v>
      </c>
      <c r="BP59"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-2.3332999999999999</v>
      </c>
      <c r="BQ59"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-2.3332999999999999</v>
      </c>
      <c r="BR59"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-2.3332999999999999</v>
      </c>
      <c r="BS59"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-2.3332999999999999</v>
      </c>
      <c r="BT59"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-2.3332999999999999</v>
      </c>
      <c r="BU59"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-2.3332999999999999</v>
      </c>
      <c r="BV59"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-2.3332999999999999</v>
      </c>
      <c r="BW59"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-2.3332999999999999</v>
      </c>
      <c r="BX59"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-2.3332999999999999</v>
      </c>
      <c r="BY59"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-2.3332999999999999</v>
      </c>
      <c r="BZ59" s="24">
        <f>IF( TABLE1[[#This Row],[Wick Exit]]&lt;&gt; FALSE,TABLE1[[#This Row],[RRR Wick Exit]],IF(TABLE1[[#This Row],[Volume Exit]]&lt;&gt; FALSE,TABLE1[[#This Row],[RRR Volume Exit]],TABLE1[[#This Row],[RRR Realized]]))</f>
        <v>-2.3332999999999999</v>
      </c>
      <c r="CA59"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-2.3332999999999999</v>
      </c>
      <c r="CB59"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-2.3332999999999999</v>
      </c>
      <c r="CC59"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-2.3332999999999999</v>
      </c>
      <c r="CD59"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-2.3332999999999999</v>
      </c>
    </row>
    <row r="60" spans="1:82" x14ac:dyDescent="0.25">
      <c r="A60" t="s">
        <v>280</v>
      </c>
      <c r="B60">
        <v>59</v>
      </c>
      <c r="C60" s="2">
        <v>43515</v>
      </c>
      <c r="D60" s="1">
        <v>0.41666666666666669</v>
      </c>
      <c r="E60" s="1">
        <v>0.42152777777777778</v>
      </c>
      <c r="F60" s="5">
        <v>1</v>
      </c>
      <c r="G60" s="5">
        <f>-23</f>
        <v>-23</v>
      </c>
      <c r="H60" s="17">
        <v>250</v>
      </c>
      <c r="I60" t="s">
        <v>19</v>
      </c>
      <c r="J60" t="s">
        <v>22</v>
      </c>
      <c r="K60">
        <v>5.38</v>
      </c>
      <c r="L60">
        <v>5.38</v>
      </c>
      <c r="M60">
        <v>5.335</v>
      </c>
      <c r="N60">
        <v>5.5</v>
      </c>
      <c r="O60">
        <v>5.2839999999999998</v>
      </c>
      <c r="P60">
        <v>5.43</v>
      </c>
      <c r="Q60">
        <v>5.2839999999999998</v>
      </c>
      <c r="R60">
        <v>5.43</v>
      </c>
      <c r="S60">
        <v>5.43</v>
      </c>
      <c r="T60" t="b">
        <v>0</v>
      </c>
      <c r="U60" t="b">
        <v>0</v>
      </c>
      <c r="V60" t="b">
        <v>0</v>
      </c>
      <c r="W60" t="b">
        <v>0</v>
      </c>
      <c r="X60" t="b">
        <v>0</v>
      </c>
      <c r="AA60" t="b">
        <v>0</v>
      </c>
      <c r="AD60" t="b">
        <v>0</v>
      </c>
      <c r="AE60" t="s">
        <v>25</v>
      </c>
      <c r="AF60" t="s">
        <v>32</v>
      </c>
      <c r="AG60" t="s">
        <v>34</v>
      </c>
      <c r="AH60">
        <v>27</v>
      </c>
      <c r="AI60" t="s">
        <v>435</v>
      </c>
      <c r="AJ60" t="s">
        <v>163</v>
      </c>
      <c r="AK60" s="26" t="s">
        <v>325</v>
      </c>
      <c r="AL60" s="22">
        <f>(TABLE1[[#This Row],[TP Price]]-TABLE1[[#This Row],[Intended Entry]])/(TABLE1[[#This Row],[Intended Entry]]-TABLE1[[#This Row],[SL Price]])</f>
        <v>2.6666666666666732</v>
      </c>
      <c r="AM60" s="24">
        <f>IF(TABLE1[[#This Row],[Buy/Sell]]="BUY",(TABLE1[[#This Row],[Highest Price]]-TABLE1[[#This Row],[Entry Price]])/(TABLE1[[#This Row],[Intended Entry]]-TABLE1[[#This Row],[SL Price]]),(TABLE1[[#This Row],[Entry Price]]-TABLE1[[#This Row],[Lowest Price]])/(TABLE1[[#This Row],[SL Price]]-TABLE1[[#This Row],[Intended Entry]]))</f>
        <v>1.1111111111111089</v>
      </c>
      <c r="AN60" s="25">
        <f>IF(TABLE1[[#This Row],[Buy/Sell]]="BUY",(TABLE1[[#This Row],[Entry Price]]-TABLE1[[#This Row],[Lowest Price]])/(TABLE1[[#This Row],[SL Price]]-TABLE1[[#This Row],[Intended Entry]]),(TABLE1[[#This Row],[Entry Price]]-TABLE1[[#This Row],[Highest Price]])/(TABLE1[[#This Row],[SL Price]]-TABLE1[[#This Row],[Intended Entry]]))</f>
        <v>-2.1333333333333386</v>
      </c>
      <c r="AO60" s="9" t="str">
        <f>IF(TABLE1[[#This Row],[Gain/Loss]]&lt;0, "LOSER", "WINNER")</f>
        <v>LOSER</v>
      </c>
      <c r="AP60" s="5">
        <f>TABLE1[[#This Row],[Gain/Loss]]-TABLE1[[#This Row],[Comissions]]</f>
        <v>-24</v>
      </c>
      <c r="AQ60" s="4">
        <f>TABLE1[[#This Row],[Exit Time]]-TABLE1[[#This Row],[Entry Time]]</f>
        <v>4.8611111111110938E-3</v>
      </c>
      <c r="AR60" s="21" t="str">
        <f>IF(TABLE1[[#This Row],[Retest Price]]&lt;&gt;FALSE,ROUND((TABLE1[[#This Row],[Retest Price]]-TABLE1[[#This Row],[Entry Price]])/(TABLE1[[#This Row],[Intended Entry]]-TABLE1[[#This Row],[SL Price]]),4), "FALSE")</f>
        <v>FALSE</v>
      </c>
      <c r="AS60" s="5">
        <f>TABLE1[[#This Row],[Net Gain/Loss]]+AS59</f>
        <v>-343.78400000000005</v>
      </c>
      <c r="AT60" s="5">
        <f>IF(TABLE1[[#This Row],[Potential Price Before BE]]=FALSE,"FALSE",( TABLE1[[#This Row],[Potential Price Before BE]]-TABLE1[[#This Row],[Intended Entry]])/(TABLE1[[#This Row],[Intended Entry]]-TABLE1[[#This Row],[SL Price]]))</f>
        <v>1.1111111111111089</v>
      </c>
      <c r="AU60" s="5">
        <f>(IF(TABLE1[[#This Row],[Buy/Sell]]="BUY",(TABLE1[[#This Row],[Entry Price]]-TABLE1[[#This Row],[SL Price]])/(TABLE1[[#This Row],[Intended Entry]]-TABLE1[[#This Row],[SL Price]]),(TABLE1[[#This Row],[SL Price]]-TABLE1[[#This Row],[Entry Price]])/(TABLE1[[#This Row],[SL Price]]-TABLE1[[#This Row],[Intended Entry]])))-1</f>
        <v>0</v>
      </c>
      <c r="AV60"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1.1333333333333386</v>
      </c>
      <c r="AW60" s="21">
        <f>TABLE1[[#This Row],[Missed RRR on Entry]]+TABLE1[[#This Row],[Missed RRR on Exit]]</f>
        <v>1.1333333333333386</v>
      </c>
      <c r="AX60" s="21">
        <f>ROUND((TABLE1[[#This Row],[Potential Price]]-TABLE1[[#This Row],[Entry Price]])/(TABLE1[[#This Row],[Intended Entry]]-TABLE1[[#This Row],[SL Price]]),4)</f>
        <v>1.1111</v>
      </c>
      <c r="AY60" s="21">
        <f>ROUND((TABLE1[[#This Row],[Potential Price]]-TABLE1[[#This Row],[Intended Entry]])/(TABLE1[[#This Row],[Intended Entry]]-TABLE1[[#This Row],[SL Price]]),4)</f>
        <v>1.1111</v>
      </c>
      <c r="AZ60" s="21">
        <f>TABLE1[[#This Row],[RRR Potential]]-TABLE1[[#This Row],[RRR Realized]]</f>
        <v>3.2444000000000002</v>
      </c>
      <c r="BA60" s="29">
        <f>ROUND((TABLE1[[#This Row],[Exit Price]]-TABLE1[[#This Row],[Entry Price]])/(TABLE1[[#This Row],[Intended Entry]]-TABLE1[[#This Row],[SL Price]]),4)</f>
        <v>-2.1333000000000002</v>
      </c>
      <c r="BB60"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-2.1333000000000002</v>
      </c>
      <c r="BC60"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D60"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-2.1333000000000002</v>
      </c>
      <c r="BE60"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-2.1333000000000002</v>
      </c>
      <c r="BF60"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-2.1333000000000002</v>
      </c>
      <c r="BG60"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-2.1333000000000002</v>
      </c>
      <c r="BH60"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-2.1333000000000002</v>
      </c>
      <c r="BI60"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J60"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K60"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L60"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M60"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-2.1333000000000002</v>
      </c>
      <c r="BN60"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-2.1333000000000002</v>
      </c>
      <c r="BO60"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-2.1333000000000002</v>
      </c>
      <c r="BP60"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-2.1333000000000002</v>
      </c>
      <c r="BQ60"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-2.1333000000000002</v>
      </c>
      <c r="BR60"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S60"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-2.1333000000000002</v>
      </c>
      <c r="BT60"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-2.1333000000000002</v>
      </c>
      <c r="BU60"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V60"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-2.1333000000000002</v>
      </c>
      <c r="BW60"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-2.1333000000000002</v>
      </c>
      <c r="BX60"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v>
      </c>
      <c r="BY60"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-2.1333000000000002</v>
      </c>
      <c r="BZ60" s="24">
        <f>IF( TABLE1[[#This Row],[Wick Exit]]&lt;&gt; FALSE,TABLE1[[#This Row],[RRR Wick Exit]],IF(TABLE1[[#This Row],[Volume Exit]]&lt;&gt; FALSE,TABLE1[[#This Row],[RRR Volume Exit]],TABLE1[[#This Row],[RRR Realized]]))</f>
        <v>-2.1333000000000002</v>
      </c>
      <c r="CA60"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-2.1333000000000002</v>
      </c>
      <c r="CB60"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-2.1333000000000002</v>
      </c>
      <c r="CC60"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CD60"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-2.1333000000000002</v>
      </c>
    </row>
    <row r="61" spans="1:82" x14ac:dyDescent="0.25">
      <c r="A61" t="s">
        <v>326</v>
      </c>
      <c r="B61">
        <v>60</v>
      </c>
      <c r="C61" s="2">
        <v>43515</v>
      </c>
      <c r="D61" s="1">
        <v>0.41944444444444445</v>
      </c>
      <c r="E61" s="1">
        <v>0.42569444444444443</v>
      </c>
      <c r="F61" s="5">
        <v>1.08</v>
      </c>
      <c r="G61" s="5">
        <v>28.92</v>
      </c>
      <c r="H61" s="17">
        <v>200</v>
      </c>
      <c r="I61" t="s">
        <v>19</v>
      </c>
      <c r="J61" t="s">
        <v>22</v>
      </c>
      <c r="K61">
        <v>3.21</v>
      </c>
      <c r="L61">
        <v>3.2149999999999999</v>
      </c>
      <c r="M61">
        <v>3.16</v>
      </c>
      <c r="N61">
        <v>3.36</v>
      </c>
      <c r="O61">
        <v>3.36</v>
      </c>
      <c r="P61">
        <v>3.36</v>
      </c>
      <c r="Q61">
        <v>3.13</v>
      </c>
      <c r="R61">
        <v>3.39</v>
      </c>
      <c r="S61">
        <v>3.75</v>
      </c>
      <c r="T61" t="b">
        <v>0</v>
      </c>
      <c r="U61">
        <v>3.12</v>
      </c>
      <c r="V61" t="b">
        <v>1</v>
      </c>
      <c r="X61">
        <v>3.27</v>
      </c>
      <c r="Y61" t="b">
        <v>0</v>
      </c>
      <c r="Z61">
        <v>1</v>
      </c>
      <c r="AA61" t="b">
        <v>0</v>
      </c>
      <c r="AD61" t="b">
        <v>0</v>
      </c>
      <c r="AE61" t="s">
        <v>28</v>
      </c>
      <c r="AF61" t="s">
        <v>29</v>
      </c>
      <c r="AG61" t="s">
        <v>34</v>
      </c>
      <c r="AH61">
        <v>13.83</v>
      </c>
      <c r="AI61" t="s">
        <v>431</v>
      </c>
      <c r="AJ61" t="s">
        <v>163</v>
      </c>
      <c r="AK61" s="26" t="s">
        <v>327</v>
      </c>
      <c r="AL61" s="22">
        <f>(TABLE1[[#This Row],[TP Price]]-TABLE1[[#This Row],[Intended Entry]])/(TABLE1[[#This Row],[Intended Entry]]-TABLE1[[#This Row],[SL Price]])</f>
        <v>3.0000000000000089</v>
      </c>
      <c r="AM61" s="24">
        <f>IF(TABLE1[[#This Row],[Buy/Sell]]="BUY",(TABLE1[[#This Row],[Highest Price]]-TABLE1[[#This Row],[Entry Price]])/(TABLE1[[#This Row],[Intended Entry]]-TABLE1[[#This Row],[SL Price]]),(TABLE1[[#This Row],[Entry Price]]-TABLE1[[#This Row],[Lowest Price]])/(TABLE1[[#This Row],[SL Price]]-TABLE1[[#This Row],[Intended Entry]]))</f>
        <v>2.9000000000000106</v>
      </c>
      <c r="AN61" s="25">
        <f>IF(TABLE1[[#This Row],[Buy/Sell]]="BUY",(TABLE1[[#This Row],[Entry Price]]-TABLE1[[#This Row],[Lowest Price]])/(TABLE1[[#This Row],[SL Price]]-TABLE1[[#This Row],[Intended Entry]]),(TABLE1[[#This Row],[Entry Price]]-TABLE1[[#This Row],[Highest Price]])/(TABLE1[[#This Row],[SL Price]]-TABLE1[[#This Row],[Intended Entry]]))</f>
        <v>-1.7000000000000053</v>
      </c>
      <c r="AO61" s="9" t="str">
        <f>IF(TABLE1[[#This Row],[Gain/Loss]]&lt;0, "LOSER", "WINNER")</f>
        <v>WINNER</v>
      </c>
      <c r="AP61" s="5">
        <f>TABLE1[[#This Row],[Gain/Loss]]-TABLE1[[#This Row],[Comissions]]</f>
        <v>27.840000000000003</v>
      </c>
      <c r="AQ61" s="4">
        <f>TABLE1[[#This Row],[Exit Time]]-TABLE1[[#This Row],[Entry Time]]</f>
        <v>6.2499999999999778E-3</v>
      </c>
      <c r="AR61" s="21">
        <f>IF(TABLE1[[#This Row],[Retest Price]]&lt;&gt;FALSE,ROUND((TABLE1[[#This Row],[Retest Price]]-TABLE1[[#This Row],[Entry Price]])/(TABLE1[[#This Row],[Intended Entry]]-TABLE1[[#This Row],[SL Price]]),4), "FALSE")</f>
        <v>-1.9</v>
      </c>
      <c r="AS61" s="5">
        <f>TABLE1[[#This Row],[Net Gain/Loss]]+AS60</f>
        <v>-315.94400000000007</v>
      </c>
      <c r="AT61" s="5">
        <f>IF(TABLE1[[#This Row],[Potential Price Before BE]]=FALSE,"FALSE",( TABLE1[[#This Row],[Potential Price Before BE]]-TABLE1[[#This Row],[Intended Entry]])/(TABLE1[[#This Row],[Intended Entry]]-TABLE1[[#This Row],[SL Price]]))</f>
        <v>3.6000000000000161</v>
      </c>
      <c r="AU61" s="5">
        <f>(IF(TABLE1[[#This Row],[Buy/Sell]]="BUY",(TABLE1[[#This Row],[Entry Price]]-TABLE1[[#This Row],[SL Price]])/(TABLE1[[#This Row],[Intended Entry]]-TABLE1[[#This Row],[SL Price]]),(TABLE1[[#This Row],[SL Price]]-TABLE1[[#This Row],[Entry Price]])/(TABLE1[[#This Row],[SL Price]]-TABLE1[[#This Row],[Intended Entry]])))-1</f>
        <v>9.9999999999998312E-2</v>
      </c>
      <c r="AV61"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W61" s="21">
        <f>TABLE1[[#This Row],[Missed RRR on Entry]]+TABLE1[[#This Row],[Missed RRR on Exit]]</f>
        <v>9.9999999999998312E-2</v>
      </c>
      <c r="AX61" s="21">
        <f>ROUND((TABLE1[[#This Row],[Potential Price]]-TABLE1[[#This Row],[Entry Price]])/(TABLE1[[#This Row],[Intended Entry]]-TABLE1[[#This Row],[SL Price]]),4)</f>
        <v>10.7</v>
      </c>
      <c r="AY61" s="21">
        <f>ROUND((TABLE1[[#This Row],[Potential Price]]-TABLE1[[#This Row],[Intended Entry]])/(TABLE1[[#This Row],[Intended Entry]]-TABLE1[[#This Row],[SL Price]]),4)</f>
        <v>10.8</v>
      </c>
      <c r="AZ61" s="21">
        <f>TABLE1[[#This Row],[RRR Potential]]-TABLE1[[#This Row],[RRR Realized]]</f>
        <v>7.7999999999999989</v>
      </c>
      <c r="BA61" s="29">
        <f>ROUND((TABLE1[[#This Row],[Exit Price]]-TABLE1[[#This Row],[Entry Price]])/(TABLE1[[#This Row],[Intended Entry]]-TABLE1[[#This Row],[SL Price]]),4)</f>
        <v>2.9</v>
      </c>
      <c r="BB61"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4.9000000000000021</v>
      </c>
      <c r="BC61"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-9.9999999999998312E-2</v>
      </c>
      <c r="BD61"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-9.9999999999998312E-2</v>
      </c>
      <c r="BE61"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4.9000000000000021</v>
      </c>
      <c r="BF61"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4.9000000000000021</v>
      </c>
      <c r="BG61"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4.9000000000000021</v>
      </c>
      <c r="BH61"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4.9000000000000021</v>
      </c>
      <c r="BI61"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-9.9999999999998312E-2</v>
      </c>
      <c r="BJ61"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-9.9999999999998312E-2</v>
      </c>
      <c r="BK61"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-9.9999999999998312E-2</v>
      </c>
      <c r="BL61"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-9.9999999999998312E-2</v>
      </c>
      <c r="BM61"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-9.9999999999998312E-2</v>
      </c>
      <c r="BN61"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-9.9999999999998312E-2</v>
      </c>
      <c r="BO61"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-9.9999999999998312E-2</v>
      </c>
      <c r="BP61"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-9.9999999999998312E-2</v>
      </c>
      <c r="BQ61"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4.9000000000000021</v>
      </c>
      <c r="BR61"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-9.9999999999998312E-2</v>
      </c>
      <c r="BS61"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-9.9999999999998312E-2</v>
      </c>
      <c r="BT61"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1.1000000000000072</v>
      </c>
      <c r="BU61"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-9.9999999999998312E-2</v>
      </c>
      <c r="BV61"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1.1000000000000072</v>
      </c>
      <c r="BW61"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1.1000000000000072</v>
      </c>
      <c r="BX61"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-9.9999999999998312E-2</v>
      </c>
      <c r="BY61"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1.1000000000000072</v>
      </c>
      <c r="BZ61" s="24">
        <f>IF( TABLE1[[#This Row],[Wick Exit]]&lt;&gt; FALSE,TABLE1[[#This Row],[RRR Wick Exit]],IF(TABLE1[[#This Row],[Volume Exit]]&lt;&gt; FALSE,TABLE1[[#This Row],[RRR Volume Exit]],TABLE1[[#This Row],[RRR Realized]]))</f>
        <v>1.1000000000000072</v>
      </c>
      <c r="CA61"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2.9</v>
      </c>
      <c r="CB61"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4.9000000000000021</v>
      </c>
      <c r="CC61"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-9.9999999999998312E-2</v>
      </c>
      <c r="CD61"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-9.9999999999998312E-2</v>
      </c>
    </row>
    <row r="62" spans="1:82" x14ac:dyDescent="0.25">
      <c r="A62" t="s">
        <v>328</v>
      </c>
      <c r="B62">
        <v>61</v>
      </c>
      <c r="C62" s="2">
        <v>43515</v>
      </c>
      <c r="D62" s="1">
        <v>0.42499999999999999</v>
      </c>
      <c r="E62" s="1">
        <v>0.44166666666666665</v>
      </c>
      <c r="F62" s="5">
        <v>0</v>
      </c>
      <c r="G62" s="5">
        <v>24</v>
      </c>
      <c r="H62" s="17">
        <v>300</v>
      </c>
      <c r="I62" t="s">
        <v>19</v>
      </c>
      <c r="J62" t="s">
        <v>22</v>
      </c>
      <c r="K62">
        <v>7.82</v>
      </c>
      <c r="L62">
        <v>7.82</v>
      </c>
      <c r="M62">
        <v>7.79</v>
      </c>
      <c r="N62">
        <v>7.91</v>
      </c>
      <c r="O62">
        <v>7.91</v>
      </c>
      <c r="P62">
        <v>7.91</v>
      </c>
      <c r="Q62">
        <v>7.77</v>
      </c>
      <c r="R62">
        <v>7.9</v>
      </c>
      <c r="S62">
        <v>8.14</v>
      </c>
      <c r="T62" t="b">
        <v>0</v>
      </c>
      <c r="U62">
        <v>7.76</v>
      </c>
      <c r="V62" t="b">
        <v>1</v>
      </c>
      <c r="W62" t="b">
        <v>1</v>
      </c>
      <c r="X62">
        <v>7.89</v>
      </c>
      <c r="Y62" t="b">
        <v>0</v>
      </c>
      <c r="Z62" t="b">
        <v>0</v>
      </c>
      <c r="AA62">
        <v>7.88</v>
      </c>
      <c r="AB62" t="b">
        <v>0</v>
      </c>
      <c r="AC62">
        <v>1.5</v>
      </c>
      <c r="AD62" t="b">
        <v>0</v>
      </c>
      <c r="AE62" t="s">
        <v>25</v>
      </c>
      <c r="AF62" t="s">
        <v>31</v>
      </c>
      <c r="AG62" t="s">
        <v>36</v>
      </c>
      <c r="AH62">
        <v>171</v>
      </c>
      <c r="AI62" t="s">
        <v>431</v>
      </c>
      <c r="AJ62" t="s">
        <v>169</v>
      </c>
      <c r="AK62" s="26" t="s">
        <v>329</v>
      </c>
      <c r="AL62" s="22">
        <f>(TABLE1[[#This Row],[TP Price]]-TABLE1[[#This Row],[Intended Entry]])/(TABLE1[[#This Row],[Intended Entry]]-TABLE1[[#This Row],[SL Price]])</f>
        <v>2.9999999999999702</v>
      </c>
      <c r="AM62" s="24">
        <f>IF(TABLE1[[#This Row],[Buy/Sell]]="BUY",(TABLE1[[#This Row],[Highest Price]]-TABLE1[[#This Row],[Entry Price]])/(TABLE1[[#This Row],[Intended Entry]]-TABLE1[[#This Row],[SL Price]]),(TABLE1[[#This Row],[Entry Price]]-TABLE1[[#This Row],[Lowest Price]])/(TABLE1[[#This Row],[SL Price]]-TABLE1[[#This Row],[Intended Entry]]))</f>
        <v>2.9999999999999702</v>
      </c>
      <c r="AN62" s="25">
        <f>IF(TABLE1[[#This Row],[Buy/Sell]]="BUY",(TABLE1[[#This Row],[Entry Price]]-TABLE1[[#This Row],[Lowest Price]])/(TABLE1[[#This Row],[SL Price]]-TABLE1[[#This Row],[Intended Entry]]),(TABLE1[[#This Row],[Entry Price]]-TABLE1[[#This Row],[Highest Price]])/(TABLE1[[#This Row],[SL Price]]-TABLE1[[#This Row],[Intended Entry]]))</f>
        <v>-1.6666666666666765</v>
      </c>
      <c r="AO62" s="9" t="str">
        <f>IF(TABLE1[[#This Row],[Gain/Loss]]&lt;0, "LOSER", "WINNER")</f>
        <v>WINNER</v>
      </c>
      <c r="AP62" s="5">
        <f>TABLE1[[#This Row],[Gain/Loss]]-TABLE1[[#This Row],[Comissions]]</f>
        <v>24</v>
      </c>
      <c r="AQ62" s="4">
        <f>TABLE1[[#This Row],[Exit Time]]-TABLE1[[#This Row],[Entry Time]]</f>
        <v>1.6666666666666663E-2</v>
      </c>
      <c r="AR62" s="21">
        <f>IF(TABLE1[[#This Row],[Retest Price]]&lt;&gt;FALSE,ROUND((TABLE1[[#This Row],[Retest Price]]-TABLE1[[#This Row],[Entry Price]])/(TABLE1[[#This Row],[Intended Entry]]-TABLE1[[#This Row],[SL Price]]),4), "FALSE")</f>
        <v>-2</v>
      </c>
      <c r="AS62" s="5">
        <f>TABLE1[[#This Row],[Net Gain/Loss]]+AS61</f>
        <v>-291.94400000000007</v>
      </c>
      <c r="AT62" s="5">
        <f>IF(TABLE1[[#This Row],[Potential Price Before BE]]=FALSE,"FALSE",( TABLE1[[#This Row],[Potential Price Before BE]]-TABLE1[[#This Row],[Intended Entry]])/(TABLE1[[#This Row],[Intended Entry]]-TABLE1[[#This Row],[SL Price]]))</f>
        <v>2.666666666666647</v>
      </c>
      <c r="AU62" s="5">
        <f>(IF(TABLE1[[#This Row],[Buy/Sell]]="BUY",(TABLE1[[#This Row],[Entry Price]]-TABLE1[[#This Row],[SL Price]])/(TABLE1[[#This Row],[Intended Entry]]-TABLE1[[#This Row],[SL Price]]),(TABLE1[[#This Row],[SL Price]]-TABLE1[[#This Row],[Entry Price]])/(TABLE1[[#This Row],[SL Price]]-TABLE1[[#This Row],[Intended Entry]])))-1</f>
        <v>0</v>
      </c>
      <c r="AV62"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W62" s="21">
        <f>TABLE1[[#This Row],[Missed RRR on Entry]]+TABLE1[[#This Row],[Missed RRR on Exit]]</f>
        <v>0</v>
      </c>
      <c r="AX62" s="21">
        <f>ROUND((TABLE1[[#This Row],[Potential Price]]-TABLE1[[#This Row],[Entry Price]])/(TABLE1[[#This Row],[Intended Entry]]-TABLE1[[#This Row],[SL Price]]),4)</f>
        <v>10.666700000000001</v>
      </c>
      <c r="AY62" s="21">
        <f>ROUND((TABLE1[[#This Row],[Potential Price]]-TABLE1[[#This Row],[Intended Entry]])/(TABLE1[[#This Row],[Intended Entry]]-TABLE1[[#This Row],[SL Price]]),4)</f>
        <v>10.666700000000001</v>
      </c>
      <c r="AZ62" s="21">
        <f>TABLE1[[#This Row],[RRR Potential]]-TABLE1[[#This Row],[RRR Realized]]</f>
        <v>7.6667000000000005</v>
      </c>
      <c r="BA62" s="29">
        <f>ROUND((TABLE1[[#This Row],[Exit Price]]-TABLE1[[#This Row],[Entry Price]])/(TABLE1[[#This Row],[Intended Entry]]-TABLE1[[#This Row],[SL Price]]),4)</f>
        <v>3</v>
      </c>
      <c r="BB62"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C62"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D62"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E62"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v>
      </c>
      <c r="BF62"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G62"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H62"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I62"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J62"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K62"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L62"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M62"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N62"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O62"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P62"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Q62"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R62"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S62"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T62"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2.333333333333294</v>
      </c>
      <c r="BU62"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2.333333333333294</v>
      </c>
      <c r="BV62"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2.333333333333294</v>
      </c>
      <c r="BW62"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2.333333333333294</v>
      </c>
      <c r="BX62"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2.333333333333294</v>
      </c>
      <c r="BY62"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2.333333333333294</v>
      </c>
      <c r="BZ62" s="24">
        <f>IF( TABLE1[[#This Row],[Wick Exit]]&lt;&gt; FALSE,TABLE1[[#This Row],[RRR Wick Exit]],IF(TABLE1[[#This Row],[Volume Exit]]&lt;&gt; FALSE,TABLE1[[#This Row],[RRR Volume Exit]],TABLE1[[#This Row],[RRR Realized]]))</f>
        <v>2.333333333333294</v>
      </c>
      <c r="CA62"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v>
      </c>
      <c r="CB62"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CC62"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CD62"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row>
    <row r="63" spans="1:82" x14ac:dyDescent="0.25">
      <c r="A63" t="s">
        <v>333</v>
      </c>
      <c r="B63">
        <v>62</v>
      </c>
      <c r="C63" s="2">
        <v>43516</v>
      </c>
      <c r="D63" s="1">
        <v>0.41319444444444442</v>
      </c>
      <c r="E63" s="1">
        <v>0.42777777777777781</v>
      </c>
      <c r="F63" s="5">
        <v>2.0099999999999998</v>
      </c>
      <c r="G63" s="5">
        <v>-20.46</v>
      </c>
      <c r="H63" s="17">
        <v>66</v>
      </c>
      <c r="I63" t="s">
        <v>19</v>
      </c>
      <c r="J63" t="s">
        <v>22</v>
      </c>
      <c r="K63">
        <v>8.0500000000000007</v>
      </c>
      <c r="L63">
        <v>8.06</v>
      </c>
      <c r="M63">
        <v>7.9</v>
      </c>
      <c r="N63">
        <v>8.5</v>
      </c>
      <c r="O63">
        <v>7.75</v>
      </c>
      <c r="P63">
        <v>8.19</v>
      </c>
      <c r="Q63">
        <v>7.75</v>
      </c>
      <c r="R63">
        <v>8.19</v>
      </c>
      <c r="S63">
        <v>8.19</v>
      </c>
      <c r="T63" t="b">
        <v>0</v>
      </c>
      <c r="U63">
        <v>7.78</v>
      </c>
      <c r="V63" t="b">
        <v>0</v>
      </c>
      <c r="W63" t="b">
        <v>1</v>
      </c>
      <c r="X63" t="b">
        <v>0</v>
      </c>
      <c r="AA63" t="b">
        <v>0</v>
      </c>
      <c r="AD63" t="b">
        <v>0</v>
      </c>
      <c r="AE63" t="s">
        <v>25</v>
      </c>
      <c r="AF63" t="s">
        <v>31</v>
      </c>
      <c r="AG63" t="s">
        <v>38</v>
      </c>
      <c r="AH63">
        <v>37.4</v>
      </c>
      <c r="AI63" t="s">
        <v>434</v>
      </c>
      <c r="AJ63" t="s">
        <v>163</v>
      </c>
      <c r="AK63" s="26" t="s">
        <v>334</v>
      </c>
      <c r="AL63" s="22">
        <f>(TABLE1[[#This Row],[TP Price]]-TABLE1[[#This Row],[Intended Entry]])/(TABLE1[[#This Row],[Intended Entry]]-TABLE1[[#This Row],[SL Price]])</f>
        <v>2.999999999999988</v>
      </c>
      <c r="AM63" s="24">
        <f>IF(TABLE1[[#This Row],[Buy/Sell]]="BUY",(TABLE1[[#This Row],[Highest Price]]-TABLE1[[#This Row],[Entry Price]])/(TABLE1[[#This Row],[Intended Entry]]-TABLE1[[#This Row],[SL Price]]),(TABLE1[[#This Row],[Entry Price]]-TABLE1[[#This Row],[Lowest Price]])/(TABLE1[[#This Row],[SL Price]]-TABLE1[[#This Row],[Intended Entry]]))</f>
        <v>0.86666666666665804</v>
      </c>
      <c r="AN63" s="25">
        <f>IF(TABLE1[[#This Row],[Buy/Sell]]="BUY",(TABLE1[[#This Row],[Entry Price]]-TABLE1[[#This Row],[Lowest Price]])/(TABLE1[[#This Row],[SL Price]]-TABLE1[[#This Row],[Intended Entry]]),(TABLE1[[#This Row],[Entry Price]]-TABLE1[[#This Row],[Highest Price]])/(TABLE1[[#This Row],[SL Price]]-TABLE1[[#This Row],[Intended Entry]]))</f>
        <v>-2.0666666666666651</v>
      </c>
      <c r="AO63" s="9" t="str">
        <f>IF(TABLE1[[#This Row],[Gain/Loss]]&lt;0, "LOSER", "WINNER")</f>
        <v>LOSER</v>
      </c>
      <c r="AP63" s="5">
        <f>TABLE1[[#This Row],[Gain/Loss]]-TABLE1[[#This Row],[Comissions]]</f>
        <v>-22.47</v>
      </c>
      <c r="AQ63" s="4">
        <f>TABLE1[[#This Row],[Exit Time]]-TABLE1[[#This Row],[Entry Time]]</f>
        <v>1.4583333333333393E-2</v>
      </c>
      <c r="AR63" s="21">
        <f>IF(TABLE1[[#This Row],[Retest Price]]&lt;&gt;FALSE,ROUND((TABLE1[[#This Row],[Retest Price]]-TABLE1[[#This Row],[Entry Price]])/(TABLE1[[#This Row],[Intended Entry]]-TABLE1[[#This Row],[SL Price]]),4), "FALSE")</f>
        <v>-1.8667</v>
      </c>
      <c r="AS63" s="5">
        <f>TABLE1[[#This Row],[Net Gain/Loss]]+AS62</f>
        <v>-314.4140000000001</v>
      </c>
      <c r="AT63" s="5">
        <f>IF(TABLE1[[#This Row],[Potential Price Before BE]]=FALSE,"FALSE",( TABLE1[[#This Row],[Potential Price Before BE]]-TABLE1[[#This Row],[Intended Entry]])/(TABLE1[[#This Row],[Intended Entry]]-TABLE1[[#This Row],[SL Price]]))</f>
        <v>0.93333333333332302</v>
      </c>
      <c r="AU63" s="5">
        <f>(IF(TABLE1[[#This Row],[Buy/Sell]]="BUY",(TABLE1[[#This Row],[Entry Price]]-TABLE1[[#This Row],[SL Price]])/(TABLE1[[#This Row],[Intended Entry]]-TABLE1[[#This Row],[SL Price]]),(TABLE1[[#This Row],[SL Price]]-TABLE1[[#This Row],[Entry Price]])/(TABLE1[[#This Row],[SL Price]]-TABLE1[[#This Row],[Intended Entry]])))-1</f>
        <v>6.6666666666665098E-2</v>
      </c>
      <c r="AV63"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v>
      </c>
      <c r="AW63" s="21">
        <f>TABLE1[[#This Row],[Missed RRR on Entry]]+TABLE1[[#This Row],[Missed RRR on Exit]]</f>
        <v>1.0666666666666651</v>
      </c>
      <c r="AX63" s="21">
        <f>ROUND((TABLE1[[#This Row],[Potential Price]]-TABLE1[[#This Row],[Entry Price]])/(TABLE1[[#This Row],[Intended Entry]]-TABLE1[[#This Row],[SL Price]]),4)</f>
        <v>0.86670000000000003</v>
      </c>
      <c r="AY63" s="21">
        <f>ROUND((TABLE1[[#This Row],[Potential Price]]-TABLE1[[#This Row],[Intended Entry]])/(TABLE1[[#This Row],[Intended Entry]]-TABLE1[[#This Row],[SL Price]]),4)</f>
        <v>0.93330000000000002</v>
      </c>
      <c r="AZ63" s="21">
        <f>TABLE1[[#This Row],[RRR Potential]]-TABLE1[[#This Row],[RRR Realized]]</f>
        <v>2.9333999999999998</v>
      </c>
      <c r="BA63" s="29">
        <f>ROUND((TABLE1[[#This Row],[Exit Price]]-TABLE1[[#This Row],[Entry Price]])/(TABLE1[[#This Row],[Intended Entry]]-TABLE1[[#This Row],[SL Price]]),4)</f>
        <v>-2.0667</v>
      </c>
      <c r="BB63"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-2.0667</v>
      </c>
      <c r="BC63"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-2.0667</v>
      </c>
      <c r="BD63"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-2.0667</v>
      </c>
      <c r="BE63"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-6.6666666666665098E-2</v>
      </c>
      <c r="BF63"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-2.0667</v>
      </c>
      <c r="BG63"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-2.0667</v>
      </c>
      <c r="BH63"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-2.0667</v>
      </c>
      <c r="BI63"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-6.6666666666665098E-2</v>
      </c>
      <c r="BJ63"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-2.0667</v>
      </c>
      <c r="BK63"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-2.0667</v>
      </c>
      <c r="BL63"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-2.0667</v>
      </c>
      <c r="BM63"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-2.0667</v>
      </c>
      <c r="BN63"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-2.0667</v>
      </c>
      <c r="BO63"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-2.0667</v>
      </c>
      <c r="BP63"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-2.0667</v>
      </c>
      <c r="BQ63"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-2.0667</v>
      </c>
      <c r="BR63"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-2.0667</v>
      </c>
      <c r="BS63"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-2.0667</v>
      </c>
      <c r="BT63"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-2.0667</v>
      </c>
      <c r="BU63"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-2.0667</v>
      </c>
      <c r="BV63"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-2.0667</v>
      </c>
      <c r="BW63"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-2.0667</v>
      </c>
      <c r="BX63"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-2.0667</v>
      </c>
      <c r="BY63"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-2.0667</v>
      </c>
      <c r="BZ63" s="24">
        <f>IF( TABLE1[[#This Row],[Wick Exit]]&lt;&gt; FALSE,TABLE1[[#This Row],[RRR Wick Exit]],IF(TABLE1[[#This Row],[Volume Exit]]&lt;&gt; FALSE,TABLE1[[#This Row],[RRR Volume Exit]],TABLE1[[#This Row],[RRR Realized]]))</f>
        <v>-2.0667</v>
      </c>
      <c r="CA63"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-2.0667</v>
      </c>
      <c r="CB63"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-2.0667</v>
      </c>
      <c r="CC63"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-2.0667</v>
      </c>
      <c r="CD63"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-2.0667</v>
      </c>
    </row>
    <row r="64" spans="1:82" x14ac:dyDescent="0.25">
      <c r="A64" t="s">
        <v>335</v>
      </c>
      <c r="B64">
        <v>63</v>
      </c>
      <c r="C64" s="2">
        <v>43516</v>
      </c>
      <c r="D64" s="1">
        <v>0.42499999999999999</v>
      </c>
      <c r="E64" s="1">
        <v>0.43541666666666662</v>
      </c>
      <c r="F64" s="5">
        <v>2.02</v>
      </c>
      <c r="G64" s="5">
        <v>31.5</v>
      </c>
      <c r="H64" s="17">
        <v>100</v>
      </c>
      <c r="I64" t="s">
        <v>19</v>
      </c>
      <c r="J64" t="s">
        <v>22</v>
      </c>
      <c r="K64">
        <v>9.18</v>
      </c>
      <c r="L64">
        <v>9.1649999999999991</v>
      </c>
      <c r="M64">
        <v>9.08</v>
      </c>
      <c r="N64">
        <v>9.48</v>
      </c>
      <c r="O64">
        <v>9.48</v>
      </c>
      <c r="P64">
        <v>9.48</v>
      </c>
      <c r="Q64">
        <v>9.1199999999999992</v>
      </c>
      <c r="R64" t="b">
        <v>0</v>
      </c>
      <c r="S64">
        <v>9.6999999999999993</v>
      </c>
      <c r="T64" t="b">
        <v>0</v>
      </c>
      <c r="U64">
        <v>9.1</v>
      </c>
      <c r="V64" t="b">
        <v>1</v>
      </c>
      <c r="W64" s="5"/>
      <c r="X64" s="5">
        <v>9.5399999999999991</v>
      </c>
      <c r="Y64" s="5" t="b">
        <v>0</v>
      </c>
      <c r="Z64" t="b">
        <v>0</v>
      </c>
      <c r="AA64">
        <v>9.52</v>
      </c>
      <c r="AB64">
        <v>4</v>
      </c>
      <c r="AC64" t="b">
        <v>0</v>
      </c>
      <c r="AD64" t="b">
        <v>0</v>
      </c>
      <c r="AE64" t="s">
        <v>26</v>
      </c>
      <c r="AF64" t="s">
        <v>29</v>
      </c>
      <c r="AG64" t="s">
        <v>39</v>
      </c>
      <c r="AH64">
        <v>32.6</v>
      </c>
      <c r="AI64" t="s">
        <v>431</v>
      </c>
      <c r="AJ64" t="s">
        <v>163</v>
      </c>
      <c r="AK64" s="26" t="s">
        <v>336</v>
      </c>
      <c r="AL64" s="22">
        <f>(TABLE1[[#This Row],[TP Price]]-TABLE1[[#This Row],[Intended Entry]])/(TABLE1[[#This Row],[Intended Entry]]-TABLE1[[#This Row],[SL Price]])</f>
        <v>3.0000000000000178</v>
      </c>
      <c r="AM64" s="24">
        <f>IF(TABLE1[[#This Row],[Buy/Sell]]="BUY",(TABLE1[[#This Row],[Highest Price]]-TABLE1[[#This Row],[Entry Price]])/(TABLE1[[#This Row],[Intended Entry]]-TABLE1[[#This Row],[SL Price]]),(TABLE1[[#This Row],[Entry Price]]-TABLE1[[#This Row],[Lowest Price]])/(TABLE1[[#This Row],[SL Price]]-TABLE1[[#This Row],[Intended Entry]]))</f>
        <v>3.1500000000000239</v>
      </c>
      <c r="AN64" s="25">
        <f>IF(TABLE1[[#This Row],[Buy/Sell]]="BUY",(TABLE1[[#This Row],[Entry Price]]-TABLE1[[#This Row],[Lowest Price]])/(TABLE1[[#This Row],[SL Price]]-TABLE1[[#This Row],[Intended Entry]]),(TABLE1[[#This Row],[Entry Price]]-TABLE1[[#This Row],[Highest Price]])/(TABLE1[[#This Row],[SL Price]]-TABLE1[[#This Row],[Intended Entry]]))</f>
        <v>-0.4500000000000009</v>
      </c>
      <c r="AO64" s="9" t="str">
        <f>IF(TABLE1[[#This Row],[Gain/Loss]]&lt;0, "LOSER", "WINNER")</f>
        <v>WINNER</v>
      </c>
      <c r="AP64" s="5">
        <f>TABLE1[[#This Row],[Gain/Loss]]-TABLE1[[#This Row],[Comissions]]</f>
        <v>29.48</v>
      </c>
      <c r="AQ64" s="4">
        <f>TABLE1[[#This Row],[Exit Time]]-TABLE1[[#This Row],[Entry Time]]</f>
        <v>1.041666666666663E-2</v>
      </c>
      <c r="AR64" s="21">
        <f>IF(TABLE1[[#This Row],[Retest Price]]&lt;&gt;FALSE,ROUND((TABLE1[[#This Row],[Retest Price]]-TABLE1[[#This Row],[Entry Price]])/(TABLE1[[#This Row],[Intended Entry]]-TABLE1[[#This Row],[SL Price]]),4), "FALSE")</f>
        <v>-0.65</v>
      </c>
      <c r="AS64" s="5">
        <f>TABLE1[[#This Row],[Net Gain/Loss]]+AS63</f>
        <v>-284.93400000000008</v>
      </c>
      <c r="AT64" s="5" t="str">
        <f>IF(TABLE1[[#This Row],[Potential Price Before BE]]=FALSE,"FALSE",( TABLE1[[#This Row],[Potential Price Before BE]]-TABLE1[[#This Row],[Intended Entry]])/(TABLE1[[#This Row],[Intended Entry]]-TABLE1[[#This Row],[SL Price]]))</f>
        <v>FALSE</v>
      </c>
      <c r="AU64" s="5">
        <f>(IF(TABLE1[[#This Row],[Buy/Sell]]="BUY",(TABLE1[[#This Row],[Entry Price]]-TABLE1[[#This Row],[SL Price]])/(TABLE1[[#This Row],[Intended Entry]]-TABLE1[[#This Row],[SL Price]]),(TABLE1[[#This Row],[SL Price]]-TABLE1[[#This Row],[Entry Price]])/(TABLE1[[#This Row],[SL Price]]-TABLE1[[#This Row],[Intended Entry]])))-1</f>
        <v>-0.15000000000000624</v>
      </c>
      <c r="AV64"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W64" s="21">
        <f>TABLE1[[#This Row],[Missed RRR on Entry]]+TABLE1[[#This Row],[Missed RRR on Exit]]</f>
        <v>-0.15000000000000624</v>
      </c>
      <c r="AX64" s="21">
        <f>ROUND((TABLE1[[#This Row],[Potential Price]]-TABLE1[[#This Row],[Entry Price]])/(TABLE1[[#This Row],[Intended Entry]]-TABLE1[[#This Row],[SL Price]]),4)</f>
        <v>5.35</v>
      </c>
      <c r="AY64" s="21">
        <f>ROUND((TABLE1[[#This Row],[Potential Price]]-TABLE1[[#This Row],[Intended Entry]])/(TABLE1[[#This Row],[Intended Entry]]-TABLE1[[#This Row],[SL Price]]),4)</f>
        <v>5.2</v>
      </c>
      <c r="AZ64" s="21">
        <f>TABLE1[[#This Row],[RRR Potential]]-TABLE1[[#This Row],[RRR Realized]]</f>
        <v>2.1999999999999997</v>
      </c>
      <c r="BA64" s="29">
        <f>ROUND((TABLE1[[#This Row],[Exit Price]]-TABLE1[[#This Row],[Entry Price]])/(TABLE1[[#This Row],[Intended Entry]]-TABLE1[[#This Row],[SL Price]]),4)</f>
        <v>3.15</v>
      </c>
      <c r="BB64"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5.1500000000000066</v>
      </c>
      <c r="BC64"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5.1500000000000066</v>
      </c>
      <c r="BD64"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5.1500000000000066</v>
      </c>
      <c r="BE64"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5.1500000000000066</v>
      </c>
      <c r="BF64"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5.1500000000000066</v>
      </c>
      <c r="BG64"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5.1500000000000066</v>
      </c>
      <c r="BH64"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5.1500000000000066</v>
      </c>
      <c r="BI64"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5.1500000000000066</v>
      </c>
      <c r="BJ64"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5.1500000000000066</v>
      </c>
      <c r="BK64"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5.1500000000000066</v>
      </c>
      <c r="BL64"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5.1500000000000066</v>
      </c>
      <c r="BM64"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5.1500000000000066</v>
      </c>
      <c r="BN64"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5.1500000000000066</v>
      </c>
      <c r="BO64"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5.1500000000000066</v>
      </c>
      <c r="BP64"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5.1500000000000066</v>
      </c>
      <c r="BQ64"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5.1500000000000066</v>
      </c>
      <c r="BR64"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5.1500000000000066</v>
      </c>
      <c r="BS64"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5.1500000000000066</v>
      </c>
      <c r="BT64"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3.7500000000000133</v>
      </c>
      <c r="BU64"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3.7500000000000133</v>
      </c>
      <c r="BV64"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3.7500000000000133</v>
      </c>
      <c r="BW64"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3.7500000000000133</v>
      </c>
      <c r="BX64"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3.7500000000000133</v>
      </c>
      <c r="BY64"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3.7500000000000133</v>
      </c>
      <c r="BZ64" s="24">
        <f>IF( TABLE1[[#This Row],[Wick Exit]]&lt;&gt; FALSE,TABLE1[[#This Row],[RRR Wick Exit]],IF(TABLE1[[#This Row],[Volume Exit]]&lt;&gt; FALSE,TABLE1[[#This Row],[RRR Volume Exit]],TABLE1[[#This Row],[RRR Realized]]))</f>
        <v>3.7500000000000133</v>
      </c>
      <c r="CA64"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3.15</v>
      </c>
      <c r="CB64"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5.1500000000000066</v>
      </c>
      <c r="CC64"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5.1500000000000066</v>
      </c>
      <c r="CD64"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5.1500000000000066</v>
      </c>
    </row>
    <row r="65" spans="1:82" x14ac:dyDescent="0.25">
      <c r="A65" t="s">
        <v>333</v>
      </c>
      <c r="B65">
        <v>64</v>
      </c>
      <c r="C65" s="2">
        <v>43516</v>
      </c>
      <c r="D65" s="1">
        <v>0.43541666666666662</v>
      </c>
      <c r="E65" s="1">
        <v>0.45416666666666666</v>
      </c>
      <c r="F65" s="5">
        <v>2.0099999999999998</v>
      </c>
      <c r="G65" s="5">
        <v>-8.58</v>
      </c>
      <c r="H65" s="17">
        <v>66</v>
      </c>
      <c r="I65" t="s">
        <v>19</v>
      </c>
      <c r="J65" t="s">
        <v>22</v>
      </c>
      <c r="K65">
        <v>8.1300000000000008</v>
      </c>
      <c r="L65">
        <v>8.1300000000000008</v>
      </c>
      <c r="M65">
        <v>7.98</v>
      </c>
      <c r="N65">
        <v>8.58</v>
      </c>
      <c r="O65">
        <v>8</v>
      </c>
      <c r="P65">
        <v>8.48</v>
      </c>
      <c r="Q65">
        <v>8</v>
      </c>
      <c r="R65">
        <v>8.48</v>
      </c>
      <c r="S65">
        <v>8.48</v>
      </c>
      <c r="T65">
        <v>8.27</v>
      </c>
      <c r="U65">
        <v>8</v>
      </c>
      <c r="V65" t="b">
        <v>0</v>
      </c>
      <c r="W65" s="5"/>
      <c r="X65" s="5" t="b">
        <v>0</v>
      </c>
      <c r="Y65" s="5"/>
      <c r="AA65" t="b">
        <v>0</v>
      </c>
      <c r="AD65" t="b">
        <v>0</v>
      </c>
      <c r="AE65" t="s">
        <v>26</v>
      </c>
      <c r="AF65" t="s">
        <v>29</v>
      </c>
      <c r="AG65" t="s">
        <v>38</v>
      </c>
      <c r="AH65">
        <v>37.4</v>
      </c>
      <c r="AI65" t="s">
        <v>431</v>
      </c>
      <c r="AJ65" t="s">
        <v>163</v>
      </c>
      <c r="AK65" s="26" t="s">
        <v>334</v>
      </c>
      <c r="AL65" s="22">
        <f>(TABLE1[[#This Row],[TP Price]]-TABLE1[[#This Row],[Intended Entry]])/(TABLE1[[#This Row],[Intended Entry]]-TABLE1[[#This Row],[SL Price]])</f>
        <v>2.999999999999988</v>
      </c>
      <c r="AM65" s="24">
        <f>IF(TABLE1[[#This Row],[Buy/Sell]]="BUY",(TABLE1[[#This Row],[Highest Price]]-TABLE1[[#This Row],[Entry Price]])/(TABLE1[[#This Row],[Intended Entry]]-TABLE1[[#This Row],[SL Price]]),(TABLE1[[#This Row],[Entry Price]]-TABLE1[[#This Row],[Lowest Price]])/(TABLE1[[#This Row],[SL Price]]-TABLE1[[#This Row],[Intended Entry]]))</f>
        <v>2.3333333333333255</v>
      </c>
      <c r="AN65" s="25">
        <f>IF(TABLE1[[#This Row],[Buy/Sell]]="BUY",(TABLE1[[#This Row],[Entry Price]]-TABLE1[[#This Row],[Lowest Price]])/(TABLE1[[#This Row],[SL Price]]-TABLE1[[#This Row],[Intended Entry]]),(TABLE1[[#This Row],[Entry Price]]-TABLE1[[#This Row],[Highest Price]])/(TABLE1[[#This Row],[SL Price]]-TABLE1[[#This Row],[Intended Entry]]))</f>
        <v>-0.8666666666666698</v>
      </c>
      <c r="AO65" s="9" t="str">
        <f>IF(TABLE1[[#This Row],[Gain/Loss]]&lt;0, "LOSER", "WINNER")</f>
        <v>LOSER</v>
      </c>
      <c r="AP65" s="5">
        <f>TABLE1[[#This Row],[Gain/Loss]]-TABLE1[[#This Row],[Comissions]]</f>
        <v>-10.59</v>
      </c>
      <c r="AQ65" s="4">
        <f>TABLE1[[#This Row],[Exit Time]]-TABLE1[[#This Row],[Entry Time]]</f>
        <v>1.8750000000000044E-2</v>
      </c>
      <c r="AR65" s="21">
        <f>IF(TABLE1[[#This Row],[Retest Price]]&lt;&gt;FALSE,ROUND((TABLE1[[#This Row],[Retest Price]]-TABLE1[[#This Row],[Entry Price]])/(TABLE1[[#This Row],[Intended Entry]]-TABLE1[[#This Row],[SL Price]]),4), "FALSE")</f>
        <v>-0.86670000000000003</v>
      </c>
      <c r="AS65" s="5">
        <f>TABLE1[[#This Row],[Net Gain/Loss]]+AS64</f>
        <v>-295.52400000000006</v>
      </c>
      <c r="AT65" s="5">
        <f>IF(TABLE1[[#This Row],[Potential Price Before BE]]=FALSE,"FALSE",( TABLE1[[#This Row],[Potential Price Before BE]]-TABLE1[[#This Row],[Intended Entry]])/(TABLE1[[#This Row],[Intended Entry]]-TABLE1[[#This Row],[SL Price]]))</f>
        <v>2.3333333333333255</v>
      </c>
      <c r="AU65" s="5">
        <f>(IF(TABLE1[[#This Row],[Buy/Sell]]="BUY",(TABLE1[[#This Row],[Entry Price]]-TABLE1[[#This Row],[SL Price]])/(TABLE1[[#This Row],[Intended Entry]]-TABLE1[[#This Row],[SL Price]]),(TABLE1[[#This Row],[SL Price]]-TABLE1[[#This Row],[Entry Price]])/(TABLE1[[#This Row],[SL Price]]-TABLE1[[#This Row],[Intended Entry]])))-1</f>
        <v>0</v>
      </c>
      <c r="AV65"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-0.13333333333333017</v>
      </c>
      <c r="AW65" s="21">
        <f>TABLE1[[#This Row],[Missed RRR on Entry]]+TABLE1[[#This Row],[Missed RRR on Exit]]</f>
        <v>-0.13333333333333017</v>
      </c>
      <c r="AX65" s="21">
        <f>ROUND((TABLE1[[#This Row],[Potential Price]]-TABLE1[[#This Row],[Entry Price]])/(TABLE1[[#This Row],[Intended Entry]]-TABLE1[[#This Row],[SL Price]]),4)</f>
        <v>2.3332999999999999</v>
      </c>
      <c r="AY65" s="21">
        <f>ROUND((TABLE1[[#This Row],[Potential Price]]-TABLE1[[#This Row],[Intended Entry]])/(TABLE1[[#This Row],[Intended Entry]]-TABLE1[[#This Row],[SL Price]]),4)</f>
        <v>2.3332999999999999</v>
      </c>
      <c r="AZ65" s="21">
        <f>TABLE1[[#This Row],[RRR Potential]]-TABLE1[[#This Row],[RRR Realized]]</f>
        <v>3.2</v>
      </c>
      <c r="BA65" s="29">
        <f>ROUND((TABLE1[[#This Row],[Exit Price]]-TABLE1[[#This Row],[Entry Price]])/(TABLE1[[#This Row],[Intended Entry]]-TABLE1[[#This Row],[SL Price]]),4)</f>
        <v>-0.86670000000000003</v>
      </c>
      <c r="BB65"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-0.86670000000000003</v>
      </c>
      <c r="BC65"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D65"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E65"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-0.86670000000000003</v>
      </c>
      <c r="BF65"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-0.86670000000000003</v>
      </c>
      <c r="BG65"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-0.86670000000000003</v>
      </c>
      <c r="BH65"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-0.86670000000000003</v>
      </c>
      <c r="BI65"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J65"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K65"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L65"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M65"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N65"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O65"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P65"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Q65"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0.93333333333332302</v>
      </c>
      <c r="BR65"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0.93333333333332302</v>
      </c>
      <c r="BS65"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0.93333333333332302</v>
      </c>
      <c r="BT65"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-0.86670000000000003</v>
      </c>
      <c r="BU65"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V65"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W65"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-0.86670000000000003</v>
      </c>
      <c r="BX65"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v>
      </c>
      <c r="BY65"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v>
      </c>
      <c r="BZ65" s="24">
        <f>IF( TABLE1[[#This Row],[Wick Exit]]&lt;&gt; FALSE,TABLE1[[#This Row],[RRR Wick Exit]],IF(TABLE1[[#This Row],[Volume Exit]]&lt;&gt; FALSE,TABLE1[[#This Row],[RRR Volume Exit]],TABLE1[[#This Row],[RRR Realized]]))</f>
        <v>-0.86670000000000003</v>
      </c>
      <c r="CA65"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-0.86670000000000003</v>
      </c>
      <c r="CB65"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-0.86670000000000003</v>
      </c>
      <c r="CC65"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CD65"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row>
    <row r="66" spans="1:82" x14ac:dyDescent="0.25">
      <c r="A66" t="s">
        <v>174</v>
      </c>
      <c r="B66">
        <v>65</v>
      </c>
      <c r="C66" s="2">
        <v>43517</v>
      </c>
      <c r="D66" s="1">
        <v>0.41111111111111115</v>
      </c>
      <c r="E66" s="1">
        <v>0.41180555555555554</v>
      </c>
      <c r="F66" s="5">
        <v>2.02</v>
      </c>
      <c r="G66" s="5">
        <v>30</v>
      </c>
      <c r="H66" s="17">
        <v>100</v>
      </c>
      <c r="I66" t="s">
        <v>19</v>
      </c>
      <c r="J66" t="s">
        <v>22</v>
      </c>
      <c r="K66">
        <v>4.01</v>
      </c>
      <c r="L66">
        <v>4.01</v>
      </c>
      <c r="M66">
        <v>3.91</v>
      </c>
      <c r="N66">
        <v>4.3099999999999996</v>
      </c>
      <c r="O66">
        <v>4.3099999999999996</v>
      </c>
      <c r="P66">
        <v>4.3099999999999996</v>
      </c>
      <c r="Q66">
        <v>4.01</v>
      </c>
      <c r="R66">
        <v>4.5999999999999996</v>
      </c>
      <c r="S66">
        <v>4.5999999999999996</v>
      </c>
      <c r="T66" t="b">
        <v>0</v>
      </c>
      <c r="U66" t="b">
        <v>0</v>
      </c>
      <c r="V66" t="b">
        <v>1</v>
      </c>
      <c r="X66">
        <v>4.29</v>
      </c>
      <c r="Y66">
        <v>4</v>
      </c>
      <c r="Z66" t="b">
        <v>0</v>
      </c>
      <c r="AA66">
        <v>3.86</v>
      </c>
      <c r="AB66">
        <v>5</v>
      </c>
      <c r="AC66">
        <v>1.5</v>
      </c>
      <c r="AD66" t="b">
        <v>0</v>
      </c>
      <c r="AE66" t="s">
        <v>26</v>
      </c>
      <c r="AF66" t="s">
        <v>29</v>
      </c>
      <c r="AG66" t="s">
        <v>34</v>
      </c>
      <c r="AH66">
        <v>6.38</v>
      </c>
      <c r="AI66" t="s">
        <v>436</v>
      </c>
      <c r="AJ66" t="s">
        <v>163</v>
      </c>
      <c r="AK66" s="26" t="s">
        <v>337</v>
      </c>
      <c r="AL66" s="22">
        <f>(TABLE1[[#This Row],[TP Price]]-TABLE1[[#This Row],[Intended Entry]])/(TABLE1[[#This Row],[Intended Entry]]-TABLE1[[#This Row],[SL Price]])</f>
        <v>3.0000000000000089</v>
      </c>
      <c r="AM66" s="24">
        <f>IF(TABLE1[[#This Row],[Buy/Sell]]="BUY",(TABLE1[[#This Row],[Highest Price]]-TABLE1[[#This Row],[Entry Price]])/(TABLE1[[#This Row],[Intended Entry]]-TABLE1[[#This Row],[SL Price]]),(TABLE1[[#This Row],[Entry Price]]-TABLE1[[#This Row],[Lowest Price]])/(TABLE1[[#This Row],[SL Price]]-TABLE1[[#This Row],[Intended Entry]]))</f>
        <v>3.0000000000000089</v>
      </c>
      <c r="AN66" s="25">
        <f>IF(TABLE1[[#This Row],[Buy/Sell]]="BUY",(TABLE1[[#This Row],[Entry Price]]-TABLE1[[#This Row],[Lowest Price]])/(TABLE1[[#This Row],[SL Price]]-TABLE1[[#This Row],[Intended Entry]]),(TABLE1[[#This Row],[Entry Price]]-TABLE1[[#This Row],[Highest Price]])/(TABLE1[[#This Row],[SL Price]]-TABLE1[[#This Row],[Intended Entry]]))</f>
        <v>0</v>
      </c>
      <c r="AO66" s="5" t="str">
        <f>IF(TABLE1[[#This Row],[Gain/Loss]]&lt;0, "LOSER", "WINNER")</f>
        <v>WINNER</v>
      </c>
      <c r="AP66" s="5">
        <f>TABLE1[[#This Row],[Gain/Loss]]-TABLE1[[#This Row],[Comissions]]</f>
        <v>27.98</v>
      </c>
      <c r="AQ66" s="4">
        <f>TABLE1[[#This Row],[Exit Time]]-TABLE1[[#This Row],[Entry Time]]</f>
        <v>6.9444444444438647E-4</v>
      </c>
      <c r="AR66" s="21" t="str">
        <f>IF(TABLE1[[#This Row],[Retest Price]]&lt;&gt;FALSE,ROUND((TABLE1[[#This Row],[Retest Price]]-TABLE1[[#This Row],[Entry Price]])/(TABLE1[[#This Row],[Intended Entry]]-TABLE1[[#This Row],[SL Price]]),4), "FALSE")</f>
        <v>FALSE</v>
      </c>
      <c r="AS66" s="5">
        <f>TABLE1[[#This Row],[Net Gain/Loss]]+AS65</f>
        <v>-267.54400000000004</v>
      </c>
      <c r="AT66" s="5">
        <f>IF(TABLE1[[#This Row],[Potential Price Before BE]]=FALSE,"FALSE",( TABLE1[[#This Row],[Potential Price Before BE]]-TABLE1[[#This Row],[Intended Entry]])/(TABLE1[[#This Row],[Intended Entry]]-TABLE1[[#This Row],[SL Price]]))</f>
        <v>5.9000000000000199</v>
      </c>
      <c r="AU66" s="5">
        <f>(IF(TABLE1[[#This Row],[Buy/Sell]]="BUY",(TABLE1[[#This Row],[Entry Price]]-TABLE1[[#This Row],[SL Price]])/(TABLE1[[#This Row],[Intended Entry]]-TABLE1[[#This Row],[SL Price]]),(TABLE1[[#This Row],[SL Price]]-TABLE1[[#This Row],[Entry Price]])/(TABLE1[[#This Row],[SL Price]]-TABLE1[[#This Row],[Intended Entry]])))-1</f>
        <v>0</v>
      </c>
      <c r="AV66"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W66" s="21">
        <f>TABLE1[[#This Row],[Missed RRR on Entry]]+TABLE1[[#This Row],[Missed RRR on Exit]]</f>
        <v>0</v>
      </c>
      <c r="AX66" s="21">
        <f>ROUND((TABLE1[[#This Row],[Potential Price]]-TABLE1[[#This Row],[Entry Price]])/(TABLE1[[#This Row],[Intended Entry]]-TABLE1[[#This Row],[SL Price]]),4)</f>
        <v>5.9</v>
      </c>
      <c r="AY66" s="21">
        <f>ROUND((TABLE1[[#This Row],[Potential Price]]-TABLE1[[#This Row],[Intended Entry]])/(TABLE1[[#This Row],[Intended Entry]]-TABLE1[[#This Row],[SL Price]]),4)</f>
        <v>5.9</v>
      </c>
      <c r="AZ66" s="21">
        <f>TABLE1[[#This Row],[RRR Potential]]-TABLE1[[#This Row],[RRR Realized]]</f>
        <v>2.9000000000000004</v>
      </c>
      <c r="BA66" s="29">
        <f>ROUND((TABLE1[[#This Row],[Exit Price]]-TABLE1[[#This Row],[Entry Price]])/(TABLE1[[#This Row],[Intended Entry]]-TABLE1[[#This Row],[SL Price]]),4)</f>
        <v>3</v>
      </c>
      <c r="BB66"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C66"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D66"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E66"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F66"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G66"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H66"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I66"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J66"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K66"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L66"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M66"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N66"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O66"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P66"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Q66"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R66"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BS66"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c r="BT66"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2.8000000000000123</v>
      </c>
      <c r="BU66"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2.8000000000000123</v>
      </c>
      <c r="BV66"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2.8000000000000123</v>
      </c>
      <c r="BW66"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2.8000000000000123</v>
      </c>
      <c r="BX66"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2.8000000000000123</v>
      </c>
      <c r="BY66"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2.8000000000000123</v>
      </c>
      <c r="BZ66" s="24">
        <f>IF( TABLE1[[#This Row],[Wick Exit]]&lt;&gt; FALSE,TABLE1[[#This Row],[RRR Wick Exit]],IF(TABLE1[[#This Row],[Volume Exit]]&lt;&gt; FALSE,TABLE1[[#This Row],[RRR Volume Exit]],TABLE1[[#This Row],[RRR Realized]]))</f>
        <v>2.8000000000000123</v>
      </c>
      <c r="CA66"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v>
      </c>
      <c r="CB66"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CC66"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v>
      </c>
      <c r="CD66"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v>
      </c>
    </row>
    <row r="67" spans="1:82" x14ac:dyDescent="0.25">
      <c r="A67" t="s">
        <v>341</v>
      </c>
      <c r="B67">
        <v>66</v>
      </c>
      <c r="C67" s="2">
        <v>43517</v>
      </c>
      <c r="D67" s="1">
        <v>0.41388888888888892</v>
      </c>
      <c r="E67" s="1">
        <v>0.42083333333333334</v>
      </c>
      <c r="F67" s="5">
        <v>2.04</v>
      </c>
      <c r="G67" s="5">
        <v>-21</v>
      </c>
      <c r="H67" s="17">
        <v>150</v>
      </c>
      <c r="I67" t="s">
        <v>19</v>
      </c>
      <c r="J67" t="s">
        <v>22</v>
      </c>
      <c r="K67">
        <v>11.110004999999999</v>
      </c>
      <c r="L67">
        <v>11.12</v>
      </c>
      <c r="M67">
        <v>11.05</v>
      </c>
      <c r="N67">
        <v>11.29</v>
      </c>
      <c r="O67">
        <v>10.98</v>
      </c>
      <c r="P67">
        <v>11.17</v>
      </c>
      <c r="Q67">
        <v>10.98</v>
      </c>
      <c r="R67">
        <v>11.17</v>
      </c>
      <c r="S67">
        <v>11.17</v>
      </c>
      <c r="T67" t="b">
        <v>0</v>
      </c>
      <c r="U67" t="b">
        <v>0</v>
      </c>
      <c r="V67" t="b">
        <v>0</v>
      </c>
      <c r="W67" t="b">
        <v>0</v>
      </c>
      <c r="X67" t="b">
        <v>0</v>
      </c>
      <c r="AA67" t="b">
        <v>0</v>
      </c>
      <c r="AD67">
        <v>11.12</v>
      </c>
      <c r="AE67" t="s">
        <v>25</v>
      </c>
      <c r="AF67" t="s">
        <v>29</v>
      </c>
      <c r="AG67" t="s">
        <v>36</v>
      </c>
      <c r="AH67">
        <v>112</v>
      </c>
      <c r="AI67" t="s">
        <v>434</v>
      </c>
      <c r="AJ67" t="s">
        <v>163</v>
      </c>
      <c r="AK67" s="26" t="s">
        <v>342</v>
      </c>
      <c r="AL67" s="22">
        <f>(TABLE1[[#This Row],[TP Price]]-TABLE1[[#This Row],[Intended Entry]])/(TABLE1[[#This Row],[Intended Entry]]-TABLE1[[#This Row],[SL Price]])</f>
        <v>2.9996666944422015</v>
      </c>
      <c r="AM67" s="24">
        <f>IF(TABLE1[[#This Row],[Buy/Sell]]="BUY",(TABLE1[[#This Row],[Highest Price]]-TABLE1[[#This Row],[Entry Price]])/(TABLE1[[#This Row],[Intended Entry]]-TABLE1[[#This Row],[SL Price]]),(TABLE1[[#This Row],[Entry Price]]-TABLE1[[#This Row],[Lowest Price]])/(TABLE1[[#This Row],[SL Price]]-TABLE1[[#This Row],[Intended Entry]]))</f>
        <v>0.8332638946754759</v>
      </c>
      <c r="AN67" s="25">
        <f>IF(TABLE1[[#This Row],[Buy/Sell]]="BUY",(TABLE1[[#This Row],[Entry Price]]-TABLE1[[#This Row],[Lowest Price]])/(TABLE1[[#This Row],[SL Price]]-TABLE1[[#This Row],[Intended Entry]]),(TABLE1[[#This Row],[Entry Price]]-TABLE1[[#This Row],[Highest Price]])/(TABLE1[[#This Row],[SL Price]]-TABLE1[[#This Row],[Intended Entry]]))</f>
        <v>-2.3331389050912792</v>
      </c>
      <c r="AO67" s="5" t="str">
        <f>IF(TABLE1[[#This Row],[Gain/Loss]]&lt;0, "LOSER", "WINNER")</f>
        <v>LOSER</v>
      </c>
      <c r="AP67" s="5">
        <f>TABLE1[[#This Row],[Gain/Loss]]-TABLE1[[#This Row],[Comissions]]</f>
        <v>-23.04</v>
      </c>
      <c r="AQ67" s="4">
        <f>TABLE1[[#This Row],[Exit Time]]-TABLE1[[#This Row],[Entry Time]]</f>
        <v>6.9444444444444198E-3</v>
      </c>
      <c r="AR67" s="21" t="str">
        <f>IF(TABLE1[[#This Row],[Retest Price]]&lt;&gt;FALSE,ROUND((TABLE1[[#This Row],[Retest Price]]-TABLE1[[#This Row],[Entry Price]])/(TABLE1[[#This Row],[Intended Entry]]-TABLE1[[#This Row],[SL Price]]),4), "FALSE")</f>
        <v>FALSE</v>
      </c>
      <c r="AS67" s="5">
        <f>TABLE1[[#This Row],[Net Gain/Loss]]+AS66</f>
        <v>-290.58400000000006</v>
      </c>
      <c r="AT67" s="5">
        <f>IF(TABLE1[[#This Row],[Potential Price Before BE]]=FALSE,"FALSE",( TABLE1[[#This Row],[Potential Price Before BE]]-TABLE1[[#This Row],[Intended Entry]])/(TABLE1[[#This Row],[Intended Entry]]-TABLE1[[#This Row],[SL Price]]))</f>
        <v>0.99983334722110084</v>
      </c>
      <c r="AU67" s="5">
        <f>(IF(TABLE1[[#This Row],[Buy/Sell]]="BUY",(TABLE1[[#This Row],[Entry Price]]-TABLE1[[#This Row],[SL Price]])/(TABLE1[[#This Row],[Intended Entry]]-TABLE1[[#This Row],[SL Price]]),(TABLE1[[#This Row],[SL Price]]-TABLE1[[#This Row],[Entry Price]])/(TABLE1[[#This Row],[SL Price]]-TABLE1[[#This Row],[Intended Entry]])))-1</f>
        <v>0.16656945254562494</v>
      </c>
      <c r="AV67"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1.1665694525456545</v>
      </c>
      <c r="AW67" s="21">
        <f>TABLE1[[#This Row],[Missed RRR on Entry]]+TABLE1[[#This Row],[Missed RRR on Exit]]</f>
        <v>1.3331389050912794</v>
      </c>
      <c r="AX67" s="21">
        <f>ROUND((TABLE1[[#This Row],[Potential Price]]-TABLE1[[#This Row],[Entry Price]])/(TABLE1[[#This Row],[Intended Entry]]-TABLE1[[#This Row],[SL Price]]),4)</f>
        <v>0.83330000000000004</v>
      </c>
      <c r="AY67" s="21">
        <f>ROUND((TABLE1[[#This Row],[Potential Price]]-TABLE1[[#This Row],[Intended Entry]])/(TABLE1[[#This Row],[Intended Entry]]-TABLE1[[#This Row],[SL Price]]),4)</f>
        <v>0.99980000000000002</v>
      </c>
      <c r="AZ67" s="21">
        <f>TABLE1[[#This Row],[RRR Potential]]-TABLE1[[#This Row],[RRR Realized]]</f>
        <v>3.1663999999999999</v>
      </c>
      <c r="BA67" s="29">
        <f>ROUND((TABLE1[[#This Row],[Exit Price]]-TABLE1[[#This Row],[Entry Price]])/(TABLE1[[#This Row],[Intended Entry]]-TABLE1[[#This Row],[SL Price]]),4)</f>
        <v>-2.3331</v>
      </c>
      <c r="BB67"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-2.3331</v>
      </c>
      <c r="BC67"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-2.3331</v>
      </c>
      <c r="BD67"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-2.3331</v>
      </c>
      <c r="BE67"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-2.3331</v>
      </c>
      <c r="BF67"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-2.3331</v>
      </c>
      <c r="BG67"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-2.3331</v>
      </c>
      <c r="BH67"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-2.3331</v>
      </c>
      <c r="BI67"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-2.3331</v>
      </c>
      <c r="BJ67"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-2.3331</v>
      </c>
      <c r="BK67"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-2.3331</v>
      </c>
      <c r="BL67"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-2.3331</v>
      </c>
      <c r="BM67"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-2.3331</v>
      </c>
      <c r="BN67"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-2.3331</v>
      </c>
      <c r="BO67"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-2.3331</v>
      </c>
      <c r="BP67"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-2.3331</v>
      </c>
      <c r="BQ67"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-2.3331</v>
      </c>
      <c r="BR67"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-2.3331</v>
      </c>
      <c r="BS67"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-2.3331</v>
      </c>
      <c r="BT67"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-2.3331</v>
      </c>
      <c r="BU67"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-2.3331</v>
      </c>
      <c r="BV67"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-2.3331</v>
      </c>
      <c r="BW67"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-2.3331</v>
      </c>
      <c r="BX67"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-2.3331</v>
      </c>
      <c r="BY67"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-2.3331</v>
      </c>
      <c r="BZ67" s="24">
        <f>IF( TABLE1[[#This Row],[Wick Exit]]&lt;&gt; FALSE,TABLE1[[#This Row],[RRR Wick Exit]],IF(TABLE1[[#This Row],[Volume Exit]]&lt;&gt; FALSE,TABLE1[[#This Row],[RRR Volume Exit]],TABLE1[[#This Row],[RRR Realized]]))</f>
        <v>0</v>
      </c>
      <c r="CA67"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v>
      </c>
      <c r="CB67"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v>
      </c>
      <c r="CC67"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CD67"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row>
    <row r="68" spans="1:82" x14ac:dyDescent="0.25">
      <c r="A68" t="s">
        <v>343</v>
      </c>
      <c r="B68">
        <v>67</v>
      </c>
      <c r="C68" s="2">
        <v>43517</v>
      </c>
      <c r="D68" s="1">
        <v>0.41875000000000001</v>
      </c>
      <c r="E68" s="1">
        <v>0.4236111111111111</v>
      </c>
      <c r="F68" s="5">
        <v>2.0299999999999998</v>
      </c>
      <c r="G68" s="5">
        <v>-17.43</v>
      </c>
      <c r="H68" s="17">
        <v>150</v>
      </c>
      <c r="I68" t="s">
        <v>262</v>
      </c>
      <c r="J68" t="s">
        <v>22</v>
      </c>
      <c r="K68">
        <v>7.47</v>
      </c>
      <c r="L68">
        <v>7.47</v>
      </c>
      <c r="M68">
        <v>7.41</v>
      </c>
      <c r="N68">
        <v>7.65</v>
      </c>
      <c r="O68">
        <v>7.3540000000000001</v>
      </c>
      <c r="P68">
        <v>7.49</v>
      </c>
      <c r="Q68">
        <v>7.35</v>
      </c>
      <c r="R68">
        <v>7.49</v>
      </c>
      <c r="S68">
        <v>7.49</v>
      </c>
      <c r="T68" t="b">
        <v>0</v>
      </c>
      <c r="U68">
        <v>7.35</v>
      </c>
      <c r="V68" t="b">
        <v>0</v>
      </c>
      <c r="W68" t="b">
        <v>0</v>
      </c>
      <c r="X68" t="b">
        <v>0</v>
      </c>
      <c r="AA68" t="b">
        <v>0</v>
      </c>
      <c r="AD68" t="b">
        <v>0</v>
      </c>
      <c r="AE68" t="s">
        <v>25</v>
      </c>
      <c r="AF68" t="s">
        <v>32</v>
      </c>
      <c r="AG68" t="s">
        <v>36</v>
      </c>
      <c r="AH68">
        <v>102</v>
      </c>
      <c r="AI68" t="s">
        <v>431</v>
      </c>
      <c r="AJ68" t="s">
        <v>163</v>
      </c>
      <c r="AK68" s="26" t="s">
        <v>344</v>
      </c>
      <c r="AL68" s="22">
        <f>(TABLE1[[#This Row],[TP Price]]-TABLE1[[#This Row],[Intended Entry]])/(TABLE1[[#This Row],[Intended Entry]]-TABLE1[[#This Row],[SL Price]])</f>
        <v>3.0000000000000298</v>
      </c>
      <c r="AM68" s="24">
        <f>IF(TABLE1[[#This Row],[Buy/Sell]]="BUY",(TABLE1[[#This Row],[Highest Price]]-TABLE1[[#This Row],[Entry Price]])/(TABLE1[[#This Row],[Intended Entry]]-TABLE1[[#This Row],[SL Price]]),(TABLE1[[#This Row],[Entry Price]]-TABLE1[[#This Row],[Lowest Price]])/(TABLE1[[#This Row],[SL Price]]-TABLE1[[#This Row],[Intended Entry]]))</f>
        <v>0.3333333333333432</v>
      </c>
      <c r="AN68" s="25">
        <f>IF(TABLE1[[#This Row],[Buy/Sell]]="BUY",(TABLE1[[#This Row],[Entry Price]]-TABLE1[[#This Row],[Lowest Price]])/(TABLE1[[#This Row],[SL Price]]-TABLE1[[#This Row],[Intended Entry]]),(TABLE1[[#This Row],[Entry Price]]-TABLE1[[#This Row],[Highest Price]])/(TABLE1[[#This Row],[SL Price]]-TABLE1[[#This Row],[Intended Entry]]))</f>
        <v>-2.0000000000000147</v>
      </c>
      <c r="AO68" s="5" t="str">
        <f>IF(TABLE1[[#This Row],[Gain/Loss]]&lt;0, "LOSER", "WINNER")</f>
        <v>LOSER</v>
      </c>
      <c r="AP68" s="5">
        <f>TABLE1[[#This Row],[Gain/Loss]]-TABLE1[[#This Row],[Comissions]]</f>
        <v>-19.46</v>
      </c>
      <c r="AQ68" s="4">
        <f>TABLE1[[#This Row],[Exit Time]]-TABLE1[[#This Row],[Entry Time]]</f>
        <v>4.8611111111110938E-3</v>
      </c>
      <c r="AR68" s="21">
        <f>IF(TABLE1[[#This Row],[Retest Price]]&lt;&gt;FALSE,ROUND((TABLE1[[#This Row],[Retest Price]]-TABLE1[[#This Row],[Entry Price]])/(TABLE1[[#This Row],[Intended Entry]]-TABLE1[[#This Row],[SL Price]]),4), "FALSE")</f>
        <v>-2</v>
      </c>
      <c r="AS68" s="5">
        <f>TABLE1[[#This Row],[Net Gain/Loss]]+AS67</f>
        <v>-310.04400000000004</v>
      </c>
      <c r="AT68" s="5">
        <f>IF(TABLE1[[#This Row],[Potential Price Before BE]]=FALSE,"FALSE",( TABLE1[[#This Row],[Potential Price Before BE]]-TABLE1[[#This Row],[Intended Entry]])/(TABLE1[[#This Row],[Intended Entry]]-TABLE1[[#This Row],[SL Price]]))</f>
        <v>0.3333333333333432</v>
      </c>
      <c r="AU68" s="5">
        <f>(IF(TABLE1[[#This Row],[Buy/Sell]]="BUY",(TABLE1[[#This Row],[Entry Price]]-TABLE1[[#This Row],[SL Price]])/(TABLE1[[#This Row],[Intended Entry]]-TABLE1[[#This Row],[SL Price]]),(TABLE1[[#This Row],[SL Price]]-TABLE1[[#This Row],[Entry Price]])/(TABLE1[[#This Row],[SL Price]]-TABLE1[[#This Row],[Intended Entry]])))-1</f>
        <v>0</v>
      </c>
      <c r="AV68"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0.93333333333334023</v>
      </c>
      <c r="AW68" s="21">
        <f>TABLE1[[#This Row],[Missed RRR on Entry]]+TABLE1[[#This Row],[Missed RRR on Exit]]</f>
        <v>0.93333333333334023</v>
      </c>
      <c r="AX68" s="21">
        <f>ROUND((TABLE1[[#This Row],[Potential Price]]-TABLE1[[#This Row],[Entry Price]])/(TABLE1[[#This Row],[Intended Entry]]-TABLE1[[#This Row],[SL Price]]),4)</f>
        <v>0.33329999999999999</v>
      </c>
      <c r="AY68" s="21">
        <f>ROUND((TABLE1[[#This Row],[Potential Price]]-TABLE1[[#This Row],[Intended Entry]])/(TABLE1[[#This Row],[Intended Entry]]-TABLE1[[#This Row],[SL Price]]),4)</f>
        <v>0.33329999999999999</v>
      </c>
      <c r="AZ68" s="21">
        <f>TABLE1[[#This Row],[RRR Potential]]-TABLE1[[#This Row],[RRR Realized]]</f>
        <v>2.2665999999999999</v>
      </c>
      <c r="BA68" s="29">
        <f>ROUND((TABLE1[[#This Row],[Exit Price]]-TABLE1[[#This Row],[Entry Price]])/(TABLE1[[#This Row],[Intended Entry]]-TABLE1[[#This Row],[SL Price]]),4)</f>
        <v>-1.9333</v>
      </c>
      <c r="BB68"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-1.9333</v>
      </c>
      <c r="BC68"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-1.9333</v>
      </c>
      <c r="BD68"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-1.9333</v>
      </c>
      <c r="BE68"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-1.9333</v>
      </c>
      <c r="BF68"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-1.9333</v>
      </c>
      <c r="BG68"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-1.9333</v>
      </c>
      <c r="BH68"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-1.9333</v>
      </c>
      <c r="BI68"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-1.9333</v>
      </c>
      <c r="BJ68"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-1.9333</v>
      </c>
      <c r="BK68"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-1.9333</v>
      </c>
      <c r="BL68"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-1.9333</v>
      </c>
      <c r="BM68"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-1.9333</v>
      </c>
      <c r="BN68"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-1.9333</v>
      </c>
      <c r="BO68"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-1.9333</v>
      </c>
      <c r="BP68"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-1.9333</v>
      </c>
      <c r="BQ68"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-1.9333</v>
      </c>
      <c r="BR68"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-1.9333</v>
      </c>
      <c r="BS68"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-1.9333</v>
      </c>
      <c r="BT68"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-1.9333</v>
      </c>
      <c r="BU68"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-1.9333</v>
      </c>
      <c r="BV68"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-1.9333</v>
      </c>
      <c r="BW68"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-1.9333</v>
      </c>
      <c r="BX68"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-1.9333</v>
      </c>
      <c r="BY68"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-1.9333</v>
      </c>
      <c r="BZ68" s="24">
        <f>IF( TABLE1[[#This Row],[Wick Exit]]&lt;&gt; FALSE,TABLE1[[#This Row],[RRR Wick Exit]],IF(TABLE1[[#This Row],[Volume Exit]]&lt;&gt; FALSE,TABLE1[[#This Row],[RRR Volume Exit]],TABLE1[[#This Row],[RRR Realized]]))</f>
        <v>-1.9333</v>
      </c>
      <c r="CA68"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-1.9333</v>
      </c>
      <c r="CB68"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-1.9333</v>
      </c>
      <c r="CC68"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-1.9333</v>
      </c>
      <c r="CD68"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-1.9333</v>
      </c>
    </row>
    <row r="69" spans="1:82" x14ac:dyDescent="0.25">
      <c r="A69" t="s">
        <v>357</v>
      </c>
      <c r="B69">
        <v>68</v>
      </c>
      <c r="C69" s="2">
        <v>43518</v>
      </c>
      <c r="D69" s="1">
        <v>0.42222222222222222</v>
      </c>
      <c r="E69" s="1">
        <v>0.43541666666666662</v>
      </c>
      <c r="F69" s="5">
        <v>2.0299999999999998</v>
      </c>
      <c r="G69" s="5">
        <f>-19.26</f>
        <v>-19.260000000000002</v>
      </c>
      <c r="H69" s="17">
        <v>150</v>
      </c>
      <c r="I69" t="s">
        <v>19</v>
      </c>
      <c r="J69" t="s">
        <v>22</v>
      </c>
      <c r="K69">
        <v>5.53</v>
      </c>
      <c r="L69">
        <v>5.5380000000000003</v>
      </c>
      <c r="M69">
        <v>5.47</v>
      </c>
      <c r="N69">
        <v>5.71</v>
      </c>
      <c r="O69">
        <v>5.4109999999999996</v>
      </c>
      <c r="P69">
        <v>5.59</v>
      </c>
      <c r="Q69">
        <v>5.41</v>
      </c>
      <c r="R69">
        <v>5.59</v>
      </c>
      <c r="S69">
        <v>5.59</v>
      </c>
      <c r="T69" t="b">
        <v>0</v>
      </c>
      <c r="U69" t="b">
        <v>0</v>
      </c>
      <c r="V69" t="b">
        <v>0</v>
      </c>
      <c r="W69" t="b">
        <v>0</v>
      </c>
      <c r="X69" t="b">
        <v>0</v>
      </c>
      <c r="AA69" t="b">
        <v>0</v>
      </c>
      <c r="AD69" t="b">
        <v>0</v>
      </c>
      <c r="AE69" t="s">
        <v>25</v>
      </c>
      <c r="AF69" t="s">
        <v>29</v>
      </c>
      <c r="AG69" t="s">
        <v>35</v>
      </c>
      <c r="AH69">
        <v>172</v>
      </c>
      <c r="AI69" t="s">
        <v>431</v>
      </c>
      <c r="AJ69" t="s">
        <v>169</v>
      </c>
      <c r="AK69" s="26" t="s">
        <v>358</v>
      </c>
      <c r="AL69" s="22">
        <f>(TABLE1[[#This Row],[TP Price]]-TABLE1[[#This Row],[Intended Entry]])/(TABLE1[[#This Row],[Intended Entry]]-TABLE1[[#This Row],[SL Price]])</f>
        <v>2.9999999999999702</v>
      </c>
      <c r="AM69" s="24">
        <f>IF(TABLE1[[#This Row],[Buy/Sell]]="BUY",(TABLE1[[#This Row],[Highest Price]]-TABLE1[[#This Row],[Entry Price]])/(TABLE1[[#This Row],[Intended Entry]]-TABLE1[[#This Row],[SL Price]]),(TABLE1[[#This Row],[Entry Price]]-TABLE1[[#This Row],[Lowest Price]])/(TABLE1[[#This Row],[SL Price]]-TABLE1[[#This Row],[Intended Entry]]))</f>
        <v>0.86666666666665282</v>
      </c>
      <c r="AN69" s="25">
        <f>IF(TABLE1[[#This Row],[Buy/Sell]]="BUY",(TABLE1[[#This Row],[Entry Price]]-TABLE1[[#This Row],[Lowest Price]])/(TABLE1[[#This Row],[SL Price]]-TABLE1[[#This Row],[Intended Entry]]),(TABLE1[[#This Row],[Entry Price]]-TABLE1[[#This Row],[Highest Price]])/(TABLE1[[#This Row],[SL Price]]-TABLE1[[#This Row],[Intended Entry]]))</f>
        <v>-2.1333333333333178</v>
      </c>
      <c r="AO69" s="5" t="str">
        <f>IF(TABLE1[[#This Row],[Gain/Loss]]&lt;0, "LOSER", "WINNER")</f>
        <v>LOSER</v>
      </c>
      <c r="AP69" s="5">
        <f>TABLE1[[#This Row],[Gain/Loss]]-TABLE1[[#This Row],[Comissions]]</f>
        <v>-21.290000000000003</v>
      </c>
      <c r="AQ69" s="4">
        <f>TABLE1[[#This Row],[Exit Time]]-TABLE1[[#This Row],[Entry Time]]</f>
        <v>1.3194444444444398E-2</v>
      </c>
      <c r="AR69" s="21" t="str">
        <f>IF(TABLE1[[#This Row],[Retest Price]]&lt;&gt;FALSE,ROUND((TABLE1[[#This Row],[Retest Price]]-TABLE1[[#This Row],[Entry Price]])/(TABLE1[[#This Row],[Intended Entry]]-TABLE1[[#This Row],[SL Price]]),4), "FALSE")</f>
        <v>FALSE</v>
      </c>
      <c r="AS69" s="5">
        <f>TABLE1[[#This Row],[Net Gain/Loss]]+AS68</f>
        <v>-331.33400000000006</v>
      </c>
      <c r="AT69" s="5">
        <f>IF(TABLE1[[#This Row],[Potential Price Before BE]]=FALSE,"FALSE",( TABLE1[[#This Row],[Potential Price Before BE]]-TABLE1[[#This Row],[Intended Entry]])/(TABLE1[[#This Row],[Intended Entry]]-TABLE1[[#This Row],[SL Price]]))</f>
        <v>0.99999999999998523</v>
      </c>
      <c r="AU69" s="5">
        <f>(IF(TABLE1[[#This Row],[Buy/Sell]]="BUY",(TABLE1[[#This Row],[Entry Price]]-TABLE1[[#This Row],[SL Price]])/(TABLE1[[#This Row],[Intended Entry]]-TABLE1[[#This Row],[SL Price]]),(TABLE1[[#This Row],[SL Price]]-TABLE1[[#This Row],[Entry Price]])/(TABLE1[[#This Row],[SL Price]]-TABLE1[[#This Row],[Intended Entry]])))-1</f>
        <v>0.13333333333333242</v>
      </c>
      <c r="AV69"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0.98333333333332795</v>
      </c>
      <c r="AW69" s="21">
        <f>TABLE1[[#This Row],[Missed RRR on Entry]]+TABLE1[[#This Row],[Missed RRR on Exit]]</f>
        <v>1.1166666666666605</v>
      </c>
      <c r="AX69" s="21">
        <f>ROUND((TABLE1[[#This Row],[Potential Price]]-TABLE1[[#This Row],[Entry Price]])/(TABLE1[[#This Row],[Intended Entry]]-TABLE1[[#This Row],[SL Price]]),4)</f>
        <v>0.86670000000000003</v>
      </c>
      <c r="AY69" s="21">
        <f>ROUND((TABLE1[[#This Row],[Potential Price]]-TABLE1[[#This Row],[Intended Entry]])/(TABLE1[[#This Row],[Intended Entry]]-TABLE1[[#This Row],[SL Price]]),4)</f>
        <v>1</v>
      </c>
      <c r="AZ69" s="21">
        <f>TABLE1[[#This Row],[RRR Potential]]-TABLE1[[#This Row],[RRR Realized]]</f>
        <v>2.9833999999999996</v>
      </c>
      <c r="BA69" s="29">
        <f>ROUND((TABLE1[[#This Row],[Exit Price]]-TABLE1[[#This Row],[Entry Price]])/(TABLE1[[#This Row],[Intended Entry]]-TABLE1[[#This Row],[SL Price]]),4)</f>
        <v>-2.1166999999999998</v>
      </c>
      <c r="BB69"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-2.1166999999999998</v>
      </c>
      <c r="BC69"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-2.1166999999999998</v>
      </c>
      <c r="BD69"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-2.1166999999999998</v>
      </c>
      <c r="BE69"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-2.1166999999999998</v>
      </c>
      <c r="BF69"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-2.1166999999999998</v>
      </c>
      <c r="BG69"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-2.1166999999999998</v>
      </c>
      <c r="BH69"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-2.1166999999999998</v>
      </c>
      <c r="BI69"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-2.1166999999999998</v>
      </c>
      <c r="BJ69"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-2.1166999999999998</v>
      </c>
      <c r="BK69"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-2.1166999999999998</v>
      </c>
      <c r="BL69"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-2.1166999999999998</v>
      </c>
      <c r="BM69"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-2.1166999999999998</v>
      </c>
      <c r="BN69"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-2.1166999999999998</v>
      </c>
      <c r="BO69"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-2.1166999999999998</v>
      </c>
      <c r="BP69"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-2.1166999999999998</v>
      </c>
      <c r="BQ69"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-2.1166999999999998</v>
      </c>
      <c r="BR69"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-2.1166999999999998</v>
      </c>
      <c r="BS69"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-2.1166999999999998</v>
      </c>
      <c r="BT69"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-2.1166999999999998</v>
      </c>
      <c r="BU69"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-2.1166999999999998</v>
      </c>
      <c r="BV69"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-2.1166999999999998</v>
      </c>
      <c r="BW69"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-2.1166999999999998</v>
      </c>
      <c r="BX69"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-2.1166999999999998</v>
      </c>
      <c r="BY69"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-2.1166999999999998</v>
      </c>
      <c r="BZ69" s="24">
        <f>IF( TABLE1[[#This Row],[Wick Exit]]&lt;&gt; FALSE,TABLE1[[#This Row],[RRR Wick Exit]],IF(TABLE1[[#This Row],[Volume Exit]]&lt;&gt; FALSE,TABLE1[[#This Row],[RRR Volume Exit]],TABLE1[[#This Row],[RRR Realized]]))</f>
        <v>-2.1166999999999998</v>
      </c>
      <c r="CA69"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-2.1166999999999998</v>
      </c>
      <c r="CB69"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-2.1166999999999998</v>
      </c>
      <c r="CC69"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-2.1166999999999998</v>
      </c>
      <c r="CD69"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-2.1166999999999998</v>
      </c>
    </row>
    <row r="70" spans="1:82" x14ac:dyDescent="0.25">
      <c r="A70" t="s">
        <v>359</v>
      </c>
      <c r="B70">
        <v>69</v>
      </c>
      <c r="C70" s="2">
        <v>43518</v>
      </c>
      <c r="D70" s="1">
        <v>0.43333333333333335</v>
      </c>
      <c r="E70" s="1">
        <v>0.44027777777777777</v>
      </c>
      <c r="F70" s="5">
        <v>2.5499999999999998</v>
      </c>
      <c r="G70" s="5">
        <f>-22.07</f>
        <v>-22.07</v>
      </c>
      <c r="H70" s="17">
        <v>250</v>
      </c>
      <c r="I70" t="s">
        <v>19</v>
      </c>
      <c r="J70" t="s">
        <v>22</v>
      </c>
      <c r="K70">
        <v>5.35</v>
      </c>
      <c r="L70">
        <v>5.3479999999999999</v>
      </c>
      <c r="M70">
        <v>5.31</v>
      </c>
      <c r="N70">
        <v>5.47</v>
      </c>
      <c r="O70">
        <v>5.2610000000000001</v>
      </c>
      <c r="P70">
        <v>5.35</v>
      </c>
      <c r="Q70">
        <v>5.2610000000000001</v>
      </c>
      <c r="R70">
        <v>5.35</v>
      </c>
      <c r="S70">
        <v>5.35</v>
      </c>
      <c r="T70" t="b">
        <v>0</v>
      </c>
      <c r="U70" t="b">
        <v>0</v>
      </c>
      <c r="V70" t="b">
        <v>0</v>
      </c>
      <c r="W70" t="b">
        <v>0</v>
      </c>
      <c r="X70" t="b">
        <v>0</v>
      </c>
      <c r="AA70" t="b">
        <v>0</v>
      </c>
      <c r="AD70" t="b">
        <v>0</v>
      </c>
      <c r="AE70" t="s">
        <v>25</v>
      </c>
      <c r="AF70" t="s">
        <v>29</v>
      </c>
      <c r="AG70" t="s">
        <v>34</v>
      </c>
      <c r="AH70">
        <v>198</v>
      </c>
      <c r="AI70" t="s">
        <v>433</v>
      </c>
      <c r="AK70" s="26" t="s">
        <v>360</v>
      </c>
      <c r="AL70" s="22">
        <f>(TABLE1[[#This Row],[TP Price]]-TABLE1[[#This Row],[Intended Entry]])/(TABLE1[[#This Row],[Intended Entry]]-TABLE1[[#This Row],[SL Price]])</f>
        <v>3</v>
      </c>
      <c r="AM70" s="24">
        <f>IF(TABLE1[[#This Row],[Buy/Sell]]="BUY",(TABLE1[[#This Row],[Highest Price]]-TABLE1[[#This Row],[Entry Price]])/(TABLE1[[#This Row],[Intended Entry]]-TABLE1[[#This Row],[SL Price]]),(TABLE1[[#This Row],[Entry Price]]-TABLE1[[#This Row],[Lowest Price]])/(TABLE1[[#This Row],[SL Price]]-TABLE1[[#This Row],[Intended Entry]]))</f>
        <v>4.9999999999994452E-2</v>
      </c>
      <c r="AN70" s="25">
        <f>IF(TABLE1[[#This Row],[Buy/Sell]]="BUY",(TABLE1[[#This Row],[Entry Price]]-TABLE1[[#This Row],[Lowest Price]])/(TABLE1[[#This Row],[SL Price]]-TABLE1[[#This Row],[Intended Entry]]),(TABLE1[[#This Row],[Entry Price]]-TABLE1[[#This Row],[Highest Price]])/(TABLE1[[#This Row],[SL Price]]-TABLE1[[#This Row],[Intended Entry]]))</f>
        <v>-2.1749999999999918</v>
      </c>
      <c r="AO70" s="5" t="str">
        <f>IF(TABLE1[[#This Row],[Gain/Loss]]&lt;0, "LOSER", "WINNER")</f>
        <v>LOSER</v>
      </c>
      <c r="AP70" s="5">
        <f>TABLE1[[#This Row],[Gain/Loss]]-TABLE1[[#This Row],[Comissions]]</f>
        <v>-24.62</v>
      </c>
      <c r="AQ70" s="4">
        <f>TABLE1[[#This Row],[Exit Time]]-TABLE1[[#This Row],[Entry Time]]</f>
        <v>6.9444444444444198E-3</v>
      </c>
      <c r="AR70" s="21" t="str">
        <f>IF(TABLE1[[#This Row],[Retest Price]]&lt;&gt;FALSE,ROUND((TABLE1[[#This Row],[Retest Price]]-TABLE1[[#This Row],[Entry Price]])/(TABLE1[[#This Row],[Intended Entry]]-TABLE1[[#This Row],[SL Price]]),4), "FALSE")</f>
        <v>FALSE</v>
      </c>
      <c r="AS70" s="5">
        <f>TABLE1[[#This Row],[Net Gain/Loss]]+AS69</f>
        <v>-355.95400000000006</v>
      </c>
      <c r="AT70" s="5">
        <f>IF(TABLE1[[#This Row],[Potential Price Before BE]]=FALSE,"FALSE",( TABLE1[[#This Row],[Potential Price Before BE]]-TABLE1[[#This Row],[Intended Entry]])/(TABLE1[[#This Row],[Intended Entry]]-TABLE1[[#This Row],[SL Price]]))</f>
        <v>0</v>
      </c>
      <c r="AU70" s="5">
        <f>(IF(TABLE1[[#This Row],[Buy/Sell]]="BUY",(TABLE1[[#This Row],[Entry Price]]-TABLE1[[#This Row],[SL Price]])/(TABLE1[[#This Row],[Intended Entry]]-TABLE1[[#This Row],[SL Price]]),(TABLE1[[#This Row],[SL Price]]-TABLE1[[#This Row],[Entry Price]])/(TABLE1[[#This Row],[SL Price]]-TABLE1[[#This Row],[Intended Entry]])))-1</f>
        <v>-4.9999999999994493E-2</v>
      </c>
      <c r="AV70"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1.2249999999999861</v>
      </c>
      <c r="AW70" s="21">
        <f>TABLE1[[#This Row],[Missed RRR on Entry]]+TABLE1[[#This Row],[Missed RRR on Exit]]</f>
        <v>1.1749999999999916</v>
      </c>
      <c r="AX70" s="21">
        <f>ROUND((TABLE1[[#This Row],[Potential Price]]-TABLE1[[#This Row],[Entry Price]])/(TABLE1[[#This Row],[Intended Entry]]-TABLE1[[#This Row],[SL Price]]),4)</f>
        <v>0.05</v>
      </c>
      <c r="AY70" s="21">
        <f>ROUND((TABLE1[[#This Row],[Potential Price]]-TABLE1[[#This Row],[Intended Entry]])/(TABLE1[[#This Row],[Intended Entry]]-TABLE1[[#This Row],[SL Price]]),4)</f>
        <v>0</v>
      </c>
      <c r="AZ70" s="21">
        <f>TABLE1[[#This Row],[RRR Potential]]-TABLE1[[#This Row],[RRR Realized]]</f>
        <v>2.2249999999999996</v>
      </c>
      <c r="BA70" s="29">
        <f>ROUND((TABLE1[[#This Row],[Exit Price]]-TABLE1[[#This Row],[Entry Price]])/(TABLE1[[#This Row],[Intended Entry]]-TABLE1[[#This Row],[SL Price]]),4)</f>
        <v>-2.1749999999999998</v>
      </c>
      <c r="BB70"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-2.1749999999999998</v>
      </c>
      <c r="BC70"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-2.1749999999999998</v>
      </c>
      <c r="BD70"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-2.1749999999999998</v>
      </c>
      <c r="BE70"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-2.1749999999999998</v>
      </c>
      <c r="BF70"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-2.1749999999999998</v>
      </c>
      <c r="BG70"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-2.1749999999999998</v>
      </c>
      <c r="BH70"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-2.1749999999999998</v>
      </c>
      <c r="BI70"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-2.1749999999999998</v>
      </c>
      <c r="BJ70"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-2.1749999999999998</v>
      </c>
      <c r="BK70"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-2.1749999999999998</v>
      </c>
      <c r="BL70"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-2.1749999999999998</v>
      </c>
      <c r="BM70"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-2.1749999999999998</v>
      </c>
      <c r="BN70"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-2.1749999999999998</v>
      </c>
      <c r="BO70"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-2.1749999999999998</v>
      </c>
      <c r="BP70"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-2.1749999999999998</v>
      </c>
      <c r="BQ70"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-2.1749999999999998</v>
      </c>
      <c r="BR70"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-2.1749999999999998</v>
      </c>
      <c r="BS70"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-2.1749999999999998</v>
      </c>
      <c r="BT70"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-2.1749999999999998</v>
      </c>
      <c r="BU70"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-2.1749999999999998</v>
      </c>
      <c r="BV70"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-2.1749999999999998</v>
      </c>
      <c r="BW70"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-2.1749999999999998</v>
      </c>
      <c r="BX70"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-2.1749999999999998</v>
      </c>
      <c r="BY70"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-2.1749999999999998</v>
      </c>
      <c r="BZ70" s="24">
        <f>IF( TABLE1[[#This Row],[Wick Exit]]&lt;&gt; FALSE,TABLE1[[#This Row],[RRR Wick Exit]],IF(TABLE1[[#This Row],[Volume Exit]]&lt;&gt; FALSE,TABLE1[[#This Row],[RRR Volume Exit]],TABLE1[[#This Row],[RRR Realized]]))</f>
        <v>-2.1749999999999998</v>
      </c>
      <c r="CA70"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-2.1749999999999998</v>
      </c>
      <c r="CB70"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-2.1749999999999998</v>
      </c>
      <c r="CC70"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-2.1749999999999998</v>
      </c>
      <c r="CD70"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-2.1749999999999998</v>
      </c>
    </row>
    <row r="71" spans="1:82" x14ac:dyDescent="0.25">
      <c r="A71" t="s">
        <v>361</v>
      </c>
      <c r="B71">
        <v>70</v>
      </c>
      <c r="C71" s="2">
        <v>43521</v>
      </c>
      <c r="D71" s="1">
        <v>0.4145833333333333</v>
      </c>
      <c r="E71" s="1">
        <v>0.41805555555555557</v>
      </c>
      <c r="F71" s="5">
        <v>2.02</v>
      </c>
      <c r="G71" s="5">
        <v>27.72</v>
      </c>
      <c r="H71" s="17">
        <v>150</v>
      </c>
      <c r="I71" t="s">
        <v>19</v>
      </c>
      <c r="J71" t="s">
        <v>22</v>
      </c>
      <c r="K71">
        <v>2.06</v>
      </c>
      <c r="L71">
        <v>2.0550000000000002</v>
      </c>
      <c r="M71">
        <v>2</v>
      </c>
      <c r="N71">
        <v>2.2400000000000002</v>
      </c>
      <c r="O71">
        <v>2.2400000000000002</v>
      </c>
      <c r="P71">
        <v>2.2400000000000002</v>
      </c>
      <c r="Q71">
        <v>2.04</v>
      </c>
      <c r="R71" t="b">
        <v>0</v>
      </c>
      <c r="S71">
        <v>2.99</v>
      </c>
      <c r="T71" t="b">
        <v>0</v>
      </c>
      <c r="U71" t="b">
        <v>0</v>
      </c>
      <c r="V71" t="b">
        <v>1</v>
      </c>
      <c r="X71">
        <v>2.4500000000000002</v>
      </c>
      <c r="Y71">
        <v>5</v>
      </c>
      <c r="Z71" t="b">
        <v>0</v>
      </c>
      <c r="AA71">
        <v>2.77</v>
      </c>
      <c r="AB71">
        <v>5</v>
      </c>
      <c r="AC71" t="b">
        <v>0</v>
      </c>
      <c r="AD71" t="b">
        <v>0</v>
      </c>
      <c r="AE71" t="s">
        <v>26</v>
      </c>
      <c r="AF71" t="s">
        <v>29</v>
      </c>
      <c r="AG71" t="s">
        <v>40</v>
      </c>
      <c r="AH71">
        <v>5.77</v>
      </c>
      <c r="AI71" t="s">
        <v>432</v>
      </c>
      <c r="AJ71" t="s">
        <v>163</v>
      </c>
      <c r="AK71" s="26" t="s">
        <v>362</v>
      </c>
      <c r="AL71" s="22">
        <f>(TABLE1[[#This Row],[TP Price]]-TABLE1[[#This Row],[Intended Entry]])/(TABLE1[[#This Row],[Intended Entry]]-TABLE1[[#This Row],[SL Price]])</f>
        <v>3</v>
      </c>
      <c r="AM71" s="24">
        <f>IF(TABLE1[[#This Row],[Buy/Sell]]="BUY",(TABLE1[[#This Row],[Highest Price]]-TABLE1[[#This Row],[Entry Price]])/(TABLE1[[#This Row],[Intended Entry]]-TABLE1[[#This Row],[SL Price]]),(TABLE1[[#This Row],[Entry Price]]-TABLE1[[#This Row],[Lowest Price]])/(TABLE1[[#This Row],[SL Price]]-TABLE1[[#This Row],[Intended Entry]]))</f>
        <v>3.0833333333333317</v>
      </c>
      <c r="AN71" s="25">
        <f>IF(TABLE1[[#This Row],[Buy/Sell]]="BUY",(TABLE1[[#This Row],[Entry Price]]-TABLE1[[#This Row],[Lowest Price]])/(TABLE1[[#This Row],[SL Price]]-TABLE1[[#This Row],[Intended Entry]]),(TABLE1[[#This Row],[Entry Price]]-TABLE1[[#This Row],[Highest Price]])/(TABLE1[[#This Row],[SL Price]]-TABLE1[[#This Row],[Intended Entry]]))</f>
        <v>-0.25000000000000183</v>
      </c>
      <c r="AO71" s="5" t="str">
        <f>IF(TABLE1[[#This Row],[Gain/Loss]]&lt;0, "LOSER", "WINNER")</f>
        <v>WINNER</v>
      </c>
      <c r="AP71" s="5">
        <f>TABLE1[[#This Row],[Gain/Loss]]-TABLE1[[#This Row],[Comissions]]</f>
        <v>25.7</v>
      </c>
      <c r="AQ71" s="4">
        <f>TABLE1[[#This Row],[Exit Time]]-TABLE1[[#This Row],[Entry Time]]</f>
        <v>3.4722222222222654E-3</v>
      </c>
      <c r="AR71" s="21" t="str">
        <f>IF(TABLE1[[#This Row],[Retest Price]]&lt;&gt;FALSE,ROUND((TABLE1[[#This Row],[Retest Price]]-TABLE1[[#This Row],[Entry Price]])/(TABLE1[[#This Row],[Intended Entry]]-TABLE1[[#This Row],[SL Price]]),4), "FALSE")</f>
        <v>FALSE</v>
      </c>
      <c r="AS71" s="5">
        <f>TABLE1[[#This Row],[Net Gain/Loss]]+AS70</f>
        <v>-330.25400000000008</v>
      </c>
      <c r="AT71" s="5" t="str">
        <f>IF(TABLE1[[#This Row],[Potential Price Before BE]]=FALSE,"FALSE",( TABLE1[[#This Row],[Potential Price Before BE]]-TABLE1[[#This Row],[Intended Entry]])/(TABLE1[[#This Row],[Intended Entry]]-TABLE1[[#This Row],[SL Price]]))</f>
        <v>FALSE</v>
      </c>
      <c r="AU71" s="5">
        <f>(IF(TABLE1[[#This Row],[Buy/Sell]]="BUY",(TABLE1[[#This Row],[Entry Price]]-TABLE1[[#This Row],[SL Price]])/(TABLE1[[#This Row],[Intended Entry]]-TABLE1[[#This Row],[SL Price]]),(TABLE1[[#This Row],[SL Price]]-TABLE1[[#This Row],[Entry Price]])/(TABLE1[[#This Row],[SL Price]]-TABLE1[[#This Row],[Intended Entry]])))-1</f>
        <v>-8.3333333333331483E-2</v>
      </c>
      <c r="AV71"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W71" s="21">
        <f>TABLE1[[#This Row],[Missed RRR on Entry]]+TABLE1[[#This Row],[Missed RRR on Exit]]</f>
        <v>-8.3333333333331483E-2</v>
      </c>
      <c r="AX71" s="21">
        <f>ROUND((TABLE1[[#This Row],[Potential Price]]-TABLE1[[#This Row],[Entry Price]])/(TABLE1[[#This Row],[Intended Entry]]-TABLE1[[#This Row],[SL Price]]),4)</f>
        <v>15.583299999999999</v>
      </c>
      <c r="AY71" s="21">
        <f>ROUND((TABLE1[[#This Row],[Potential Price]]-TABLE1[[#This Row],[Intended Entry]])/(TABLE1[[#This Row],[Intended Entry]]-TABLE1[[#This Row],[SL Price]]),4)</f>
        <v>15.5</v>
      </c>
      <c r="AZ71" s="21">
        <f>TABLE1[[#This Row],[RRR Potential]]-TABLE1[[#This Row],[RRR Realized]]</f>
        <v>12.5</v>
      </c>
      <c r="BA71" s="29">
        <f>ROUND((TABLE1[[#This Row],[Exit Price]]-TABLE1[[#This Row],[Entry Price]])/(TABLE1[[#This Row],[Intended Entry]]-TABLE1[[#This Row],[SL Price]]),4)</f>
        <v>3.0832999999999999</v>
      </c>
      <c r="BB71"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5.0833333333333313</v>
      </c>
      <c r="BC71"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5.0833333333333313</v>
      </c>
      <c r="BD71"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5.0833333333333313</v>
      </c>
      <c r="BE71"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5.0833333333333313</v>
      </c>
      <c r="BF71"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5.0833333333333313</v>
      </c>
      <c r="BG71"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5.0833333333333313</v>
      </c>
      <c r="BH71"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5.0833333333333313</v>
      </c>
      <c r="BI71"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5.0833333333333313</v>
      </c>
      <c r="BJ71"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5.0833333333333313</v>
      </c>
      <c r="BK71"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5.0833333333333313</v>
      </c>
      <c r="BL71"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5.0833333333333313</v>
      </c>
      <c r="BM71"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5.0833333333333313</v>
      </c>
      <c r="BN71"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5.0833333333333313</v>
      </c>
      <c r="BO71"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5.0833333333333313</v>
      </c>
      <c r="BP71"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5.0833333333333313</v>
      </c>
      <c r="BQ71"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5.0833333333333313</v>
      </c>
      <c r="BR71"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5.0833333333333313</v>
      </c>
      <c r="BS71"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5.0833333333333313</v>
      </c>
      <c r="BT71"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5.0833333333333313</v>
      </c>
      <c r="BU71"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5.0833333333333313</v>
      </c>
      <c r="BV71"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5.0833333333333313</v>
      </c>
      <c r="BW71"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6.5833333333333277</v>
      </c>
      <c r="BX71"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6.5833333333333277</v>
      </c>
      <c r="BY71"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6.5833333333333277</v>
      </c>
      <c r="BZ71" s="24">
        <f>IF( TABLE1[[#This Row],[Wick Exit]]&lt;&gt; FALSE,TABLE1[[#This Row],[RRR Wick Exit]],IF(TABLE1[[#This Row],[Volume Exit]]&lt;&gt; FALSE,TABLE1[[#This Row],[RRR Volume Exit]],TABLE1[[#This Row],[RRR Realized]]))</f>
        <v>6.5833333333333277</v>
      </c>
      <c r="CA71"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3.0832999999999999</v>
      </c>
      <c r="CB71"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5.0833333333333313</v>
      </c>
      <c r="CC71"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5.0833333333333313</v>
      </c>
      <c r="CD71"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5.0833333333333313</v>
      </c>
    </row>
    <row r="72" spans="1:82" x14ac:dyDescent="0.25">
      <c r="A72" t="s">
        <v>363</v>
      </c>
      <c r="B72">
        <v>71</v>
      </c>
      <c r="C72" s="2">
        <v>43521</v>
      </c>
      <c r="D72" s="1">
        <v>0.41805555555555557</v>
      </c>
      <c r="E72" s="1">
        <v>0.4236111111111111</v>
      </c>
      <c r="F72" s="5">
        <v>2.54</v>
      </c>
      <c r="G72" s="5">
        <v>27.62</v>
      </c>
      <c r="H72" s="17">
        <v>250</v>
      </c>
      <c r="I72" t="s">
        <v>19</v>
      </c>
      <c r="J72" t="s">
        <v>23</v>
      </c>
      <c r="K72">
        <v>1.75</v>
      </c>
      <c r="L72">
        <v>1.7509999999999999</v>
      </c>
      <c r="M72">
        <v>1.79</v>
      </c>
      <c r="N72">
        <v>1.63</v>
      </c>
      <c r="O72">
        <v>1.63</v>
      </c>
      <c r="P72">
        <v>1.7509999999999999</v>
      </c>
      <c r="Q72">
        <v>1.63</v>
      </c>
      <c r="R72" t="b">
        <v>0</v>
      </c>
      <c r="S72">
        <v>1.51</v>
      </c>
      <c r="T72" t="b">
        <v>0</v>
      </c>
      <c r="U72" t="b">
        <v>0</v>
      </c>
      <c r="V72" t="b">
        <v>1</v>
      </c>
      <c r="X72">
        <v>1.52</v>
      </c>
      <c r="Y72">
        <v>5</v>
      </c>
      <c r="Z72" t="b">
        <v>0</v>
      </c>
      <c r="AA72">
        <v>1.52</v>
      </c>
      <c r="AB72">
        <v>5</v>
      </c>
      <c r="AC72" t="b">
        <v>0</v>
      </c>
      <c r="AD72" t="b">
        <v>0</v>
      </c>
      <c r="AE72" t="s">
        <v>26</v>
      </c>
      <c r="AF72" t="s">
        <v>29</v>
      </c>
      <c r="AG72" t="s">
        <v>34</v>
      </c>
      <c r="AH72">
        <v>24.71</v>
      </c>
      <c r="AI72" t="s">
        <v>52</v>
      </c>
      <c r="AJ72" t="s">
        <v>163</v>
      </c>
      <c r="AK72" s="26" t="s">
        <v>364</v>
      </c>
      <c r="AL72" s="22">
        <f>(TABLE1[[#This Row],[TP Price]]-TABLE1[[#This Row],[Intended Entry]])/(TABLE1[[#This Row],[Intended Entry]]-TABLE1[[#This Row],[SL Price]])</f>
        <v>3</v>
      </c>
      <c r="AM72" s="24">
        <f>IF(TABLE1[[#This Row],[Buy/Sell]]="BUY",(TABLE1[[#This Row],[Highest Price]]-TABLE1[[#This Row],[Entry Price]])/(TABLE1[[#This Row],[Intended Entry]]-TABLE1[[#This Row],[SL Price]]),(TABLE1[[#This Row],[Entry Price]]-TABLE1[[#This Row],[Lowest Price]])/(TABLE1[[#This Row],[SL Price]]-TABLE1[[#This Row],[Intended Entry]]))</f>
        <v>3.0249999999999972</v>
      </c>
      <c r="AN72" s="25">
        <f>IF(TABLE1[[#This Row],[Buy/Sell]]="BUY",(TABLE1[[#This Row],[Entry Price]]-TABLE1[[#This Row],[Lowest Price]])/(TABLE1[[#This Row],[SL Price]]-TABLE1[[#This Row],[Intended Entry]]),(TABLE1[[#This Row],[Entry Price]]-TABLE1[[#This Row],[Highest Price]])/(TABLE1[[#This Row],[SL Price]]-TABLE1[[#This Row],[Intended Entry]]))</f>
        <v>0</v>
      </c>
      <c r="AO72" s="5" t="str">
        <f>IF(TABLE1[[#This Row],[Gain/Loss]]&lt;0, "LOSER", "WINNER")</f>
        <v>WINNER</v>
      </c>
      <c r="AP72" s="5">
        <f>TABLE1[[#This Row],[Gain/Loss]]-TABLE1[[#This Row],[Comissions]]</f>
        <v>25.080000000000002</v>
      </c>
      <c r="AQ72" s="4">
        <f>TABLE1[[#This Row],[Exit Time]]-TABLE1[[#This Row],[Entry Time]]</f>
        <v>5.5555555555555358E-3</v>
      </c>
      <c r="AR72" s="21" t="str">
        <f>IF(TABLE1[[#This Row],[Retest Price]]&lt;&gt;FALSE,ROUND((TABLE1[[#This Row],[Retest Price]]-TABLE1[[#This Row],[Entry Price]])/(TABLE1[[#This Row],[Intended Entry]]-TABLE1[[#This Row],[SL Price]]),4), "FALSE")</f>
        <v>FALSE</v>
      </c>
      <c r="AS72" s="5">
        <f>TABLE1[[#This Row],[Net Gain/Loss]]+AS71</f>
        <v>-305.17400000000009</v>
      </c>
      <c r="AT72" s="5" t="str">
        <f>IF(TABLE1[[#This Row],[Potential Price Before BE]]=FALSE,"FALSE",( TABLE1[[#This Row],[Potential Price Before BE]]-TABLE1[[#This Row],[Intended Entry]])/(TABLE1[[#This Row],[Intended Entry]]-TABLE1[[#This Row],[SL Price]]))</f>
        <v>FALSE</v>
      </c>
      <c r="AU72" s="5">
        <f>(IF(TABLE1[[#This Row],[Buy/Sell]]="BUY",(TABLE1[[#This Row],[Entry Price]]-TABLE1[[#This Row],[SL Price]])/(TABLE1[[#This Row],[Intended Entry]]-TABLE1[[#This Row],[SL Price]]),(TABLE1[[#This Row],[SL Price]]-TABLE1[[#This Row],[Entry Price]])/(TABLE1[[#This Row],[SL Price]]-TABLE1[[#This Row],[Intended Entry]])))-1</f>
        <v>-2.4999999999997247E-2</v>
      </c>
      <c r="AV72"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W72" s="21">
        <f>TABLE1[[#This Row],[Missed RRR on Entry]]+TABLE1[[#This Row],[Missed RRR on Exit]]</f>
        <v>-2.4999999999997247E-2</v>
      </c>
      <c r="AX72" s="21">
        <f>ROUND((TABLE1[[#This Row],[Potential Price]]-TABLE1[[#This Row],[Entry Price]])/(TABLE1[[#This Row],[Intended Entry]]-TABLE1[[#This Row],[SL Price]]),4)</f>
        <v>6.0250000000000004</v>
      </c>
      <c r="AY72" s="21">
        <f>ROUND((TABLE1[[#This Row],[Potential Price]]-TABLE1[[#This Row],[Intended Entry]])/(TABLE1[[#This Row],[Intended Entry]]-TABLE1[[#This Row],[SL Price]]),4)</f>
        <v>6</v>
      </c>
      <c r="AZ72" s="21"/>
      <c r="BA72" s="29">
        <f>ROUND((TABLE1[[#This Row],[Exit Price]]-TABLE1[[#This Row],[Entry Price]])/(TABLE1[[#This Row],[Intended Entry]]-TABLE1[[#This Row],[SL Price]]),4)</f>
        <v>3.0249999999999999</v>
      </c>
      <c r="BB72"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5.0249999999999968</v>
      </c>
      <c r="BC72"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5.0249999999999968</v>
      </c>
      <c r="BD72"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5.0249999999999968</v>
      </c>
      <c r="BE72"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5.0249999999999968</v>
      </c>
      <c r="BF72"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5.0249999999999968</v>
      </c>
      <c r="BG72"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5.0249999999999968</v>
      </c>
      <c r="BH72"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5.0249999999999968</v>
      </c>
      <c r="BI72"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5.0249999999999968</v>
      </c>
      <c r="BJ72"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5.0249999999999968</v>
      </c>
      <c r="BK72"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5.0249999999999968</v>
      </c>
      <c r="BL72"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5.0249999999999968</v>
      </c>
      <c r="BM72"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5.0249999999999968</v>
      </c>
      <c r="BN72"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5.0249999999999968</v>
      </c>
      <c r="BO72"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5.0249999999999968</v>
      </c>
      <c r="BP72"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5.0249999999999968</v>
      </c>
      <c r="BQ72"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5.0249999999999968</v>
      </c>
      <c r="BR72"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5.0249999999999968</v>
      </c>
      <c r="BS72"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5.0249999999999968</v>
      </c>
      <c r="BT72"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5.0249999999999968</v>
      </c>
      <c r="BU72"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5.0249999999999968</v>
      </c>
      <c r="BV72"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5.0249999999999968</v>
      </c>
      <c r="BW72"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-43.774999999999956</v>
      </c>
      <c r="BX72"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5.7749999999999915</v>
      </c>
      <c r="BY72"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5.7749999999999915</v>
      </c>
      <c r="BZ72" s="24">
        <f>IF( TABLE1[[#This Row],[Wick Exit]]&lt;&gt; FALSE,TABLE1[[#This Row],[RRR Wick Exit]],IF(TABLE1[[#This Row],[Volume Exit]]&lt;&gt; FALSE,TABLE1[[#This Row],[RRR Volume Exit]],TABLE1[[#This Row],[RRR Realized]]))</f>
        <v>-43.774999999999956</v>
      </c>
      <c r="CA72"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3.0249999999999999</v>
      </c>
      <c r="CB72"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5.0249999999999968</v>
      </c>
      <c r="CC72"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5.0249999999999968</v>
      </c>
      <c r="CD72"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5.0249999999999968</v>
      </c>
    </row>
    <row r="73" spans="1:82" x14ac:dyDescent="0.25">
      <c r="A73" t="s">
        <v>365</v>
      </c>
      <c r="B73">
        <v>72</v>
      </c>
      <c r="C73" s="2">
        <v>43521</v>
      </c>
      <c r="D73" s="1">
        <v>0.43472222222222223</v>
      </c>
      <c r="E73" s="1">
        <v>0.43888888888888888</v>
      </c>
      <c r="F73" s="5">
        <v>3.06</v>
      </c>
      <c r="G73" s="5">
        <v>-23.55</v>
      </c>
      <c r="H73" s="17">
        <v>300</v>
      </c>
      <c r="I73" t="s">
        <v>19</v>
      </c>
      <c r="J73" t="s">
        <v>22</v>
      </c>
      <c r="K73">
        <v>5.25</v>
      </c>
      <c r="L73">
        <v>5.25</v>
      </c>
      <c r="M73">
        <v>5.2149999999999999</v>
      </c>
      <c r="N73">
        <v>5.38</v>
      </c>
      <c r="O73">
        <v>5.1719999999999997</v>
      </c>
      <c r="P73">
        <v>5.26</v>
      </c>
      <c r="Q73">
        <v>5.1719999999999997</v>
      </c>
      <c r="R73">
        <v>5.26</v>
      </c>
      <c r="S73">
        <v>5.26</v>
      </c>
      <c r="T73" t="b">
        <v>0</v>
      </c>
      <c r="U73" t="b">
        <v>0</v>
      </c>
      <c r="V73" t="b">
        <v>0</v>
      </c>
      <c r="X73" t="b">
        <v>0</v>
      </c>
      <c r="AA73" t="b">
        <v>0</v>
      </c>
      <c r="AD73" t="b">
        <v>0</v>
      </c>
      <c r="AE73" t="s">
        <v>25</v>
      </c>
      <c r="AF73" t="s">
        <v>32</v>
      </c>
      <c r="AG73" t="s">
        <v>40</v>
      </c>
      <c r="AH73">
        <v>3.4</v>
      </c>
      <c r="AI73" t="s">
        <v>435</v>
      </c>
      <c r="AJ73" t="s">
        <v>169</v>
      </c>
      <c r="AK73" s="26" t="s">
        <v>366</v>
      </c>
      <c r="AL73" s="22">
        <f>(TABLE1[[#This Row],[TP Price]]-TABLE1[[#This Row],[Intended Entry]])/(TABLE1[[#This Row],[Intended Entry]]-TABLE1[[#This Row],[SL Price]])</f>
        <v>3.7142857142856962</v>
      </c>
      <c r="AM73" s="24">
        <f>IF(TABLE1[[#This Row],[Buy/Sell]]="BUY",(TABLE1[[#This Row],[Highest Price]]-TABLE1[[#This Row],[Entry Price]])/(TABLE1[[#This Row],[Intended Entry]]-TABLE1[[#This Row],[SL Price]]),(TABLE1[[#This Row],[Entry Price]]-TABLE1[[#This Row],[Lowest Price]])/(TABLE1[[#This Row],[SL Price]]-TABLE1[[#This Row],[Intended Entry]]))</f>
        <v>0.28571428571427848</v>
      </c>
      <c r="AN73" s="25">
        <f>IF(TABLE1[[#This Row],[Buy/Sell]]="BUY",(TABLE1[[#This Row],[Entry Price]]-TABLE1[[#This Row],[Lowest Price]])/(TABLE1[[#This Row],[SL Price]]-TABLE1[[#This Row],[Intended Entry]]),(TABLE1[[#This Row],[Entry Price]]-TABLE1[[#This Row],[Highest Price]])/(TABLE1[[#This Row],[SL Price]]-TABLE1[[#This Row],[Intended Entry]]))</f>
        <v>-2.2285714285714278</v>
      </c>
      <c r="AO73" s="5" t="str">
        <f>IF(TABLE1[[#This Row],[Gain/Loss]]&lt;0, "LOSER", "WINNER")</f>
        <v>LOSER</v>
      </c>
      <c r="AP73" s="5">
        <f>TABLE1[[#This Row],[Gain/Loss]]-TABLE1[[#This Row],[Comissions]]</f>
        <v>-26.61</v>
      </c>
      <c r="AQ73" s="4">
        <f>TABLE1[[#This Row],[Exit Time]]-TABLE1[[#This Row],[Entry Time]]</f>
        <v>4.1666666666666519E-3</v>
      </c>
      <c r="AR73" s="21" t="str">
        <f>IF(TABLE1[[#This Row],[Retest Price]]&lt;&gt;FALSE,ROUND((TABLE1[[#This Row],[Retest Price]]-TABLE1[[#This Row],[Entry Price]])/(TABLE1[[#This Row],[Intended Entry]]-TABLE1[[#This Row],[SL Price]]),4), "FALSE")</f>
        <v>FALSE</v>
      </c>
      <c r="AS73" s="5">
        <f>TABLE1[[#This Row],[Net Gain/Loss]]+AS72</f>
        <v>-331.78400000000011</v>
      </c>
      <c r="AT73" s="5">
        <f>IF(TABLE1[[#This Row],[Potential Price Before BE]]=FALSE,"FALSE",( TABLE1[[#This Row],[Potential Price Before BE]]-TABLE1[[#This Row],[Intended Entry]])/(TABLE1[[#This Row],[Intended Entry]]-TABLE1[[#This Row],[SL Price]]))</f>
        <v>0.28571428571427848</v>
      </c>
      <c r="AU73" s="5">
        <f>(IF(TABLE1[[#This Row],[Buy/Sell]]="BUY",(TABLE1[[#This Row],[Entry Price]]-TABLE1[[#This Row],[SL Price]])/(TABLE1[[#This Row],[Intended Entry]]-TABLE1[[#This Row],[SL Price]]),(TABLE1[[#This Row],[SL Price]]-TABLE1[[#This Row],[Entry Price]])/(TABLE1[[#This Row],[SL Price]]-TABLE1[[#This Row],[Intended Entry]])))-1</f>
        <v>0</v>
      </c>
      <c r="AV73"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1.2285714285714278</v>
      </c>
      <c r="AW73" s="21">
        <f>TABLE1[[#This Row],[Missed RRR on Entry]]+TABLE1[[#This Row],[Missed RRR on Exit]]</f>
        <v>1.2285714285714278</v>
      </c>
      <c r="AX73" s="21">
        <f>ROUND((TABLE1[[#This Row],[Potential Price]]-TABLE1[[#This Row],[Entry Price]])/(TABLE1[[#This Row],[Intended Entry]]-TABLE1[[#This Row],[SL Price]]),4)</f>
        <v>0.28570000000000001</v>
      </c>
      <c r="AY73" s="21">
        <f>ROUND((TABLE1[[#This Row],[Potential Price]]-TABLE1[[#This Row],[Intended Entry]])/(TABLE1[[#This Row],[Intended Entry]]-TABLE1[[#This Row],[SL Price]]),4)</f>
        <v>0.28570000000000001</v>
      </c>
      <c r="AZ73" s="21">
        <f>TABLE1[[#This Row],[RRR Potential]]-TABLE1[[#This Row],[RRR Realized]]</f>
        <v>2.5143</v>
      </c>
      <c r="BA73" s="29">
        <f>ROUND((TABLE1[[#This Row],[Exit Price]]-TABLE1[[#This Row],[Entry Price]])/(TABLE1[[#This Row],[Intended Entry]]-TABLE1[[#This Row],[SL Price]]),4)</f>
        <v>-2.2286000000000001</v>
      </c>
      <c r="BB73"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-2.2286000000000001</v>
      </c>
      <c r="BC73"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-2.2286000000000001</v>
      </c>
      <c r="BD73"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-2.2286000000000001</v>
      </c>
      <c r="BE73"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-2.2286000000000001</v>
      </c>
      <c r="BF73"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-2.2286000000000001</v>
      </c>
      <c r="BG73"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-2.2286000000000001</v>
      </c>
      <c r="BH73"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-2.2286000000000001</v>
      </c>
      <c r="BI73"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-2.2286000000000001</v>
      </c>
      <c r="BJ73"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-2.2286000000000001</v>
      </c>
      <c r="BK73"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-2.2286000000000001</v>
      </c>
      <c r="BL73"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-2.2286000000000001</v>
      </c>
      <c r="BM73"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-2.2286000000000001</v>
      </c>
      <c r="BN73"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-2.2286000000000001</v>
      </c>
      <c r="BO73"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-2.2286000000000001</v>
      </c>
      <c r="BP73"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-2.2286000000000001</v>
      </c>
      <c r="BQ73"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-2.2286000000000001</v>
      </c>
      <c r="BR73"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-2.2286000000000001</v>
      </c>
      <c r="BS73"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-2.2286000000000001</v>
      </c>
      <c r="BT73"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-2.2286000000000001</v>
      </c>
      <c r="BU73"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-2.2286000000000001</v>
      </c>
      <c r="BV73"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-2.2286000000000001</v>
      </c>
      <c r="BW73"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-2.2286000000000001</v>
      </c>
      <c r="BX73"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-2.2286000000000001</v>
      </c>
      <c r="BY73"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-2.2286000000000001</v>
      </c>
      <c r="BZ73" s="24">
        <f>IF( TABLE1[[#This Row],[Wick Exit]]&lt;&gt; FALSE,TABLE1[[#This Row],[RRR Wick Exit]],IF(TABLE1[[#This Row],[Volume Exit]]&lt;&gt; FALSE,TABLE1[[#This Row],[RRR Volume Exit]],TABLE1[[#This Row],[RRR Realized]]))</f>
        <v>-2.2286000000000001</v>
      </c>
      <c r="CA73"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-2.2286000000000001</v>
      </c>
      <c r="CB73"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-2.2286000000000001</v>
      </c>
      <c r="CC73"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-2.2286000000000001</v>
      </c>
      <c r="CD73"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-2.2286000000000001</v>
      </c>
    </row>
    <row r="74" spans="1:82" x14ac:dyDescent="0.25">
      <c r="A74" t="s">
        <v>367</v>
      </c>
      <c r="B74">
        <v>73</v>
      </c>
      <c r="C74" s="2">
        <v>43522</v>
      </c>
      <c r="D74" s="1">
        <v>0.40902777777777777</v>
      </c>
      <c r="E74" s="1">
        <v>0.41041666666666665</v>
      </c>
      <c r="F74" s="5">
        <v>2.54</v>
      </c>
      <c r="G74" s="5">
        <f>-25.04+2.54</f>
        <v>-22.5</v>
      </c>
      <c r="H74" s="17">
        <v>250</v>
      </c>
      <c r="I74" t="s">
        <v>19</v>
      </c>
      <c r="J74" t="s">
        <v>22</v>
      </c>
      <c r="K74">
        <v>2.95</v>
      </c>
      <c r="L74">
        <v>2.94</v>
      </c>
      <c r="M74">
        <v>2.91</v>
      </c>
      <c r="N74">
        <v>3.07</v>
      </c>
      <c r="O74">
        <v>2.85</v>
      </c>
      <c r="P74">
        <v>2.99</v>
      </c>
      <c r="Q74">
        <v>2.85</v>
      </c>
      <c r="R74">
        <v>2.99</v>
      </c>
      <c r="S74">
        <v>2.99</v>
      </c>
      <c r="T74" t="b">
        <v>0</v>
      </c>
      <c r="U74" t="b">
        <v>0</v>
      </c>
      <c r="V74" t="b">
        <v>0</v>
      </c>
      <c r="W74" t="b">
        <v>0</v>
      </c>
      <c r="X74" t="b">
        <v>0</v>
      </c>
      <c r="AA74" t="b">
        <v>0</v>
      </c>
      <c r="AD74" t="b">
        <v>0</v>
      </c>
      <c r="AE74" t="s">
        <v>25</v>
      </c>
      <c r="AF74" t="s">
        <v>32</v>
      </c>
      <c r="AG74" t="s">
        <v>36</v>
      </c>
      <c r="AH74">
        <v>74</v>
      </c>
      <c r="AI74" t="s">
        <v>434</v>
      </c>
      <c r="AJ74" t="s">
        <v>163</v>
      </c>
      <c r="AK74" s="26" t="s">
        <v>368</v>
      </c>
      <c r="AL74" s="22">
        <f>(TABLE1[[#This Row],[TP Price]]-TABLE1[[#This Row],[Intended Entry]])/(TABLE1[[#This Row],[Intended Entry]]-TABLE1[[#This Row],[SL Price]])</f>
        <v>2.9999999999999889</v>
      </c>
      <c r="AM74" s="24">
        <f>IF(TABLE1[[#This Row],[Buy/Sell]]="BUY",(TABLE1[[#This Row],[Highest Price]]-TABLE1[[#This Row],[Entry Price]])/(TABLE1[[#This Row],[Intended Entry]]-TABLE1[[#This Row],[SL Price]]),(TABLE1[[#This Row],[Entry Price]]-TABLE1[[#This Row],[Lowest Price]])/(TABLE1[[#This Row],[SL Price]]-TABLE1[[#This Row],[Intended Entry]]))</f>
        <v>1.2500000000000056</v>
      </c>
      <c r="AN74" s="25">
        <f>IF(TABLE1[[#This Row],[Buy/Sell]]="BUY",(TABLE1[[#This Row],[Entry Price]]-TABLE1[[#This Row],[Lowest Price]])/(TABLE1[[#This Row],[SL Price]]-TABLE1[[#This Row],[Intended Entry]]),(TABLE1[[#This Row],[Entry Price]]-TABLE1[[#This Row],[Highest Price]])/(TABLE1[[#This Row],[SL Price]]-TABLE1[[#This Row],[Intended Entry]]))</f>
        <v>-2.2499999999999947</v>
      </c>
      <c r="AO74" s="5" t="str">
        <f>IF(TABLE1[[#This Row],[Gain/Loss]]&lt;0, "LOSER", "WINNER")</f>
        <v>LOSER</v>
      </c>
      <c r="AP74" s="5">
        <f>TABLE1[[#This Row],[Gain/Loss]]-TABLE1[[#This Row],[Comissions]]</f>
        <v>-25.04</v>
      </c>
      <c r="AQ74" s="4">
        <f>TABLE1[[#This Row],[Exit Time]]-TABLE1[[#This Row],[Entry Time]]</f>
        <v>1.388888888888884E-3</v>
      </c>
      <c r="AR74" s="21" t="str">
        <f>IF(TABLE1[[#This Row],[Retest Price]]&lt;&gt;FALSE,ROUND((TABLE1[[#This Row],[Retest Price]]-TABLE1[[#This Row],[Entry Price]])/(TABLE1[[#This Row],[Intended Entry]]-TABLE1[[#This Row],[SL Price]]),4), "FALSE")</f>
        <v>FALSE</v>
      </c>
      <c r="AS74" s="5">
        <f>TABLE1[[#This Row],[Net Gain/Loss]]+AS73</f>
        <v>-356.82400000000013</v>
      </c>
      <c r="AT74" s="5">
        <f>IF(TABLE1[[#This Row],[Potential Price Before BE]]=FALSE,"FALSE",( TABLE1[[#This Row],[Potential Price Before BE]]-TABLE1[[#This Row],[Intended Entry]])/(TABLE1[[#This Row],[Intended Entry]]-TABLE1[[#This Row],[SL Price]]))</f>
        <v>1</v>
      </c>
      <c r="AU74" s="5">
        <f>(IF(TABLE1[[#This Row],[Buy/Sell]]="BUY",(TABLE1[[#This Row],[Entry Price]]-TABLE1[[#This Row],[SL Price]])/(TABLE1[[#This Row],[Intended Entry]]-TABLE1[[#This Row],[SL Price]]),(TABLE1[[#This Row],[SL Price]]-TABLE1[[#This Row],[Entry Price]])/(TABLE1[[#This Row],[SL Price]]-TABLE1[[#This Row],[Intended Entry]])))-1</f>
        <v>-0.25000000000000555</v>
      </c>
      <c r="AV74"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1.5</v>
      </c>
      <c r="AW74" s="21">
        <f>TABLE1[[#This Row],[Missed RRR on Entry]]+TABLE1[[#This Row],[Missed RRR on Exit]]</f>
        <v>1.2499999999999944</v>
      </c>
      <c r="AX74" s="21">
        <f>ROUND((TABLE1[[#This Row],[Potential Price]]-TABLE1[[#This Row],[Entry Price]])/(TABLE1[[#This Row],[Intended Entry]]-TABLE1[[#This Row],[SL Price]]),4)</f>
        <v>1.25</v>
      </c>
      <c r="AY74" s="21">
        <f>ROUND((TABLE1[[#This Row],[Potential Price]]-TABLE1[[#This Row],[Intended Entry]])/(TABLE1[[#This Row],[Intended Entry]]-TABLE1[[#This Row],[SL Price]]),4)</f>
        <v>1</v>
      </c>
      <c r="AZ74" s="21">
        <f>TABLE1[[#This Row],[RRR Potential]]-TABLE1[[#This Row],[RRR Realized]]</f>
        <v>3.5</v>
      </c>
      <c r="BA74" s="29">
        <f>ROUND((TABLE1[[#This Row],[Exit Price]]-TABLE1[[#This Row],[Entry Price]])/(TABLE1[[#This Row],[Intended Entry]]-TABLE1[[#This Row],[SL Price]]),4)</f>
        <v>-2.25</v>
      </c>
      <c r="BB74"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-2.25</v>
      </c>
      <c r="BC74"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-2.25</v>
      </c>
      <c r="BD74"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-2.25</v>
      </c>
      <c r="BE74"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-2.25</v>
      </c>
      <c r="BF74"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-2.25</v>
      </c>
      <c r="BG74"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-2.25</v>
      </c>
      <c r="BH74"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-2.25</v>
      </c>
      <c r="BI74"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-2.25</v>
      </c>
      <c r="BJ74"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-2.25</v>
      </c>
      <c r="BK74"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-2.25</v>
      </c>
      <c r="BL74"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-2.25</v>
      </c>
      <c r="BM74"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-2.25</v>
      </c>
      <c r="BN74"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-2.25</v>
      </c>
      <c r="BO74"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-2.25</v>
      </c>
      <c r="BP74"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-2.25</v>
      </c>
      <c r="BQ74"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-2.25</v>
      </c>
      <c r="BR74"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-2.25</v>
      </c>
      <c r="BS74"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-2.25</v>
      </c>
      <c r="BT74"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-2.25</v>
      </c>
      <c r="BU74"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-2.25</v>
      </c>
      <c r="BV74"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-2.25</v>
      </c>
      <c r="BW74"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-2.25</v>
      </c>
      <c r="BX74"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-2.25</v>
      </c>
      <c r="BY74"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-2.25</v>
      </c>
      <c r="BZ74" s="24">
        <f>IF( TABLE1[[#This Row],[Wick Exit]]&lt;&gt; FALSE,TABLE1[[#This Row],[RRR Wick Exit]],IF(TABLE1[[#This Row],[Volume Exit]]&lt;&gt; FALSE,TABLE1[[#This Row],[RRR Volume Exit]],TABLE1[[#This Row],[RRR Realized]]))</f>
        <v>-2.25</v>
      </c>
      <c r="CA74"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-2.25</v>
      </c>
      <c r="CB74"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-2.25</v>
      </c>
      <c r="CC74"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-2.25</v>
      </c>
      <c r="CD74"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-2.25</v>
      </c>
    </row>
    <row r="75" spans="1:82" x14ac:dyDescent="0.25">
      <c r="A75" t="s">
        <v>369</v>
      </c>
      <c r="B75">
        <v>74</v>
      </c>
      <c r="C75" s="2">
        <v>43522</v>
      </c>
      <c r="D75" s="1">
        <v>0.41041666666666665</v>
      </c>
      <c r="E75" s="1">
        <v>0.41805555555555557</v>
      </c>
      <c r="F75" s="5">
        <v>2.96</v>
      </c>
      <c r="G75" s="5">
        <v>-17.52</v>
      </c>
      <c r="H75" s="17">
        <v>300</v>
      </c>
      <c r="I75" t="s">
        <v>19</v>
      </c>
      <c r="J75" t="s">
        <v>22</v>
      </c>
      <c r="K75">
        <v>7.55</v>
      </c>
      <c r="L75">
        <v>7.55</v>
      </c>
      <c r="M75">
        <v>7.52</v>
      </c>
      <c r="N75">
        <v>7.64</v>
      </c>
      <c r="O75">
        <v>7.492</v>
      </c>
      <c r="P75">
        <v>7.6</v>
      </c>
      <c r="Q75">
        <v>7.49</v>
      </c>
      <c r="R75">
        <v>7.6</v>
      </c>
      <c r="S75">
        <v>7.6</v>
      </c>
      <c r="T75" t="b">
        <v>0</v>
      </c>
      <c r="U75" t="b">
        <v>0</v>
      </c>
      <c r="V75" t="b">
        <v>0</v>
      </c>
      <c r="W75" t="b">
        <v>0</v>
      </c>
      <c r="X75" t="b">
        <v>0</v>
      </c>
      <c r="AA75">
        <v>7.54</v>
      </c>
      <c r="AB75" t="b">
        <v>0</v>
      </c>
      <c r="AC75">
        <v>1.5</v>
      </c>
      <c r="AD75" t="b">
        <v>0</v>
      </c>
      <c r="AE75" t="s">
        <v>28</v>
      </c>
      <c r="AF75" t="s">
        <v>29</v>
      </c>
      <c r="AG75" t="s">
        <v>34</v>
      </c>
      <c r="AH75">
        <v>962</v>
      </c>
      <c r="AI75" t="s">
        <v>431</v>
      </c>
      <c r="AJ75" t="s">
        <v>163</v>
      </c>
      <c r="AK75" s="26" t="s">
        <v>370</v>
      </c>
      <c r="AL75" s="22">
        <f>(TABLE1[[#This Row],[TP Price]]-TABLE1[[#This Row],[Intended Entry]])/(TABLE1[[#This Row],[Intended Entry]]-TABLE1[[#This Row],[SL Price]])</f>
        <v>2.9999999999999702</v>
      </c>
      <c r="AM75" s="24">
        <f>IF(TABLE1[[#This Row],[Buy/Sell]]="BUY",(TABLE1[[#This Row],[Highest Price]]-TABLE1[[#This Row],[Entry Price]])/(TABLE1[[#This Row],[Intended Entry]]-TABLE1[[#This Row],[SL Price]]),(TABLE1[[#This Row],[Entry Price]]-TABLE1[[#This Row],[Lowest Price]])/(TABLE1[[#This Row],[SL Price]]-TABLE1[[#This Row],[Intended Entry]]))</f>
        <v>1.666666666666647</v>
      </c>
      <c r="AN75" s="25">
        <f>IF(TABLE1[[#This Row],[Buy/Sell]]="BUY",(TABLE1[[#This Row],[Entry Price]]-TABLE1[[#This Row],[Lowest Price]])/(TABLE1[[#This Row],[SL Price]]-TABLE1[[#This Row],[Intended Entry]]),(TABLE1[[#This Row],[Entry Price]]-TABLE1[[#This Row],[Highest Price]])/(TABLE1[[#This Row],[SL Price]]-TABLE1[[#This Row],[Intended Entry]]))</f>
        <v>-1.9999999999999705</v>
      </c>
      <c r="AO75" s="5" t="str">
        <f>IF(TABLE1[[#This Row],[Gain/Loss]]&lt;0, "LOSER", "WINNER")</f>
        <v>LOSER</v>
      </c>
      <c r="AP75" s="5">
        <f>TABLE1[[#This Row],[Gain/Loss]]-TABLE1[[#This Row],[Comissions]]</f>
        <v>-20.48</v>
      </c>
      <c r="AQ75" s="4">
        <f>TABLE1[[#This Row],[Exit Time]]-TABLE1[[#This Row],[Entry Time]]</f>
        <v>7.6388888888889173E-3</v>
      </c>
      <c r="AR75" s="21" t="str">
        <f>IF(TABLE1[[#This Row],[Retest Price]]&lt;&gt;FALSE,ROUND((TABLE1[[#This Row],[Retest Price]]-TABLE1[[#This Row],[Entry Price]])/(TABLE1[[#This Row],[Intended Entry]]-TABLE1[[#This Row],[SL Price]]),4), "FALSE")</f>
        <v>FALSE</v>
      </c>
      <c r="AS75" s="5">
        <f>TABLE1[[#This Row],[Net Gain/Loss]]+AS74</f>
        <v>-377.30400000000014</v>
      </c>
      <c r="AT75" s="5">
        <f>IF(TABLE1[[#This Row],[Potential Price Before BE]]=FALSE,"FALSE",( TABLE1[[#This Row],[Potential Price Before BE]]-TABLE1[[#This Row],[Intended Entry]])/(TABLE1[[#This Row],[Intended Entry]]-TABLE1[[#This Row],[SL Price]]))</f>
        <v>1.666666666666647</v>
      </c>
      <c r="AU75" s="5">
        <f>(IF(TABLE1[[#This Row],[Buy/Sell]]="BUY",(TABLE1[[#This Row],[Entry Price]]-TABLE1[[#This Row],[SL Price]])/(TABLE1[[#This Row],[Intended Entry]]-TABLE1[[#This Row],[SL Price]]),(TABLE1[[#This Row],[SL Price]]-TABLE1[[#This Row],[Entry Price]])/(TABLE1[[#This Row],[SL Price]]-TABLE1[[#This Row],[Intended Entry]])))-1</f>
        <v>0</v>
      </c>
      <c r="AV75"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0.93333333333331159</v>
      </c>
      <c r="AW75" s="21">
        <f>TABLE1[[#This Row],[Missed RRR on Entry]]+TABLE1[[#This Row],[Missed RRR on Exit]]</f>
        <v>0.93333333333331159</v>
      </c>
      <c r="AX75" s="21">
        <f>ROUND((TABLE1[[#This Row],[Potential Price]]-TABLE1[[#This Row],[Entry Price]])/(TABLE1[[#This Row],[Intended Entry]]-TABLE1[[#This Row],[SL Price]]),4)</f>
        <v>1.6667000000000001</v>
      </c>
      <c r="AY75" s="21">
        <f>ROUND((TABLE1[[#This Row],[Potential Price]]-TABLE1[[#This Row],[Intended Entry]])/(TABLE1[[#This Row],[Intended Entry]]-TABLE1[[#This Row],[SL Price]]),4)</f>
        <v>1.6667000000000001</v>
      </c>
      <c r="AZ75" s="21">
        <f>TABLE1[[#This Row],[RRR Potential]]-TABLE1[[#This Row],[RRR Realized]]</f>
        <v>3.6</v>
      </c>
      <c r="BA75" s="29">
        <f>ROUND((TABLE1[[#This Row],[Exit Price]]-TABLE1[[#This Row],[Entry Price]])/(TABLE1[[#This Row],[Intended Entry]]-TABLE1[[#This Row],[SL Price]]),4)</f>
        <v>-1.9333</v>
      </c>
      <c r="BB75"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-1.9333</v>
      </c>
      <c r="BC75"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D75"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E75"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-1.9333</v>
      </c>
      <c r="BF75"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-1.9333</v>
      </c>
      <c r="BG75"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-1.9333</v>
      </c>
      <c r="BH75"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-1.9333</v>
      </c>
      <c r="BI75"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J75"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K75"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L75"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M75"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N75"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O75"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P75"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Q75"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-1.9333</v>
      </c>
      <c r="BR75"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S75"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T75"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-1.9333</v>
      </c>
      <c r="BU75"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V75"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W75"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-1.9333</v>
      </c>
      <c r="BX75"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v>
      </c>
      <c r="BY75"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v>
      </c>
      <c r="BZ75" s="24">
        <f>IF( TABLE1[[#This Row],[Wick Exit]]&lt;&gt; FALSE,TABLE1[[#This Row],[RRR Wick Exit]],IF(TABLE1[[#This Row],[Volume Exit]]&lt;&gt; FALSE,TABLE1[[#This Row],[RRR Volume Exit]],TABLE1[[#This Row],[RRR Realized]]))</f>
        <v>-1.9333</v>
      </c>
      <c r="CA75"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-1.9333</v>
      </c>
      <c r="CB75"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-1.9333</v>
      </c>
      <c r="CC75"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CD75"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row>
    <row r="76" spans="1:82" x14ac:dyDescent="0.25">
      <c r="A76" t="s">
        <v>371</v>
      </c>
      <c r="B76">
        <v>75</v>
      </c>
      <c r="C76" s="2">
        <v>43522</v>
      </c>
      <c r="D76" s="1">
        <v>0.41736111111111113</v>
      </c>
      <c r="E76" s="1">
        <v>0.41944444444444445</v>
      </c>
      <c r="F76" s="5">
        <v>2.6</v>
      </c>
      <c r="G76" s="5">
        <v>25.5</v>
      </c>
      <c r="H76" s="17">
        <v>150</v>
      </c>
      <c r="I76" t="s">
        <v>19</v>
      </c>
      <c r="J76" t="s">
        <v>22</v>
      </c>
      <c r="K76">
        <v>8.6999999999999993</v>
      </c>
      <c r="L76">
        <v>8.7100000000000009</v>
      </c>
      <c r="M76">
        <v>8.64</v>
      </c>
      <c r="N76">
        <v>8.8800000000000008</v>
      </c>
      <c r="O76">
        <v>8.8800000000000008</v>
      </c>
      <c r="P76">
        <v>8.8800000000000008</v>
      </c>
      <c r="Q76">
        <v>8.6999999999999993</v>
      </c>
      <c r="R76">
        <v>9.09</v>
      </c>
      <c r="S76">
        <v>9.09</v>
      </c>
      <c r="T76" t="b">
        <v>0</v>
      </c>
      <c r="U76" t="b">
        <v>0</v>
      </c>
      <c r="V76" t="b">
        <v>1</v>
      </c>
      <c r="X76">
        <v>8.85</v>
      </c>
      <c r="Y76">
        <v>5</v>
      </c>
      <c r="Z76" t="b">
        <v>0</v>
      </c>
      <c r="AA76">
        <v>8.64</v>
      </c>
      <c r="AB76">
        <v>5</v>
      </c>
      <c r="AC76" t="b">
        <v>0</v>
      </c>
      <c r="AD76" t="b">
        <v>0</v>
      </c>
      <c r="AE76" t="s">
        <v>26</v>
      </c>
      <c r="AF76" t="s">
        <v>29</v>
      </c>
      <c r="AG76" t="s">
        <v>36</v>
      </c>
      <c r="AH76">
        <v>178</v>
      </c>
      <c r="AI76" t="s">
        <v>431</v>
      </c>
      <c r="AJ76" t="s">
        <v>163</v>
      </c>
      <c r="AK76" s="26" t="s">
        <v>372</v>
      </c>
      <c r="AL76" s="22">
        <f>(TABLE1[[#This Row],[TP Price]]-TABLE1[[#This Row],[Intended Entry]])/(TABLE1[[#This Row],[Intended Entry]]-TABLE1[[#This Row],[SL Price]])</f>
        <v>3.0000000000000888</v>
      </c>
      <c r="AM76" s="24">
        <f>IF(TABLE1[[#This Row],[Buy/Sell]]="BUY",(TABLE1[[#This Row],[Highest Price]]-TABLE1[[#This Row],[Entry Price]])/(TABLE1[[#This Row],[Intended Entry]]-TABLE1[[#This Row],[SL Price]]),(TABLE1[[#This Row],[Entry Price]]-TABLE1[[#This Row],[Lowest Price]])/(TABLE1[[#This Row],[SL Price]]-TABLE1[[#This Row],[Intended Entry]]))</f>
        <v>2.8333333333333925</v>
      </c>
      <c r="AN76" s="25">
        <f>IF(TABLE1[[#This Row],[Buy/Sell]]="BUY",(TABLE1[[#This Row],[Entry Price]]-TABLE1[[#This Row],[Lowest Price]])/(TABLE1[[#This Row],[SL Price]]-TABLE1[[#This Row],[Intended Entry]]),(TABLE1[[#This Row],[Entry Price]]-TABLE1[[#This Row],[Highest Price]])/(TABLE1[[#This Row],[SL Price]]-TABLE1[[#This Row],[Intended Entry]]))</f>
        <v>-0.16666666666669627</v>
      </c>
      <c r="AO76" s="5" t="str">
        <f>IF(TABLE1[[#This Row],[Gain/Loss]]&lt;0, "LOSER", "WINNER")</f>
        <v>WINNER</v>
      </c>
      <c r="AP76" s="5">
        <f>TABLE1[[#This Row],[Gain/Loss]]-TABLE1[[#This Row],[Comissions]]</f>
        <v>22.9</v>
      </c>
      <c r="AQ76" s="4">
        <f>TABLE1[[#This Row],[Exit Time]]-TABLE1[[#This Row],[Entry Time]]</f>
        <v>2.0833333333333259E-3</v>
      </c>
      <c r="AR76" s="21" t="str">
        <f>IF(TABLE1[[#This Row],[Retest Price]]&lt;&gt;FALSE,ROUND((TABLE1[[#This Row],[Retest Price]]-TABLE1[[#This Row],[Entry Price]])/(TABLE1[[#This Row],[Intended Entry]]-TABLE1[[#This Row],[SL Price]]),4), "FALSE")</f>
        <v>FALSE</v>
      </c>
      <c r="AS76" s="5">
        <f>TABLE1[[#This Row],[Net Gain/Loss]]+AS75</f>
        <v>-354.40400000000017</v>
      </c>
      <c r="AT76" s="5">
        <f>IF(TABLE1[[#This Row],[Potential Price Before BE]]=FALSE,"FALSE",( TABLE1[[#This Row],[Potential Price Before BE]]-TABLE1[[#This Row],[Intended Entry]])/(TABLE1[[#This Row],[Intended Entry]]-TABLE1[[#This Row],[SL Price]]))</f>
        <v>6.5000000000001483</v>
      </c>
      <c r="AU76" s="5">
        <f>(IF(TABLE1[[#This Row],[Buy/Sell]]="BUY",(TABLE1[[#This Row],[Entry Price]]-TABLE1[[#This Row],[SL Price]])/(TABLE1[[#This Row],[Intended Entry]]-TABLE1[[#This Row],[SL Price]]),(TABLE1[[#This Row],[SL Price]]-TABLE1[[#This Row],[Entry Price]])/(TABLE1[[#This Row],[SL Price]]-TABLE1[[#This Row],[Intended Entry]])))-1</f>
        <v>0.16666666666669627</v>
      </c>
      <c r="AV76"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W76" s="21">
        <f>TABLE1[[#This Row],[Missed RRR on Entry]]+TABLE1[[#This Row],[Missed RRR on Exit]]</f>
        <v>0.16666666666669627</v>
      </c>
      <c r="AX76" s="21">
        <f>ROUND((TABLE1[[#This Row],[Potential Price]]-TABLE1[[#This Row],[Entry Price]])/(TABLE1[[#This Row],[Intended Entry]]-TABLE1[[#This Row],[SL Price]]),4)</f>
        <v>6.3333000000000004</v>
      </c>
      <c r="AY76" s="21">
        <f>ROUND((TABLE1[[#This Row],[Potential Price]]-TABLE1[[#This Row],[Intended Entry]])/(TABLE1[[#This Row],[Intended Entry]]-TABLE1[[#This Row],[SL Price]]),4)</f>
        <v>6.5</v>
      </c>
      <c r="AZ76" s="21">
        <f>TABLE1[[#This Row],[RRR Potential]]-TABLE1[[#This Row],[RRR Realized]]</f>
        <v>3.5000000000000004</v>
      </c>
      <c r="BA76" s="29">
        <f>ROUND((TABLE1[[#This Row],[Exit Price]]-TABLE1[[#This Row],[Entry Price]])/(TABLE1[[#This Row],[Intended Entry]]-TABLE1[[#This Row],[SL Price]]),4)</f>
        <v>2.8332999999999999</v>
      </c>
      <c r="BB76"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4.8333333333333037</v>
      </c>
      <c r="BC76"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4.8333333333333037</v>
      </c>
      <c r="BD76"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4.8333333333333037</v>
      </c>
      <c r="BE76"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4.8333333333333037</v>
      </c>
      <c r="BF76"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4.8333333333333037</v>
      </c>
      <c r="BG76"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4.8333333333333037</v>
      </c>
      <c r="BH76"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4.8333333333333037</v>
      </c>
      <c r="BI76"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4.8333333333333037</v>
      </c>
      <c r="BJ76"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4.8333333333333037</v>
      </c>
      <c r="BK76"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4.8333333333333037</v>
      </c>
      <c r="BL76"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4.8333333333333037</v>
      </c>
      <c r="BM76"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4.8333333333333037</v>
      </c>
      <c r="BN76"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4.8333333333333037</v>
      </c>
      <c r="BO76"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4.8333333333333037</v>
      </c>
      <c r="BP76"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4.8333333333333037</v>
      </c>
      <c r="BQ76"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4.8333333333333037</v>
      </c>
      <c r="BR76"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4.8333333333333037</v>
      </c>
      <c r="BS76"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4.8333333333333037</v>
      </c>
      <c r="BT76"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4.8333333333333037</v>
      </c>
      <c r="BU76"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4.8333333333333037</v>
      </c>
      <c r="BV76"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4.8333333333333037</v>
      </c>
      <c r="BW76"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2.3333333333333628</v>
      </c>
      <c r="BX76"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2.3333333333333628</v>
      </c>
      <c r="BY76"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2.3333333333333628</v>
      </c>
      <c r="BZ76" s="24">
        <f>IF( TABLE1[[#This Row],[Wick Exit]]&lt;&gt; FALSE,TABLE1[[#This Row],[RRR Wick Exit]],IF(TABLE1[[#This Row],[Volume Exit]]&lt;&gt; FALSE,TABLE1[[#This Row],[RRR Volume Exit]],TABLE1[[#This Row],[RRR Realized]]))</f>
        <v>2.3333333333333628</v>
      </c>
      <c r="CA76"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2.8332999999999999</v>
      </c>
      <c r="CB76"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4.8333333333333037</v>
      </c>
      <c r="CC76"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4.8333333333333037</v>
      </c>
      <c r="CD76"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4.8333333333333037</v>
      </c>
    </row>
    <row r="77" spans="1:82" x14ac:dyDescent="0.25">
      <c r="A77" t="s">
        <v>367</v>
      </c>
      <c r="B77">
        <v>76</v>
      </c>
      <c r="C77" s="2">
        <v>43522</v>
      </c>
      <c r="D77" s="1">
        <v>0.43055555555555558</v>
      </c>
      <c r="E77" s="1">
        <v>0.43402777777777773</v>
      </c>
      <c r="F77" s="5">
        <v>2.02</v>
      </c>
      <c r="G77" s="5">
        <f>-21.45+2.02</f>
        <v>-19.43</v>
      </c>
      <c r="H77" s="17">
        <v>150</v>
      </c>
      <c r="I77" t="s">
        <v>19</v>
      </c>
      <c r="J77" t="s">
        <v>22</v>
      </c>
      <c r="K77">
        <v>2.94</v>
      </c>
      <c r="L77">
        <v>2.9390000000000001</v>
      </c>
      <c r="M77">
        <v>2.88</v>
      </c>
      <c r="N77">
        <v>3.12</v>
      </c>
      <c r="O77">
        <v>2.81</v>
      </c>
      <c r="P77">
        <v>2.99</v>
      </c>
      <c r="Q77">
        <v>2.81</v>
      </c>
      <c r="R77">
        <v>2.99</v>
      </c>
      <c r="S77">
        <v>2.99</v>
      </c>
      <c r="T77" t="b">
        <v>0</v>
      </c>
      <c r="U77">
        <v>2.86</v>
      </c>
      <c r="V77" t="b">
        <v>0</v>
      </c>
      <c r="W77" t="b">
        <v>0</v>
      </c>
      <c r="X77" t="b">
        <v>0</v>
      </c>
      <c r="AA77" t="b">
        <v>0</v>
      </c>
      <c r="AD77" t="b">
        <v>0</v>
      </c>
      <c r="AE77" t="s">
        <v>25</v>
      </c>
      <c r="AF77" t="s">
        <v>32</v>
      </c>
      <c r="AG77" t="s">
        <v>36</v>
      </c>
      <c r="AH77">
        <v>74</v>
      </c>
      <c r="AI77" t="s">
        <v>431</v>
      </c>
      <c r="AJ77" t="s">
        <v>163</v>
      </c>
      <c r="AK77" s="26" t="s">
        <v>368</v>
      </c>
      <c r="AL77" s="22">
        <f>(TABLE1[[#This Row],[TP Price]]-TABLE1[[#This Row],[Intended Entry]])/(TABLE1[[#This Row],[Intended Entry]]-TABLE1[[#This Row],[SL Price]])</f>
        <v>3</v>
      </c>
      <c r="AM77" s="24">
        <f>IF(TABLE1[[#This Row],[Buy/Sell]]="BUY",(TABLE1[[#This Row],[Highest Price]]-TABLE1[[#This Row],[Entry Price]])/(TABLE1[[#This Row],[Intended Entry]]-TABLE1[[#This Row],[SL Price]]),(TABLE1[[#This Row],[Entry Price]]-TABLE1[[#This Row],[Lowest Price]])/(TABLE1[[#This Row],[SL Price]]-TABLE1[[#This Row],[Intended Entry]]))</f>
        <v>0.85000000000000187</v>
      </c>
      <c r="AN77" s="25">
        <f>IF(TABLE1[[#This Row],[Buy/Sell]]="BUY",(TABLE1[[#This Row],[Entry Price]]-TABLE1[[#This Row],[Lowest Price]])/(TABLE1[[#This Row],[SL Price]]-TABLE1[[#This Row],[Intended Entry]]),(TABLE1[[#This Row],[Entry Price]]-TABLE1[[#This Row],[Highest Price]])/(TABLE1[[#This Row],[SL Price]]-TABLE1[[#This Row],[Intended Entry]]))</f>
        <v>-2.1499999999999981</v>
      </c>
      <c r="AO77" s="5" t="str">
        <f>IF(TABLE1[[#This Row],[Gain/Loss]]&lt;0, "LOSER", "WINNER")</f>
        <v>LOSER</v>
      </c>
      <c r="AP77" s="5">
        <f>TABLE1[[#This Row],[Gain/Loss]]-TABLE1[[#This Row],[Comissions]]</f>
        <v>-21.45</v>
      </c>
      <c r="AQ77" s="4">
        <f>TABLE1[[#This Row],[Exit Time]]-TABLE1[[#This Row],[Entry Time]]</f>
        <v>3.4722222222221544E-3</v>
      </c>
      <c r="AR77" s="21">
        <f>IF(TABLE1[[#This Row],[Retest Price]]&lt;&gt;FALSE,ROUND((TABLE1[[#This Row],[Retest Price]]-TABLE1[[#This Row],[Entry Price]])/(TABLE1[[#This Row],[Intended Entry]]-TABLE1[[#This Row],[SL Price]]),4), "FALSE")</f>
        <v>-1.3167</v>
      </c>
      <c r="AS77" s="5">
        <f>TABLE1[[#This Row],[Net Gain/Loss]]+AS76</f>
        <v>-375.85400000000016</v>
      </c>
      <c r="AT77" s="5">
        <f>IF(TABLE1[[#This Row],[Potential Price Before BE]]=FALSE,"FALSE",( TABLE1[[#This Row],[Potential Price Before BE]]-TABLE1[[#This Row],[Intended Entry]])/(TABLE1[[#This Row],[Intended Entry]]-TABLE1[[#This Row],[SL Price]]))</f>
        <v>0.83333333333333703</v>
      </c>
      <c r="AU77" s="5">
        <f>(IF(TABLE1[[#This Row],[Buy/Sell]]="BUY",(TABLE1[[#This Row],[Entry Price]]-TABLE1[[#This Row],[SL Price]])/(TABLE1[[#This Row],[Intended Entry]]-TABLE1[[#This Row],[SL Price]]),(TABLE1[[#This Row],[SL Price]]-TABLE1[[#This Row],[Entry Price]])/(TABLE1[[#This Row],[SL Price]]-TABLE1[[#This Row],[Intended Entry]])))-1</f>
        <v>-1.6666666666664831E-2</v>
      </c>
      <c r="AV77"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1.166666666666663</v>
      </c>
      <c r="AW77" s="21">
        <f>TABLE1[[#This Row],[Missed RRR on Entry]]+TABLE1[[#This Row],[Missed RRR on Exit]]</f>
        <v>1.1499999999999981</v>
      </c>
      <c r="AX77" s="21">
        <f>ROUND((TABLE1[[#This Row],[Potential Price]]-TABLE1[[#This Row],[Entry Price]])/(TABLE1[[#This Row],[Intended Entry]]-TABLE1[[#This Row],[SL Price]]),4)</f>
        <v>0.85</v>
      </c>
      <c r="AY77" s="21">
        <f>ROUND((TABLE1[[#This Row],[Potential Price]]-TABLE1[[#This Row],[Intended Entry]])/(TABLE1[[#This Row],[Intended Entry]]-TABLE1[[#This Row],[SL Price]]),4)</f>
        <v>0.83330000000000004</v>
      </c>
      <c r="AZ77" s="21">
        <f>TABLE1[[#This Row],[RRR Potential]]-TABLE1[[#This Row],[RRR Realized]]</f>
        <v>3</v>
      </c>
      <c r="BA77" s="29">
        <f>ROUND((TABLE1[[#This Row],[Exit Price]]-TABLE1[[#This Row],[Entry Price]])/(TABLE1[[#This Row],[Intended Entry]]-TABLE1[[#This Row],[SL Price]]),4)</f>
        <v>-2.15</v>
      </c>
      <c r="BB77"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-2.15</v>
      </c>
      <c r="BC77"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-2.15</v>
      </c>
      <c r="BD77"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-2.15</v>
      </c>
      <c r="BE77"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-2.15</v>
      </c>
      <c r="BF77"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-2.15</v>
      </c>
      <c r="BG77"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-2.15</v>
      </c>
      <c r="BH77"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-2.15</v>
      </c>
      <c r="BI77"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-2.15</v>
      </c>
      <c r="BJ77"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-2.15</v>
      </c>
      <c r="BK77"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-2.15</v>
      </c>
      <c r="BL77"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-2.15</v>
      </c>
      <c r="BM77"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-2.15</v>
      </c>
      <c r="BN77"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-2.15</v>
      </c>
      <c r="BO77"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-2.15</v>
      </c>
      <c r="BP77"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-2.15</v>
      </c>
      <c r="BQ77"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-2.15</v>
      </c>
      <c r="BR77"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-2.15</v>
      </c>
      <c r="BS77"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-2.15</v>
      </c>
      <c r="BT77"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-2.15</v>
      </c>
      <c r="BU77"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-2.15</v>
      </c>
      <c r="BV77"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-2.15</v>
      </c>
      <c r="BW77"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-2.15</v>
      </c>
      <c r="BX77"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-2.15</v>
      </c>
      <c r="BY77"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-2.15</v>
      </c>
      <c r="BZ77" s="24">
        <f>IF( TABLE1[[#This Row],[Wick Exit]]&lt;&gt; FALSE,TABLE1[[#This Row],[RRR Wick Exit]],IF(TABLE1[[#This Row],[Volume Exit]]&lt;&gt; FALSE,TABLE1[[#This Row],[RRR Volume Exit]],TABLE1[[#This Row],[RRR Realized]]))</f>
        <v>-2.15</v>
      </c>
      <c r="CA77"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-2.15</v>
      </c>
      <c r="CB77"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-2.15</v>
      </c>
      <c r="CC77"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-2.15</v>
      </c>
      <c r="CD77"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-2.15</v>
      </c>
    </row>
    <row r="78" spans="1:82" x14ac:dyDescent="0.25">
      <c r="A78" t="s">
        <v>374</v>
      </c>
      <c r="B78">
        <v>77</v>
      </c>
      <c r="C78" s="2">
        <v>43523</v>
      </c>
      <c r="D78" s="1">
        <v>0.41319444444444442</v>
      </c>
      <c r="E78" s="1">
        <v>0.41388888888888892</v>
      </c>
      <c r="F78" s="5">
        <v>2.0499999999999998</v>
      </c>
      <c r="G78" s="5">
        <v>-26.63</v>
      </c>
      <c r="H78" s="17">
        <v>200</v>
      </c>
      <c r="I78" t="s">
        <v>19</v>
      </c>
      <c r="J78" t="s">
        <v>22</v>
      </c>
      <c r="K78">
        <v>10.95</v>
      </c>
      <c r="L78">
        <v>10.952999999999999</v>
      </c>
      <c r="M78">
        <v>10.9</v>
      </c>
      <c r="N78">
        <v>11.1</v>
      </c>
      <c r="O78">
        <v>10.821</v>
      </c>
      <c r="P78">
        <v>10.96</v>
      </c>
      <c r="Q78">
        <v>10.821</v>
      </c>
      <c r="R78">
        <v>10.96</v>
      </c>
      <c r="S78">
        <v>10.96</v>
      </c>
      <c r="T78" t="b">
        <v>0</v>
      </c>
      <c r="U78" t="b">
        <v>0</v>
      </c>
      <c r="V78" t="b">
        <v>0</v>
      </c>
      <c r="W78" t="b">
        <v>0</v>
      </c>
      <c r="X78" t="b">
        <v>0</v>
      </c>
      <c r="AA78" t="b">
        <v>0</v>
      </c>
      <c r="AD78" t="b">
        <v>0</v>
      </c>
      <c r="AE78" t="s">
        <v>25</v>
      </c>
      <c r="AF78" t="s">
        <v>32</v>
      </c>
      <c r="AG78" t="s">
        <v>35</v>
      </c>
      <c r="AH78">
        <v>54</v>
      </c>
      <c r="AI78" t="s">
        <v>431</v>
      </c>
      <c r="AJ78" t="s">
        <v>166</v>
      </c>
      <c r="AK78" s="26" t="s">
        <v>376</v>
      </c>
      <c r="AL78" s="22">
        <f>(TABLE1[[#This Row],[TP Price]]-TABLE1[[#This Row],[Intended Entry]])/(TABLE1[[#This Row],[Intended Entry]]-TABLE1[[#This Row],[SL Price]])</f>
        <v>3.0000000000000711</v>
      </c>
      <c r="AM78" s="24">
        <f>IF(TABLE1[[#This Row],[Buy/Sell]]="BUY",(TABLE1[[#This Row],[Highest Price]]-TABLE1[[#This Row],[Entry Price]])/(TABLE1[[#This Row],[Intended Entry]]-TABLE1[[#This Row],[SL Price]]),(TABLE1[[#This Row],[Entry Price]]-TABLE1[[#This Row],[Lowest Price]])/(TABLE1[[#This Row],[SL Price]]-TABLE1[[#This Row],[Intended Entry]]))</f>
        <v>0.14000000000003199</v>
      </c>
      <c r="AN78" s="25">
        <f>IF(TABLE1[[#This Row],[Buy/Sell]]="BUY",(TABLE1[[#This Row],[Entry Price]]-TABLE1[[#This Row],[Lowest Price]])/(TABLE1[[#This Row],[SL Price]]-TABLE1[[#This Row],[Intended Entry]]),(TABLE1[[#This Row],[Entry Price]]-TABLE1[[#This Row],[Highest Price]])/(TABLE1[[#This Row],[SL Price]]-TABLE1[[#This Row],[Intended Entry]]))</f>
        <v>-2.6400000000000499</v>
      </c>
      <c r="AO78" s="5" t="str">
        <f>IF(TABLE1[[#This Row],[Gain/Loss]]&lt;0, "LOSER", "WINNER")</f>
        <v>LOSER</v>
      </c>
      <c r="AP78" s="5">
        <f>TABLE1[[#This Row],[Gain/Loss]]-TABLE1[[#This Row],[Comissions]]</f>
        <v>-28.68</v>
      </c>
      <c r="AQ78" s="4">
        <f>TABLE1[[#This Row],[Exit Time]]-TABLE1[[#This Row],[Entry Time]]</f>
        <v>6.9444444444449749E-4</v>
      </c>
      <c r="AR78" s="21" t="str">
        <f>IF(TABLE1[[#This Row],[Retest Price]]&lt;&gt;FALSE,ROUND((TABLE1[[#This Row],[Retest Price]]-TABLE1[[#This Row],[Entry Price]])/(TABLE1[[#This Row],[Intended Entry]]-TABLE1[[#This Row],[SL Price]]),4), "FALSE")</f>
        <v>FALSE</v>
      </c>
      <c r="AS78" s="5">
        <f>TABLE1[[#This Row],[Net Gain/Loss]]+AS77</f>
        <v>-404.53400000000016</v>
      </c>
      <c r="AT78" s="5">
        <f>IF(TABLE1[[#This Row],[Potential Price Before BE]]=FALSE,"FALSE",( TABLE1[[#This Row],[Potential Price Before BE]]-TABLE1[[#This Row],[Intended Entry]])/(TABLE1[[#This Row],[Intended Entry]]-TABLE1[[#This Row],[SL Price]]))</f>
        <v>0.20000000000003554</v>
      </c>
      <c r="AU78" s="5">
        <f>(IF(TABLE1[[#This Row],[Buy/Sell]]="BUY",(TABLE1[[#This Row],[Entry Price]]-TABLE1[[#This Row],[SL Price]])/(TABLE1[[#This Row],[Intended Entry]]-TABLE1[[#This Row],[SL Price]]),(TABLE1[[#This Row],[SL Price]]-TABLE1[[#This Row],[Entry Price]])/(TABLE1[[#This Row],[SL Price]]-TABLE1[[#This Row],[Intended Entry]])))-1</f>
        <v>6.0000000000003606E-2</v>
      </c>
      <c r="AV78"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1.5800000000000463</v>
      </c>
      <c r="AW78" s="21">
        <f>TABLE1[[#This Row],[Missed RRR on Entry]]+TABLE1[[#This Row],[Missed RRR on Exit]]</f>
        <v>1.6400000000000499</v>
      </c>
      <c r="AX78" s="21">
        <f>ROUND((TABLE1[[#This Row],[Potential Price]]-TABLE1[[#This Row],[Entry Price]])/(TABLE1[[#This Row],[Intended Entry]]-TABLE1[[#This Row],[SL Price]]),4)</f>
        <v>0.14000000000000001</v>
      </c>
      <c r="AY78" s="21">
        <f>ROUND((TABLE1[[#This Row],[Potential Price]]-TABLE1[[#This Row],[Intended Entry]])/(TABLE1[[#This Row],[Intended Entry]]-TABLE1[[#This Row],[SL Price]]),4)</f>
        <v>0.2</v>
      </c>
      <c r="AZ78" s="21">
        <f>TABLE1[[#This Row],[RRR Potential]]-TABLE1[[#This Row],[RRR Realized]]</f>
        <v>2.7800000000000002</v>
      </c>
      <c r="BA78" s="29">
        <f>ROUND((TABLE1[[#This Row],[Exit Price]]-TABLE1[[#This Row],[Entry Price]])/(TABLE1[[#This Row],[Intended Entry]]-TABLE1[[#This Row],[SL Price]]),4)</f>
        <v>-2.64</v>
      </c>
      <c r="BB78"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-2.64</v>
      </c>
      <c r="BC78"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-2.64</v>
      </c>
      <c r="BD78"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-2.64</v>
      </c>
      <c r="BE78"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-2.64</v>
      </c>
      <c r="BF78"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-2.64</v>
      </c>
      <c r="BG78"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-2.64</v>
      </c>
      <c r="BH78"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-2.64</v>
      </c>
      <c r="BI78"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-2.64</v>
      </c>
      <c r="BJ78"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-2.64</v>
      </c>
      <c r="BK78"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-2.64</v>
      </c>
      <c r="BL78"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-2.64</v>
      </c>
      <c r="BM78"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-2.64</v>
      </c>
      <c r="BN78"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-2.64</v>
      </c>
      <c r="BO78"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-2.64</v>
      </c>
      <c r="BP78"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-2.64</v>
      </c>
      <c r="BQ78"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-2.64</v>
      </c>
      <c r="BR78"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-2.64</v>
      </c>
      <c r="BS78"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-2.64</v>
      </c>
      <c r="BT78"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-2.64</v>
      </c>
      <c r="BU78"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-2.64</v>
      </c>
      <c r="BV78"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-2.64</v>
      </c>
      <c r="BW78"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-2.64</v>
      </c>
      <c r="BX78"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-2.64</v>
      </c>
      <c r="BY78"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-2.64</v>
      </c>
      <c r="BZ78" s="24">
        <f>IF( TABLE1[[#This Row],[Wick Exit]]&lt;&gt; FALSE,TABLE1[[#This Row],[RRR Wick Exit]],IF(TABLE1[[#This Row],[Volume Exit]]&lt;&gt; FALSE,TABLE1[[#This Row],[RRR Volume Exit]],TABLE1[[#This Row],[RRR Realized]]))</f>
        <v>-2.64</v>
      </c>
      <c r="CA78"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-2.64</v>
      </c>
      <c r="CB78"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-2.64</v>
      </c>
      <c r="CC78"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-2.64</v>
      </c>
      <c r="CD78"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-2.64</v>
      </c>
    </row>
    <row r="79" spans="1:82" x14ac:dyDescent="0.25">
      <c r="A79" t="s">
        <v>375</v>
      </c>
      <c r="B79">
        <v>78</v>
      </c>
      <c r="C79" s="2">
        <v>43523</v>
      </c>
      <c r="D79" s="1">
        <v>0.41944444444444445</v>
      </c>
      <c r="E79" s="1">
        <v>0.42430555555555555</v>
      </c>
      <c r="F79" s="5">
        <v>2.5499999999999998</v>
      </c>
      <c r="G79" s="5">
        <v>-17.12</v>
      </c>
      <c r="H79" s="17">
        <v>250</v>
      </c>
      <c r="I79" t="s">
        <v>19</v>
      </c>
      <c r="J79" t="s">
        <v>22</v>
      </c>
      <c r="K79">
        <v>7.82</v>
      </c>
      <c r="L79">
        <v>7.83</v>
      </c>
      <c r="M79">
        <v>7.78</v>
      </c>
      <c r="N79">
        <v>7.94</v>
      </c>
      <c r="O79">
        <v>7.7619999999999996</v>
      </c>
      <c r="P79">
        <v>7.92</v>
      </c>
      <c r="Q79">
        <v>7.76</v>
      </c>
      <c r="R79">
        <v>7.92</v>
      </c>
      <c r="S79">
        <v>7.92</v>
      </c>
      <c r="T79" t="b">
        <v>0</v>
      </c>
      <c r="U79">
        <v>7.76</v>
      </c>
      <c r="V79" t="b">
        <v>0</v>
      </c>
      <c r="X79" t="b">
        <v>0</v>
      </c>
      <c r="AA79" t="b">
        <v>0</v>
      </c>
      <c r="AD79" t="b">
        <v>0</v>
      </c>
      <c r="AE79" t="s">
        <v>28</v>
      </c>
      <c r="AF79" t="s">
        <v>29</v>
      </c>
      <c r="AG79" t="s">
        <v>36</v>
      </c>
      <c r="AH79">
        <v>226</v>
      </c>
      <c r="AI79" t="s">
        <v>431</v>
      </c>
      <c r="AJ79" t="s">
        <v>166</v>
      </c>
      <c r="AK79" s="26" t="s">
        <v>377</v>
      </c>
      <c r="AL79" s="22">
        <f>(TABLE1[[#This Row],[TP Price]]-TABLE1[[#This Row],[Intended Entry]])/(TABLE1[[#This Row],[Intended Entry]]-TABLE1[[#This Row],[SL Price]])</f>
        <v>3</v>
      </c>
      <c r="AM79" s="24">
        <f>IF(TABLE1[[#This Row],[Buy/Sell]]="BUY",(TABLE1[[#This Row],[Highest Price]]-TABLE1[[#This Row],[Entry Price]])/(TABLE1[[#This Row],[Intended Entry]]-TABLE1[[#This Row],[SL Price]]),(TABLE1[[#This Row],[Entry Price]]-TABLE1[[#This Row],[Lowest Price]])/(TABLE1[[#This Row],[SL Price]]-TABLE1[[#This Row],[Intended Entry]]))</f>
        <v>2.2499999999999947</v>
      </c>
      <c r="AN79" s="25">
        <f>IF(TABLE1[[#This Row],[Buy/Sell]]="BUY",(TABLE1[[#This Row],[Entry Price]]-TABLE1[[#This Row],[Lowest Price]])/(TABLE1[[#This Row],[SL Price]]-TABLE1[[#This Row],[Intended Entry]]),(TABLE1[[#This Row],[Entry Price]]-TABLE1[[#This Row],[Highest Price]])/(TABLE1[[#This Row],[SL Price]]-TABLE1[[#This Row],[Intended Entry]]))</f>
        <v>-1.7500000000000056</v>
      </c>
      <c r="AO79" s="5" t="str">
        <f>IF(TABLE1[[#This Row],[Gain/Loss]]&lt;0, "LOSER", "WINNER")</f>
        <v>LOSER</v>
      </c>
      <c r="AP79" s="5">
        <f>TABLE1[[#This Row],[Gain/Loss]]-TABLE1[[#This Row],[Comissions]]</f>
        <v>-19.670000000000002</v>
      </c>
      <c r="AQ79" s="4">
        <f>TABLE1[[#This Row],[Exit Time]]-TABLE1[[#This Row],[Entry Time]]</f>
        <v>4.8611111111110938E-3</v>
      </c>
      <c r="AR79" s="21">
        <f>IF(TABLE1[[#This Row],[Retest Price]]&lt;&gt;FALSE,ROUND((TABLE1[[#This Row],[Retest Price]]-TABLE1[[#This Row],[Entry Price]])/(TABLE1[[#This Row],[Intended Entry]]-TABLE1[[#This Row],[SL Price]]),4), "FALSE")</f>
        <v>-1.75</v>
      </c>
      <c r="AS79" s="5">
        <f>TABLE1[[#This Row],[Net Gain/Loss]]+AS78</f>
        <v>-424.20400000000018</v>
      </c>
      <c r="AT79" s="5">
        <f>IF(TABLE1[[#This Row],[Potential Price Before BE]]=FALSE,"FALSE",( TABLE1[[#This Row],[Potential Price Before BE]]-TABLE1[[#This Row],[Intended Entry]])/(TABLE1[[#This Row],[Intended Entry]]-TABLE1[[#This Row],[SL Price]]))</f>
        <v>2.4999999999999889</v>
      </c>
      <c r="AU79" s="5">
        <f>(IF(TABLE1[[#This Row],[Buy/Sell]]="BUY",(TABLE1[[#This Row],[Entry Price]]-TABLE1[[#This Row],[SL Price]])/(TABLE1[[#This Row],[Intended Entry]]-TABLE1[[#This Row],[SL Price]]),(TABLE1[[#This Row],[SL Price]]-TABLE1[[#This Row],[Entry Price]])/(TABLE1[[#This Row],[SL Price]]-TABLE1[[#This Row],[Intended Entry]])))-1</f>
        <v>0.24999999999999445</v>
      </c>
      <c r="AV79"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0.45000000000001666</v>
      </c>
      <c r="AW79" s="21">
        <f>TABLE1[[#This Row],[Missed RRR on Entry]]+TABLE1[[#This Row],[Missed RRR on Exit]]</f>
        <v>0.70000000000001106</v>
      </c>
      <c r="AX79" s="21">
        <f>ROUND((TABLE1[[#This Row],[Potential Price]]-TABLE1[[#This Row],[Entry Price]])/(TABLE1[[#This Row],[Intended Entry]]-TABLE1[[#This Row],[SL Price]]),4)</f>
        <v>2.25</v>
      </c>
      <c r="AY79" s="21">
        <f>ROUND((TABLE1[[#This Row],[Potential Price]]-TABLE1[[#This Row],[Intended Entry]])/(TABLE1[[#This Row],[Intended Entry]]-TABLE1[[#This Row],[SL Price]]),4)</f>
        <v>2.5</v>
      </c>
      <c r="AZ79" s="21">
        <f>TABLE1[[#This Row],[RRR Potential]]-TABLE1[[#This Row],[RRR Realized]]</f>
        <v>3.95</v>
      </c>
      <c r="BA79" s="29">
        <f>ROUND((TABLE1[[#This Row],[Exit Price]]-TABLE1[[#This Row],[Entry Price]])/(TABLE1[[#This Row],[Intended Entry]]-TABLE1[[#This Row],[SL Price]]),4)</f>
        <v>-1.7</v>
      </c>
      <c r="BB79"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-1.7</v>
      </c>
      <c r="BC79"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-0.24999999999999445</v>
      </c>
      <c r="BD79"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-0.24999999999999445</v>
      </c>
      <c r="BE79"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-1.7</v>
      </c>
      <c r="BF79"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-1.7</v>
      </c>
      <c r="BG79"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-1.7</v>
      </c>
      <c r="BH79"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-1.7</v>
      </c>
      <c r="BI79"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-0.24999999999999445</v>
      </c>
      <c r="BJ79"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-0.24999999999999445</v>
      </c>
      <c r="BK79"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-0.24999999999999445</v>
      </c>
      <c r="BL79"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-0.24999999999999445</v>
      </c>
      <c r="BM79"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-0.24999999999999445</v>
      </c>
      <c r="BN79"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-0.24999999999999445</v>
      </c>
      <c r="BO79"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-0.24999999999999445</v>
      </c>
      <c r="BP79"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-0.24999999999999445</v>
      </c>
      <c r="BQ79"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-1.7</v>
      </c>
      <c r="BR79"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-0.24999999999999445</v>
      </c>
      <c r="BS79"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-0.24999999999999445</v>
      </c>
      <c r="BT79"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-1.7</v>
      </c>
      <c r="BU79"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-0.24999999999999445</v>
      </c>
      <c r="BV79"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-0.24999999999999445</v>
      </c>
      <c r="BW79"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-1.7</v>
      </c>
      <c r="BX79"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-0.24999999999999445</v>
      </c>
      <c r="BY79"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-0.24999999999999445</v>
      </c>
      <c r="BZ79" s="24">
        <f>IF( TABLE1[[#This Row],[Wick Exit]]&lt;&gt; FALSE,TABLE1[[#This Row],[RRR Wick Exit]],IF(TABLE1[[#This Row],[Volume Exit]]&lt;&gt; FALSE,TABLE1[[#This Row],[RRR Volume Exit]],TABLE1[[#This Row],[RRR Realized]]))</f>
        <v>-1.7</v>
      </c>
      <c r="CA79"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-1.7</v>
      </c>
      <c r="CB79"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-1.7</v>
      </c>
      <c r="CC79"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-0.24999999999999445</v>
      </c>
      <c r="CD79"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-0.24999999999999445</v>
      </c>
    </row>
    <row r="80" spans="1:82" x14ac:dyDescent="0.25">
      <c r="A80" t="s">
        <v>379</v>
      </c>
      <c r="B80">
        <v>79</v>
      </c>
      <c r="C80" s="2">
        <v>43524</v>
      </c>
      <c r="D80" s="1">
        <v>0.41180555555555554</v>
      </c>
      <c r="E80" s="1">
        <v>0.43194444444444446</v>
      </c>
      <c r="F80" s="5">
        <v>2.02</v>
      </c>
      <c r="G80" s="5">
        <v>-11.69</v>
      </c>
      <c r="H80" s="17">
        <v>100</v>
      </c>
      <c r="I80" t="s">
        <v>19</v>
      </c>
      <c r="J80" t="s">
        <v>22</v>
      </c>
      <c r="K80">
        <v>6.48</v>
      </c>
      <c r="L80">
        <v>6.4660000000000002</v>
      </c>
      <c r="M80">
        <v>6.38</v>
      </c>
      <c r="N80">
        <v>6.78</v>
      </c>
      <c r="O80">
        <v>6.35</v>
      </c>
      <c r="P80">
        <v>6.57</v>
      </c>
      <c r="Q80">
        <v>6.38</v>
      </c>
      <c r="R80">
        <v>6.57</v>
      </c>
      <c r="S80">
        <v>6.57</v>
      </c>
      <c r="T80" t="b">
        <v>0</v>
      </c>
      <c r="U80" t="b">
        <v>0</v>
      </c>
      <c r="V80" t="b">
        <v>0</v>
      </c>
      <c r="W80" t="b">
        <v>0</v>
      </c>
      <c r="X80">
        <v>6.45</v>
      </c>
      <c r="Y80" t="b">
        <v>0</v>
      </c>
      <c r="Z80" t="b">
        <v>0</v>
      </c>
      <c r="AA80" t="b">
        <v>0</v>
      </c>
      <c r="AD80">
        <v>6.45</v>
      </c>
      <c r="AE80" t="s">
        <v>25</v>
      </c>
      <c r="AF80" t="s">
        <v>29</v>
      </c>
      <c r="AG80" t="s">
        <v>34</v>
      </c>
      <c r="AH80">
        <v>74</v>
      </c>
      <c r="AI80" t="s">
        <v>434</v>
      </c>
      <c r="AJ80" t="s">
        <v>163</v>
      </c>
      <c r="AK80" s="26" t="s">
        <v>380</v>
      </c>
      <c r="AL80" s="22">
        <f>(TABLE1[[#This Row],[TP Price]]-TABLE1[[#This Row],[Intended Entry]])/(TABLE1[[#This Row],[Intended Entry]]-TABLE1[[#This Row],[SL Price]])</f>
        <v>2.9999999999999822</v>
      </c>
      <c r="AM80" s="24">
        <f>IF(TABLE1[[#This Row],[Buy/Sell]]="BUY",(TABLE1[[#This Row],[Highest Price]]-TABLE1[[#This Row],[Entry Price]])/(TABLE1[[#This Row],[Intended Entry]]-TABLE1[[#This Row],[SL Price]]),(TABLE1[[#This Row],[Entry Price]]-TABLE1[[#This Row],[Lowest Price]])/(TABLE1[[#This Row],[SL Price]]-TABLE1[[#This Row],[Intended Entry]]))</f>
        <v>1.0399999999999954</v>
      </c>
      <c r="AN80" s="25">
        <f>IF(TABLE1[[#This Row],[Buy/Sell]]="BUY",(TABLE1[[#This Row],[Entry Price]]-TABLE1[[#This Row],[Lowest Price]])/(TABLE1[[#This Row],[SL Price]]-TABLE1[[#This Row],[Intended Entry]]),(TABLE1[[#This Row],[Entry Price]]-TABLE1[[#This Row],[Highest Price]])/(TABLE1[[#This Row],[SL Price]]-TABLE1[[#This Row],[Intended Entry]]))</f>
        <v>-0.85999999999999843</v>
      </c>
      <c r="AO80" s="5" t="str">
        <f>IF(TABLE1[[#This Row],[Gain/Loss]]&lt;0, "LOSER", "WINNER")</f>
        <v>LOSER</v>
      </c>
      <c r="AP80" s="5">
        <f>TABLE1[[#This Row],[Gain/Loss]]-TABLE1[[#This Row],[Comissions]]</f>
        <v>-13.709999999999999</v>
      </c>
      <c r="AQ80" s="4">
        <f>TABLE1[[#This Row],[Exit Time]]-TABLE1[[#This Row],[Entry Time]]</f>
        <v>2.0138888888888928E-2</v>
      </c>
      <c r="AR80" s="21" t="str">
        <f>IF(TABLE1[[#This Row],[Retest Price]]&lt;&gt;FALSE,ROUND((TABLE1[[#This Row],[Retest Price]]-TABLE1[[#This Row],[Entry Price]])/(TABLE1[[#This Row],[Intended Entry]]-TABLE1[[#This Row],[SL Price]]),4), "FALSE")</f>
        <v>FALSE</v>
      </c>
      <c r="AS80" s="5">
        <f>TABLE1[[#This Row],[Net Gain/Loss]]+AS79</f>
        <v>-437.91400000000016</v>
      </c>
      <c r="AT80" s="5">
        <f>IF(TABLE1[[#This Row],[Potential Price Before BE]]=FALSE,"FALSE",( TABLE1[[#This Row],[Potential Price Before BE]]-TABLE1[[#This Row],[Intended Entry]])/(TABLE1[[#This Row],[Intended Entry]]-TABLE1[[#This Row],[SL Price]]))</f>
        <v>0.8999999999999938</v>
      </c>
      <c r="AU80" s="5">
        <f>(IF(TABLE1[[#This Row],[Buy/Sell]]="BUY",(TABLE1[[#This Row],[Entry Price]]-TABLE1[[#This Row],[SL Price]])/(TABLE1[[#This Row],[Intended Entry]]-TABLE1[[#This Row],[SL Price]]),(TABLE1[[#This Row],[SL Price]]-TABLE1[[#This Row],[Entry Price]])/(TABLE1[[#This Row],[SL Price]]-TABLE1[[#This Row],[Intended Entry]])))-1</f>
        <v>-0.14000000000000157</v>
      </c>
      <c r="AV80"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0.30000000000000088</v>
      </c>
      <c r="AW80" s="21">
        <f>TABLE1[[#This Row],[Missed RRR on Entry]]+TABLE1[[#This Row],[Missed RRR on Exit]]</f>
        <v>0.15999999999999931</v>
      </c>
      <c r="AX80" s="21">
        <f>ROUND((TABLE1[[#This Row],[Potential Price]]-TABLE1[[#This Row],[Entry Price]])/(TABLE1[[#This Row],[Intended Entry]]-TABLE1[[#This Row],[SL Price]]),4)</f>
        <v>1.04</v>
      </c>
      <c r="AY80" s="21">
        <f>ROUND((TABLE1[[#This Row],[Potential Price]]-TABLE1[[#This Row],[Intended Entry]])/(TABLE1[[#This Row],[Intended Entry]]-TABLE1[[#This Row],[SL Price]]),4)</f>
        <v>0.9</v>
      </c>
      <c r="AZ80" s="21">
        <f>TABLE1[[#This Row],[RRR Potential]]-TABLE1[[#This Row],[RRR Realized]]</f>
        <v>2.2000000000000002</v>
      </c>
      <c r="BA80" s="29">
        <f>ROUND((TABLE1[[#This Row],[Exit Price]]-TABLE1[[#This Row],[Entry Price]])/(TABLE1[[#This Row],[Intended Entry]]-TABLE1[[#This Row],[SL Price]]),4)</f>
        <v>-1.1599999999999999</v>
      </c>
      <c r="BB80"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-1.1599999999999999</v>
      </c>
      <c r="BC80"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-1.1599999999999999</v>
      </c>
      <c r="BD80"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-1.1599999999999999</v>
      </c>
      <c r="BE80"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-1.1599999999999999</v>
      </c>
      <c r="BF80"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-1.1599999999999999</v>
      </c>
      <c r="BG80"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-1.1599999999999999</v>
      </c>
      <c r="BH80"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-1.1599999999999999</v>
      </c>
      <c r="BI80"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-1.1599999999999999</v>
      </c>
      <c r="BJ80"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-1.1599999999999999</v>
      </c>
      <c r="BK80"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-1.1599999999999999</v>
      </c>
      <c r="BL80"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-1.1599999999999999</v>
      </c>
      <c r="BM80"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-1.1599999999999999</v>
      </c>
      <c r="BN80"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-1.1599999999999999</v>
      </c>
      <c r="BO80"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-1.1599999999999999</v>
      </c>
      <c r="BP80"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-1.1599999999999999</v>
      </c>
      <c r="BQ80"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-1.1599999999999999</v>
      </c>
      <c r="BR80"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-1.1599999999999999</v>
      </c>
      <c r="BS80"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-1.1599999999999999</v>
      </c>
      <c r="BT80"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-0.15999999999999928</v>
      </c>
      <c r="BU80"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-0.15999999999999928</v>
      </c>
      <c r="BV80"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-0.15999999999999928</v>
      </c>
      <c r="BW80"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-0.15999999999999928</v>
      </c>
      <c r="BX80"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-0.15999999999999928</v>
      </c>
      <c r="BY80"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-0.15999999999999928</v>
      </c>
      <c r="BZ80" s="24">
        <f>IF( TABLE1[[#This Row],[Wick Exit]]&lt;&gt; FALSE,TABLE1[[#This Row],[RRR Wick Exit]],IF(TABLE1[[#This Row],[Volume Exit]]&lt;&gt; FALSE,TABLE1[[#This Row],[RRR Volume Exit]],TABLE1[[#This Row],[RRR Realized]]))</f>
        <v>-0.15999999999999928</v>
      </c>
      <c r="CA80"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-0.15999999999999928</v>
      </c>
      <c r="CB80"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-0.15999999999999928</v>
      </c>
      <c r="CC80"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-0.15999999999999928</v>
      </c>
      <c r="CD80"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-0.15999999999999928</v>
      </c>
    </row>
    <row r="81" spans="1:82" x14ac:dyDescent="0.25">
      <c r="A81" t="s">
        <v>381</v>
      </c>
      <c r="B81">
        <v>80</v>
      </c>
      <c r="C81" s="2">
        <v>43524</v>
      </c>
      <c r="D81" s="1">
        <v>0.42986111111111108</v>
      </c>
      <c r="E81" s="1">
        <v>0.44097222222222227</v>
      </c>
      <c r="F81" s="5">
        <v>3.04</v>
      </c>
      <c r="G81" s="5">
        <v>-17.28</v>
      </c>
      <c r="H81" s="17">
        <v>300</v>
      </c>
      <c r="I81" t="s">
        <v>19</v>
      </c>
      <c r="J81" t="s">
        <v>23</v>
      </c>
      <c r="K81">
        <v>1.49</v>
      </c>
      <c r="L81">
        <v>1.4910000000000001</v>
      </c>
      <c r="M81">
        <v>1.52</v>
      </c>
      <c r="N81">
        <v>1.4</v>
      </c>
      <c r="O81">
        <v>1.548</v>
      </c>
      <c r="P81">
        <v>1.55</v>
      </c>
      <c r="Q81">
        <v>1.46</v>
      </c>
      <c r="R81">
        <v>1.46</v>
      </c>
      <c r="S81">
        <v>1.46</v>
      </c>
      <c r="T81" t="b">
        <v>0</v>
      </c>
      <c r="U81" t="b">
        <v>0</v>
      </c>
      <c r="V81" t="b">
        <v>0</v>
      </c>
      <c r="W81" t="b">
        <v>0</v>
      </c>
      <c r="X81">
        <v>1.52</v>
      </c>
      <c r="Y81" t="b">
        <v>0</v>
      </c>
      <c r="Z81" t="b">
        <v>0</v>
      </c>
      <c r="AA81" t="b">
        <v>0</v>
      </c>
      <c r="AD81" t="b">
        <v>0</v>
      </c>
      <c r="AE81" t="s">
        <v>25</v>
      </c>
      <c r="AF81" t="s">
        <v>30</v>
      </c>
      <c r="AG81" t="s">
        <v>38</v>
      </c>
      <c r="AH81">
        <v>37.97</v>
      </c>
      <c r="AI81" t="s">
        <v>52</v>
      </c>
      <c r="AJ81" t="s">
        <v>163</v>
      </c>
      <c r="AK81" s="26" t="s">
        <v>382</v>
      </c>
      <c r="AL81" s="22">
        <f>(TABLE1[[#This Row],[TP Price]]-TABLE1[[#This Row],[Intended Entry]])/(TABLE1[[#This Row],[Intended Entry]]-TABLE1[[#This Row],[SL Price]])</f>
        <v>3</v>
      </c>
      <c r="AM81" s="24">
        <f>IF(TABLE1[[#This Row],[Buy/Sell]]="BUY",(TABLE1[[#This Row],[Highest Price]]-TABLE1[[#This Row],[Entry Price]])/(TABLE1[[#This Row],[Intended Entry]]-TABLE1[[#This Row],[SL Price]]),(TABLE1[[#This Row],[Entry Price]]-TABLE1[[#This Row],[Lowest Price]])/(TABLE1[[#This Row],[SL Price]]-TABLE1[[#This Row],[Intended Entry]]))</f>
        <v>1.033333333333337</v>
      </c>
      <c r="AN81" s="25">
        <f>IF(TABLE1[[#This Row],[Buy/Sell]]="BUY",(TABLE1[[#This Row],[Entry Price]]-TABLE1[[#This Row],[Lowest Price]])/(TABLE1[[#This Row],[SL Price]]-TABLE1[[#This Row],[Intended Entry]]),(TABLE1[[#This Row],[Entry Price]]-TABLE1[[#This Row],[Highest Price]])/(TABLE1[[#This Row],[SL Price]]-TABLE1[[#This Row],[Intended Entry]]))</f>
        <v>-1.966666666666663</v>
      </c>
      <c r="AO81" s="5" t="str">
        <f>IF(TABLE1[[#This Row],[Gain/Loss]]&lt;0, "LOSER", "WINNER")</f>
        <v>LOSER</v>
      </c>
      <c r="AP81" s="5">
        <f>TABLE1[[#This Row],[Gain/Loss]]-TABLE1[[#This Row],[Comissions]]</f>
        <v>-20.32</v>
      </c>
      <c r="AQ81" s="4">
        <f>TABLE1[[#This Row],[Exit Time]]-TABLE1[[#This Row],[Entry Time]]</f>
        <v>1.1111111111111183E-2</v>
      </c>
      <c r="AR81" s="21" t="str">
        <f>IF(TABLE1[[#This Row],[Retest Price]]&lt;&gt;FALSE,ROUND((TABLE1[[#This Row],[Retest Price]]-TABLE1[[#This Row],[Entry Price]])/(TABLE1[[#This Row],[Intended Entry]]-TABLE1[[#This Row],[SL Price]]),4), "FALSE")</f>
        <v>FALSE</v>
      </c>
      <c r="AS81" s="5">
        <f>TABLE1[[#This Row],[Net Gain/Loss]]+AS80</f>
        <v>-458.23400000000015</v>
      </c>
      <c r="AT81" s="5">
        <f>IF(TABLE1[[#This Row],[Potential Price Before BE]]=FALSE,"FALSE",( TABLE1[[#This Row],[Potential Price Before BE]]-TABLE1[[#This Row],[Intended Entry]])/(TABLE1[[#This Row],[Intended Entry]]-TABLE1[[#This Row],[SL Price]]))</f>
        <v>1</v>
      </c>
      <c r="AU81" s="5">
        <f>(IF(TABLE1[[#This Row],[Buy/Sell]]="BUY",(TABLE1[[#This Row],[Entry Price]]-TABLE1[[#This Row],[SL Price]])/(TABLE1[[#This Row],[Intended Entry]]-TABLE1[[#This Row],[SL Price]]),(TABLE1[[#This Row],[SL Price]]-TABLE1[[#This Row],[Entry Price]])/(TABLE1[[#This Row],[SL Price]]-TABLE1[[#This Row],[Intended Entry]])))-1</f>
        <v>-3.333333333333699E-2</v>
      </c>
      <c r="AV81"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0.96551724137931405</v>
      </c>
      <c r="AW81" s="21">
        <f>TABLE1[[#This Row],[Missed RRR on Entry]]+TABLE1[[#This Row],[Missed RRR on Exit]]</f>
        <v>0.93218390804597706</v>
      </c>
      <c r="AX81" s="21">
        <f>ROUND((TABLE1[[#This Row],[Potential Price]]-TABLE1[[#This Row],[Entry Price]])/(TABLE1[[#This Row],[Intended Entry]]-TABLE1[[#This Row],[SL Price]]),4)</f>
        <v>1.0333000000000001</v>
      </c>
      <c r="AY81" s="21">
        <f>ROUND((TABLE1[[#This Row],[Potential Price]]-TABLE1[[#This Row],[Intended Entry]])/(TABLE1[[#This Row],[Intended Entry]]-TABLE1[[#This Row],[SL Price]]),4)</f>
        <v>1</v>
      </c>
      <c r="AZ81" s="21"/>
      <c r="BA81" s="29">
        <f>ROUND((TABLE1[[#This Row],[Exit Price]]-TABLE1[[#This Row],[Entry Price]])/(TABLE1[[#This Row],[Intended Entry]]-TABLE1[[#This Row],[SL Price]]),4)</f>
        <v>-1.9</v>
      </c>
      <c r="BB81"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v>
      </c>
      <c r="BC81"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v>
      </c>
      <c r="BD81"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v>
      </c>
      <c r="BE81"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v>
      </c>
      <c r="BF81"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v>
      </c>
      <c r="BG81"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v>
      </c>
      <c r="BH81"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v>
      </c>
      <c r="BI81"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v>
      </c>
      <c r="BJ81"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v>
      </c>
      <c r="BK81"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v>
      </c>
      <c r="BL81"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v>
      </c>
      <c r="BM81"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v>
      </c>
      <c r="BN81"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v>
      </c>
      <c r="BO81"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v>
      </c>
      <c r="BP81"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v>
      </c>
      <c r="BQ81"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v>
      </c>
      <c r="BR81"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v>
      </c>
      <c r="BS81"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v>
      </c>
      <c r="BT81"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-0.96666666666666301</v>
      </c>
      <c r="BU81"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-0.96666666666666301</v>
      </c>
      <c r="BV81"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-0.96666666666666301</v>
      </c>
      <c r="BW81"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-49.69999999999996</v>
      </c>
      <c r="BX81"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-0.96666666666666301</v>
      </c>
      <c r="BY81"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-0.96666666666666301</v>
      </c>
      <c r="BZ81" s="24">
        <f>IF( TABLE1[[#This Row],[Wick Exit]]&lt;&gt; FALSE,TABLE1[[#This Row],[RRR Wick Exit]],IF(TABLE1[[#This Row],[Volume Exit]]&lt;&gt; FALSE,TABLE1[[#This Row],[RRR Volume Exit]],TABLE1[[#This Row],[RRR Realized]]))</f>
        <v>-49.69999999999996</v>
      </c>
      <c r="CA81"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-1.9</v>
      </c>
      <c r="CB81"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v>
      </c>
      <c r="CC81"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v>
      </c>
      <c r="CD81"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v>
      </c>
    </row>
    <row r="82" spans="1:82" x14ac:dyDescent="0.25">
      <c r="A82" t="s">
        <v>383</v>
      </c>
      <c r="B82">
        <v>81</v>
      </c>
      <c r="C82" s="2">
        <v>43524</v>
      </c>
      <c r="D82" s="1">
        <v>0.44375000000000003</v>
      </c>
      <c r="E82" s="1">
        <v>0.44444444444444442</v>
      </c>
      <c r="F82" s="5">
        <v>2.02</v>
      </c>
      <c r="G82" s="5">
        <v>27.06</v>
      </c>
      <c r="H82" s="17">
        <v>66</v>
      </c>
      <c r="I82" t="s">
        <v>19</v>
      </c>
      <c r="J82" t="s">
        <v>22</v>
      </c>
      <c r="K82">
        <v>7.96</v>
      </c>
      <c r="L82">
        <v>8</v>
      </c>
      <c r="M82">
        <v>7.81</v>
      </c>
      <c r="N82">
        <v>8.41</v>
      </c>
      <c r="O82">
        <v>8.41</v>
      </c>
      <c r="P82">
        <v>8.41</v>
      </c>
      <c r="Q82">
        <v>7.95</v>
      </c>
      <c r="R82" t="b">
        <v>0</v>
      </c>
      <c r="S82">
        <v>10.39</v>
      </c>
      <c r="T82" t="b">
        <v>0</v>
      </c>
      <c r="U82" t="b">
        <v>0</v>
      </c>
      <c r="V82" t="b">
        <v>1</v>
      </c>
      <c r="X82">
        <v>9.33</v>
      </c>
      <c r="Y82">
        <v>5</v>
      </c>
      <c r="Z82" t="b">
        <v>0</v>
      </c>
      <c r="AA82">
        <v>9.0299999999999994</v>
      </c>
      <c r="AB82">
        <v>5</v>
      </c>
      <c r="AC82" t="b">
        <v>0</v>
      </c>
      <c r="AD82" t="b">
        <v>0</v>
      </c>
      <c r="AE82" t="s">
        <v>26</v>
      </c>
      <c r="AF82" t="s">
        <v>29</v>
      </c>
      <c r="AG82" t="s">
        <v>36</v>
      </c>
      <c r="AH82">
        <v>3.18</v>
      </c>
      <c r="AI82" t="s">
        <v>431</v>
      </c>
      <c r="AJ82" t="s">
        <v>163</v>
      </c>
      <c r="AK82" s="26" t="s">
        <v>384</v>
      </c>
      <c r="AL82" s="22">
        <f>(TABLE1[[#This Row],[TP Price]]-TABLE1[[#This Row],[Intended Entry]])/(TABLE1[[#This Row],[Intended Entry]]-TABLE1[[#This Row],[SL Price]])</f>
        <v>2.9999999999999942</v>
      </c>
      <c r="AM82" s="24">
        <f>IF(TABLE1[[#This Row],[Buy/Sell]]="BUY",(TABLE1[[#This Row],[Highest Price]]-TABLE1[[#This Row],[Entry Price]])/(TABLE1[[#This Row],[Intended Entry]]-TABLE1[[#This Row],[SL Price]]),(TABLE1[[#This Row],[Entry Price]]-TABLE1[[#This Row],[Lowest Price]])/(TABLE1[[#This Row],[SL Price]]-TABLE1[[#This Row],[Intended Entry]]))</f>
        <v>2.7333333333333276</v>
      </c>
      <c r="AN82" s="25">
        <f>IF(TABLE1[[#This Row],[Buy/Sell]]="BUY",(TABLE1[[#This Row],[Entry Price]]-TABLE1[[#This Row],[Lowest Price]])/(TABLE1[[#This Row],[SL Price]]-TABLE1[[#This Row],[Intended Entry]]),(TABLE1[[#This Row],[Entry Price]]-TABLE1[[#This Row],[Highest Price]])/(TABLE1[[#This Row],[SL Price]]-TABLE1[[#This Row],[Intended Entry]]))</f>
        <v>-0.33333333333333137</v>
      </c>
      <c r="AO82" s="5" t="str">
        <f>IF(TABLE1[[#This Row],[Gain/Loss]]&lt;0, "LOSER", "WINNER")</f>
        <v>WINNER</v>
      </c>
      <c r="AP82" s="5">
        <f>TABLE1[[#This Row],[Gain/Loss]]-TABLE1[[#This Row],[Comissions]]</f>
        <v>25.04</v>
      </c>
      <c r="AQ82" s="4">
        <f>TABLE1[[#This Row],[Exit Time]]-TABLE1[[#This Row],[Entry Time]]</f>
        <v>6.9444444444438647E-4</v>
      </c>
      <c r="AR82" s="21" t="str">
        <f>IF(TABLE1[[#This Row],[Retest Price]]&lt;&gt;FALSE,ROUND((TABLE1[[#This Row],[Retest Price]]-TABLE1[[#This Row],[Entry Price]])/(TABLE1[[#This Row],[Intended Entry]]-TABLE1[[#This Row],[SL Price]]),4), "FALSE")</f>
        <v>FALSE</v>
      </c>
      <c r="AS82" s="5">
        <f>TABLE1[[#This Row],[Net Gain/Loss]]+AS81</f>
        <v>-433.19400000000013</v>
      </c>
      <c r="AT82" s="5" t="str">
        <f>IF(TABLE1[[#This Row],[Potential Price Before BE]]=FALSE,"FALSE",( TABLE1[[#This Row],[Potential Price Before BE]]-TABLE1[[#This Row],[Intended Entry]])/(TABLE1[[#This Row],[Intended Entry]]-TABLE1[[#This Row],[SL Price]]))</f>
        <v>FALSE</v>
      </c>
      <c r="AU82" s="5">
        <f>(IF(TABLE1[[#This Row],[Buy/Sell]]="BUY",(TABLE1[[#This Row],[Entry Price]]-TABLE1[[#This Row],[SL Price]])/(TABLE1[[#This Row],[Intended Entry]]-TABLE1[[#This Row],[SL Price]]),(TABLE1[[#This Row],[SL Price]]-TABLE1[[#This Row],[Entry Price]])/(TABLE1[[#This Row],[SL Price]]-TABLE1[[#This Row],[Intended Entry]])))-1</f>
        <v>0.26666666666666616</v>
      </c>
      <c r="AV82"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W82" s="21">
        <f>TABLE1[[#This Row],[Missed RRR on Entry]]+TABLE1[[#This Row],[Missed RRR on Exit]]</f>
        <v>0.26666666666666616</v>
      </c>
      <c r="AX82" s="21">
        <f>ROUND((TABLE1[[#This Row],[Potential Price]]-TABLE1[[#This Row],[Entry Price]])/(TABLE1[[#This Row],[Intended Entry]]-TABLE1[[#This Row],[SL Price]]),4)</f>
        <v>15.933299999999999</v>
      </c>
      <c r="AY82" s="21">
        <f>ROUND((TABLE1[[#This Row],[Potential Price]]-TABLE1[[#This Row],[Intended Entry]])/(TABLE1[[#This Row],[Intended Entry]]-TABLE1[[#This Row],[SL Price]]),4)</f>
        <v>16.2</v>
      </c>
      <c r="AZ82" s="21">
        <f>TABLE1[[#This Row],[RRR Potential]]-TABLE1[[#This Row],[RRR Realized]]</f>
        <v>13.2</v>
      </c>
      <c r="BA82" s="29">
        <f>ROUND((TABLE1[[#This Row],[Exit Price]]-TABLE1[[#This Row],[Entry Price]])/(TABLE1[[#This Row],[Intended Entry]]-TABLE1[[#This Row],[SL Price]]),4)</f>
        <v>2.7332999999999998</v>
      </c>
      <c r="BB82"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4.7333333333333343</v>
      </c>
      <c r="BC82"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4.7333333333333343</v>
      </c>
      <c r="BD82"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4.7333333333333343</v>
      </c>
      <c r="BE82"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4.7333333333333343</v>
      </c>
      <c r="BF82"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4.7333333333333343</v>
      </c>
      <c r="BG82"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4.7333333333333343</v>
      </c>
      <c r="BH82"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4.7333333333333343</v>
      </c>
      <c r="BI82"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4.7333333333333343</v>
      </c>
      <c r="BJ82"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4.7333333333333343</v>
      </c>
      <c r="BK82"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4.7333333333333343</v>
      </c>
      <c r="BL82"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4.7333333333333343</v>
      </c>
      <c r="BM82"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4.7333333333333343</v>
      </c>
      <c r="BN82"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4.7333333333333343</v>
      </c>
      <c r="BO82"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4.7333333333333343</v>
      </c>
      <c r="BP82"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4.7333333333333343</v>
      </c>
      <c r="BQ82"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4.7333333333333343</v>
      </c>
      <c r="BR82"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4.7333333333333343</v>
      </c>
      <c r="BS82"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4.7333333333333343</v>
      </c>
      <c r="BT82"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4.7333333333333343</v>
      </c>
      <c r="BU82"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4.7333333333333343</v>
      </c>
      <c r="BV82"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4.7333333333333343</v>
      </c>
      <c r="BW82"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8.8666666666666458</v>
      </c>
      <c r="BX82"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8.8666666666666458</v>
      </c>
      <c r="BY82"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8.8666666666666458</v>
      </c>
      <c r="BZ82" s="24">
        <f>IF( TABLE1[[#This Row],[Wick Exit]]&lt;&gt; FALSE,TABLE1[[#This Row],[RRR Wick Exit]],IF(TABLE1[[#This Row],[Volume Exit]]&lt;&gt; FALSE,TABLE1[[#This Row],[RRR Volume Exit]],TABLE1[[#This Row],[RRR Realized]]))</f>
        <v>8.8666666666666458</v>
      </c>
      <c r="CA82"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2.7332999999999998</v>
      </c>
      <c r="CB82"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4.7333333333333343</v>
      </c>
      <c r="CC82"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4.7333333333333343</v>
      </c>
      <c r="CD82"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4.7333333333333343</v>
      </c>
    </row>
    <row r="83" spans="1:82" x14ac:dyDescent="0.25">
      <c r="A83" t="s">
        <v>385</v>
      </c>
      <c r="B83">
        <v>82</v>
      </c>
      <c r="C83" s="2">
        <v>43525</v>
      </c>
      <c r="D83" s="1">
        <v>0.40486111111111112</v>
      </c>
      <c r="E83" s="1">
        <v>0.40833333333333338</v>
      </c>
      <c r="F83" s="5">
        <v>2.02</v>
      </c>
      <c r="G83" s="5">
        <v>29.5</v>
      </c>
      <c r="H83" s="17">
        <v>50</v>
      </c>
      <c r="I83" t="s">
        <v>19</v>
      </c>
      <c r="J83" t="s">
        <v>22</v>
      </c>
      <c r="K83">
        <v>3.91</v>
      </c>
      <c r="L83">
        <v>3.92</v>
      </c>
      <c r="M83">
        <f>-(3.91-3.66)/2+3.91</f>
        <v>3.7850000000000001</v>
      </c>
      <c r="N83">
        <f>0.125*3+3.91</f>
        <v>4.2850000000000001</v>
      </c>
      <c r="O83">
        <f>0.125*3+3.91</f>
        <v>4.2850000000000001</v>
      </c>
      <c r="P83">
        <f>0.125*3+3.91</f>
        <v>4.2850000000000001</v>
      </c>
      <c r="Q83">
        <v>3.84</v>
      </c>
      <c r="R83" t="b">
        <v>0</v>
      </c>
      <c r="S83">
        <v>5.44</v>
      </c>
      <c r="T83" t="b">
        <v>0</v>
      </c>
      <c r="U83" t="b">
        <v>0</v>
      </c>
      <c r="V83" t="b">
        <v>1</v>
      </c>
      <c r="X83">
        <v>4.3499999999999996</v>
      </c>
      <c r="Y83">
        <v>5</v>
      </c>
      <c r="Z83" t="b">
        <v>0</v>
      </c>
      <c r="AA83">
        <v>4.38</v>
      </c>
      <c r="AB83">
        <v>5</v>
      </c>
      <c r="AC83" t="b">
        <v>0</v>
      </c>
      <c r="AD83" t="b">
        <v>0</v>
      </c>
      <c r="AE83" t="s">
        <v>26</v>
      </c>
      <c r="AF83" t="s">
        <v>29</v>
      </c>
      <c r="AG83" t="s">
        <v>34</v>
      </c>
      <c r="AH83">
        <v>2.11</v>
      </c>
      <c r="AI83" t="s">
        <v>432</v>
      </c>
      <c r="AJ83" t="s">
        <v>163</v>
      </c>
      <c r="AK83" s="26" t="s">
        <v>388</v>
      </c>
      <c r="AL83" s="22">
        <f>(TABLE1[[#This Row],[TP Price]]-TABLE1[[#This Row],[Intended Entry]])/(TABLE1[[#This Row],[Intended Entry]]-TABLE1[[#This Row],[SL Price]])</f>
        <v>3</v>
      </c>
      <c r="AM83" s="24">
        <f>IF(TABLE1[[#This Row],[Buy/Sell]]="BUY",(TABLE1[[#This Row],[Highest Price]]-TABLE1[[#This Row],[Entry Price]])/(TABLE1[[#This Row],[Intended Entry]]-TABLE1[[#This Row],[SL Price]]),(TABLE1[[#This Row],[Entry Price]]-TABLE1[[#This Row],[Lowest Price]])/(TABLE1[[#This Row],[SL Price]]-TABLE1[[#This Row],[Intended Entry]]))</f>
        <v>2.9200000000000017</v>
      </c>
      <c r="AN83" s="25">
        <f>IF(TABLE1[[#This Row],[Buy/Sell]]="BUY",(TABLE1[[#This Row],[Entry Price]]-TABLE1[[#This Row],[Lowest Price]])/(TABLE1[[#This Row],[SL Price]]-TABLE1[[#This Row],[Intended Entry]]),(TABLE1[[#This Row],[Entry Price]]-TABLE1[[#This Row],[Highest Price]])/(TABLE1[[#This Row],[SL Price]]-TABLE1[[#This Row],[Intended Entry]]))</f>
        <v>-0.64000000000000057</v>
      </c>
      <c r="AO83" s="5" t="str">
        <f>IF(TABLE1[[#This Row],[Gain/Loss]]&lt;0, "LOSER", "WINNER")</f>
        <v>WINNER</v>
      </c>
      <c r="AP83" s="5">
        <f>TABLE1[[#This Row],[Gain/Loss]]-TABLE1[[#This Row],[Comissions]]</f>
        <v>27.48</v>
      </c>
      <c r="AQ83" s="4">
        <f>TABLE1[[#This Row],[Exit Time]]-TABLE1[[#This Row],[Entry Time]]</f>
        <v>3.4722222222222654E-3</v>
      </c>
      <c r="AR83" s="21" t="str">
        <f>IF(TABLE1[[#This Row],[Retest Price]]&lt;&gt;FALSE,ROUND((TABLE1[[#This Row],[Retest Price]]-TABLE1[[#This Row],[Entry Price]])/(TABLE1[[#This Row],[Intended Entry]]-TABLE1[[#This Row],[SL Price]]),4), "FALSE")</f>
        <v>FALSE</v>
      </c>
      <c r="AS83" s="5">
        <f>TABLE1[[#This Row],[Net Gain/Loss]]+AS82</f>
        <v>-405.71400000000011</v>
      </c>
      <c r="AT83" s="5" t="str">
        <f>IF(TABLE1[[#This Row],[Potential Price Before BE]]=FALSE,"FALSE",( TABLE1[[#This Row],[Potential Price Before BE]]-TABLE1[[#This Row],[Intended Entry]])/(TABLE1[[#This Row],[Intended Entry]]-TABLE1[[#This Row],[SL Price]]))</f>
        <v>FALSE</v>
      </c>
      <c r="AU83" s="5">
        <f>(IF(TABLE1[[#This Row],[Buy/Sell]]="BUY",(TABLE1[[#This Row],[Entry Price]]-TABLE1[[#This Row],[SL Price]])/(TABLE1[[#This Row],[Intended Entry]]-TABLE1[[#This Row],[SL Price]]),(TABLE1[[#This Row],[SL Price]]-TABLE1[[#This Row],[Entry Price]])/(TABLE1[[#This Row],[SL Price]]-TABLE1[[#This Row],[Intended Entry]])))-1</f>
        <v>7.9999999999998295E-2</v>
      </c>
      <c r="AV83"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W83" s="21">
        <f>TABLE1[[#This Row],[Missed RRR on Entry]]+TABLE1[[#This Row],[Missed RRR on Exit]]</f>
        <v>7.9999999999998295E-2</v>
      </c>
      <c r="AX83" s="21">
        <f>ROUND((TABLE1[[#This Row],[Potential Price]]-TABLE1[[#This Row],[Entry Price]])/(TABLE1[[#This Row],[Intended Entry]]-TABLE1[[#This Row],[SL Price]]),4)</f>
        <v>12.16</v>
      </c>
      <c r="AY83" s="21">
        <f>ROUND((TABLE1[[#This Row],[Potential Price]]-TABLE1[[#This Row],[Intended Entry]])/(TABLE1[[#This Row],[Intended Entry]]-TABLE1[[#This Row],[SL Price]]),4)</f>
        <v>12.24</v>
      </c>
      <c r="AZ83" s="21">
        <f>TABLE1[[#This Row],[RRR Potential]]-TABLE1[[#This Row],[RRR Realized]]</f>
        <v>9.24</v>
      </c>
      <c r="BA83" s="29">
        <f>ROUND((TABLE1[[#This Row],[Exit Price]]-TABLE1[[#This Row],[Entry Price]])/(TABLE1[[#This Row],[Intended Entry]]-TABLE1[[#This Row],[SL Price]]),4)</f>
        <v>2.92</v>
      </c>
      <c r="BB83"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4.9200000000000017</v>
      </c>
      <c r="BC83"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4.9200000000000017</v>
      </c>
      <c r="BD83"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4.9200000000000017</v>
      </c>
      <c r="BE83"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4.9200000000000017</v>
      </c>
      <c r="BF83"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4.9200000000000017</v>
      </c>
      <c r="BG83"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4.9200000000000017</v>
      </c>
      <c r="BH83"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4.9200000000000017</v>
      </c>
      <c r="BI83"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4.9200000000000017</v>
      </c>
      <c r="BJ83"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4.9200000000000017</v>
      </c>
      <c r="BK83"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4.9200000000000017</v>
      </c>
      <c r="BL83"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4.9200000000000017</v>
      </c>
      <c r="BM83"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4.9200000000000017</v>
      </c>
      <c r="BN83"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4.9200000000000017</v>
      </c>
      <c r="BO83"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4.9200000000000017</v>
      </c>
      <c r="BP83"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4.9200000000000017</v>
      </c>
      <c r="BQ83"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4.9200000000000017</v>
      </c>
      <c r="BR83"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4.9200000000000017</v>
      </c>
      <c r="BS83"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4.9200000000000017</v>
      </c>
      <c r="BT83"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4.9200000000000017</v>
      </c>
      <c r="BU83"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4.9200000000000017</v>
      </c>
      <c r="BV83"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4.9200000000000017</v>
      </c>
      <c r="BW83"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3.4399999999999977</v>
      </c>
      <c r="BX83"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3.4399999999999977</v>
      </c>
      <c r="BY83"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3.4399999999999977</v>
      </c>
      <c r="BZ83" s="24">
        <f>IF( TABLE1[[#This Row],[Wick Exit]]&lt;&gt; FALSE,TABLE1[[#This Row],[RRR Wick Exit]],IF(TABLE1[[#This Row],[Volume Exit]]&lt;&gt; FALSE,TABLE1[[#This Row],[RRR Volume Exit]],TABLE1[[#This Row],[RRR Realized]]))</f>
        <v>3.4399999999999977</v>
      </c>
      <c r="CA83"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2.92</v>
      </c>
      <c r="CB83"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4.9200000000000017</v>
      </c>
      <c r="CC83"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4.9200000000000017</v>
      </c>
      <c r="CD83"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4.9200000000000017</v>
      </c>
    </row>
    <row r="84" spans="1:82" x14ac:dyDescent="0.25">
      <c r="A84" t="s">
        <v>386</v>
      </c>
      <c r="B84">
        <v>83</v>
      </c>
      <c r="C84" s="2">
        <v>43525</v>
      </c>
      <c r="D84" s="1">
        <v>0.40833333333333338</v>
      </c>
      <c r="E84" s="1">
        <v>0.41180555555555554</v>
      </c>
      <c r="F84" s="5">
        <v>3.04</v>
      </c>
      <c r="G84" s="5">
        <f>-24</f>
        <v>-24</v>
      </c>
      <c r="H84" s="17">
        <v>300</v>
      </c>
      <c r="I84" t="s">
        <v>19</v>
      </c>
      <c r="J84" t="s">
        <v>22</v>
      </c>
      <c r="K84">
        <v>1.58</v>
      </c>
      <c r="L84">
        <v>1.58</v>
      </c>
      <c r="M84">
        <v>1.55</v>
      </c>
      <c r="N84">
        <v>1.67</v>
      </c>
      <c r="O84">
        <v>1.5</v>
      </c>
      <c r="P84">
        <v>1.65</v>
      </c>
      <c r="Q84">
        <v>1.5</v>
      </c>
      <c r="R84">
        <v>1.65</v>
      </c>
      <c r="S84">
        <v>1.65</v>
      </c>
      <c r="T84" t="b">
        <v>0</v>
      </c>
      <c r="U84">
        <v>1.56</v>
      </c>
      <c r="V84" t="b">
        <v>0</v>
      </c>
      <c r="X84" t="b">
        <v>0</v>
      </c>
      <c r="AA84" t="b">
        <v>0</v>
      </c>
      <c r="AD84" t="b">
        <v>0</v>
      </c>
      <c r="AE84" t="s">
        <v>26</v>
      </c>
      <c r="AF84" t="s">
        <v>32</v>
      </c>
      <c r="AG84" t="s">
        <v>34</v>
      </c>
      <c r="AH84">
        <v>4.5199999999999996</v>
      </c>
      <c r="AI84" t="s">
        <v>433</v>
      </c>
      <c r="AJ84" t="s">
        <v>163</v>
      </c>
      <c r="AK84" s="26" t="s">
        <v>387</v>
      </c>
      <c r="AL84" s="22">
        <f>(TABLE1[[#This Row],[TP Price]]-TABLE1[[#This Row],[Intended Entry]])/(TABLE1[[#This Row],[Intended Entry]]-TABLE1[[#This Row],[SL Price]])</f>
        <v>2.9999999999999925</v>
      </c>
      <c r="AM84" s="24">
        <f>IF(TABLE1[[#This Row],[Buy/Sell]]="BUY",(TABLE1[[#This Row],[Highest Price]]-TABLE1[[#This Row],[Entry Price]])/(TABLE1[[#This Row],[Intended Entry]]-TABLE1[[#This Row],[SL Price]]),(TABLE1[[#This Row],[Entry Price]]-TABLE1[[#This Row],[Lowest Price]])/(TABLE1[[#This Row],[SL Price]]-TABLE1[[#This Row],[Intended Entry]]))</f>
        <v>2.3333333333333259</v>
      </c>
      <c r="AN84" s="25">
        <f>IF(TABLE1[[#This Row],[Buy/Sell]]="BUY",(TABLE1[[#This Row],[Entry Price]]-TABLE1[[#This Row],[Lowest Price]])/(TABLE1[[#This Row],[SL Price]]-TABLE1[[#This Row],[Intended Entry]]),(TABLE1[[#This Row],[Entry Price]]-TABLE1[[#This Row],[Highest Price]])/(TABLE1[[#This Row],[SL Price]]-TABLE1[[#This Row],[Intended Entry]]))</f>
        <v>-2.6666666666666665</v>
      </c>
      <c r="AO84" s="5" t="str">
        <f>IF(TABLE1[[#This Row],[Gain/Loss]]&lt;0, "LOSER", "WINNER")</f>
        <v>LOSER</v>
      </c>
      <c r="AP84" s="5">
        <f>TABLE1[[#This Row],[Gain/Loss]]-TABLE1[[#This Row],[Comissions]]</f>
        <v>-27.04</v>
      </c>
      <c r="AQ84" s="4">
        <f>TABLE1[[#This Row],[Exit Time]]-TABLE1[[#This Row],[Entry Time]]</f>
        <v>3.4722222222221544E-3</v>
      </c>
      <c r="AR84" s="21">
        <f>IF(TABLE1[[#This Row],[Retest Price]]&lt;&gt;FALSE,ROUND((TABLE1[[#This Row],[Retest Price]]-TABLE1[[#This Row],[Entry Price]])/(TABLE1[[#This Row],[Intended Entry]]-TABLE1[[#This Row],[SL Price]]),4), "FALSE")</f>
        <v>-0.66669999999999996</v>
      </c>
      <c r="AS84" s="5">
        <f>TABLE1[[#This Row],[Net Gain/Loss]]+AS83</f>
        <v>-432.75400000000013</v>
      </c>
      <c r="AT84" s="5">
        <f>IF(TABLE1[[#This Row],[Potential Price Before BE]]=FALSE,"FALSE",( TABLE1[[#This Row],[Potential Price Before BE]]-TABLE1[[#This Row],[Intended Entry]])/(TABLE1[[#This Row],[Intended Entry]]-TABLE1[[#This Row],[SL Price]]))</f>
        <v>2.3333333333333259</v>
      </c>
      <c r="AU84" s="5">
        <f>(IF(TABLE1[[#This Row],[Buy/Sell]]="BUY",(TABLE1[[#This Row],[Entry Price]]-TABLE1[[#This Row],[SL Price]])/(TABLE1[[#This Row],[Intended Entry]]-TABLE1[[#This Row],[SL Price]]),(TABLE1[[#This Row],[SL Price]]-TABLE1[[#This Row],[Entry Price]])/(TABLE1[[#This Row],[SL Price]]-TABLE1[[#This Row],[Intended Entry]])))-1</f>
        <v>0</v>
      </c>
      <c r="AV84"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1.6666666666666667</v>
      </c>
      <c r="AW84" s="21">
        <f>TABLE1[[#This Row],[Missed RRR on Entry]]+TABLE1[[#This Row],[Missed RRR on Exit]]</f>
        <v>1.6666666666666667</v>
      </c>
      <c r="AX84" s="21">
        <f>ROUND((TABLE1[[#This Row],[Potential Price]]-TABLE1[[#This Row],[Entry Price]])/(TABLE1[[#This Row],[Intended Entry]]-TABLE1[[#This Row],[SL Price]]),4)</f>
        <v>2.3332999999999999</v>
      </c>
      <c r="AY84" s="21">
        <f>ROUND((TABLE1[[#This Row],[Potential Price]]-TABLE1[[#This Row],[Intended Entry]])/(TABLE1[[#This Row],[Intended Entry]]-TABLE1[[#This Row],[SL Price]]),4)</f>
        <v>2.3332999999999999</v>
      </c>
      <c r="AZ84" s="21">
        <f>TABLE1[[#This Row],[RRR Potential]]-TABLE1[[#This Row],[RRR Realized]]</f>
        <v>5</v>
      </c>
      <c r="BA84" s="29">
        <f>ROUND((TABLE1[[#This Row],[Exit Price]]-TABLE1[[#This Row],[Entry Price]])/(TABLE1[[#This Row],[Intended Entry]]-TABLE1[[#This Row],[SL Price]]),4)</f>
        <v>-2.6667000000000001</v>
      </c>
      <c r="BB84"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-2.6667000000000001</v>
      </c>
      <c r="BC84"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D84"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E84"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-2.6667000000000001</v>
      </c>
      <c r="BF84"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-2.6667000000000001</v>
      </c>
      <c r="BG84"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-2.6667000000000001</v>
      </c>
      <c r="BH84"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-2.6667000000000001</v>
      </c>
      <c r="BI84"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J84"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K84"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L84"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M84"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N84"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O84"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P84"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Q84"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-2.6667000000000001</v>
      </c>
      <c r="BR84"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S84"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T84"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-2.6667000000000001</v>
      </c>
      <c r="BU84"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V84"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W84"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-2.6667000000000001</v>
      </c>
      <c r="BX84"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v>
      </c>
      <c r="BY84"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v>
      </c>
      <c r="BZ84" s="24">
        <f>IF( TABLE1[[#This Row],[Wick Exit]]&lt;&gt; FALSE,TABLE1[[#This Row],[RRR Wick Exit]],IF(TABLE1[[#This Row],[Volume Exit]]&lt;&gt; FALSE,TABLE1[[#This Row],[RRR Volume Exit]],TABLE1[[#This Row],[RRR Realized]]))</f>
        <v>-2.6667000000000001</v>
      </c>
      <c r="CA84"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-2.6667000000000001</v>
      </c>
      <c r="CB84"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-2.6667000000000001</v>
      </c>
      <c r="CC84"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CD84"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row>
    <row r="85" spans="1:82" x14ac:dyDescent="0.25">
      <c r="A85" t="s">
        <v>385</v>
      </c>
      <c r="B85">
        <v>84</v>
      </c>
      <c r="C85" s="2">
        <v>43525</v>
      </c>
      <c r="D85" s="1">
        <v>0.41319444444444442</v>
      </c>
      <c r="E85" s="1">
        <v>0.42152777777777778</v>
      </c>
      <c r="F85" s="5">
        <v>2.02</v>
      </c>
      <c r="G85" s="5">
        <v>29.04</v>
      </c>
      <c r="H85" s="17">
        <v>66</v>
      </c>
      <c r="I85" t="s">
        <v>19</v>
      </c>
      <c r="J85" t="s">
        <v>22</v>
      </c>
      <c r="K85">
        <v>4.62</v>
      </c>
      <c r="L85">
        <v>4.63</v>
      </c>
      <c r="M85">
        <v>4.47</v>
      </c>
      <c r="N85">
        <v>5.07</v>
      </c>
      <c r="O85">
        <v>5.07</v>
      </c>
      <c r="P85">
        <v>5.07</v>
      </c>
      <c r="Q85">
        <v>4.55</v>
      </c>
      <c r="R85">
        <v>5.05</v>
      </c>
      <c r="S85">
        <v>5.44</v>
      </c>
      <c r="T85" t="b">
        <v>0</v>
      </c>
      <c r="U85" t="b">
        <v>0</v>
      </c>
      <c r="V85" t="b">
        <v>1</v>
      </c>
      <c r="X85">
        <v>5.2</v>
      </c>
      <c r="Y85">
        <v>5</v>
      </c>
      <c r="Z85">
        <v>1.5</v>
      </c>
      <c r="AA85">
        <v>5.08</v>
      </c>
      <c r="AB85">
        <v>5</v>
      </c>
      <c r="AC85">
        <v>1.5</v>
      </c>
      <c r="AD85">
        <v>4.7300000000000004</v>
      </c>
      <c r="AE85" t="s">
        <v>28</v>
      </c>
      <c r="AF85" t="s">
        <v>29</v>
      </c>
      <c r="AG85" t="s">
        <v>34</v>
      </c>
      <c r="AH85">
        <v>2.11</v>
      </c>
      <c r="AI85" t="s">
        <v>431</v>
      </c>
      <c r="AJ85" t="s">
        <v>163</v>
      </c>
      <c r="AK85" s="26" t="s">
        <v>388</v>
      </c>
      <c r="AL85" s="22">
        <f>(TABLE1[[#This Row],[TP Price]]-TABLE1[[#This Row],[Intended Entry]])/(TABLE1[[#This Row],[Intended Entry]]-TABLE1[[#This Row],[SL Price]])</f>
        <v>2.9999999999999942</v>
      </c>
      <c r="AM85" s="24">
        <f>IF(TABLE1[[#This Row],[Buy/Sell]]="BUY",(TABLE1[[#This Row],[Highest Price]]-TABLE1[[#This Row],[Entry Price]])/(TABLE1[[#This Row],[Intended Entry]]-TABLE1[[#This Row],[SL Price]]),(TABLE1[[#This Row],[Entry Price]]-TABLE1[[#This Row],[Lowest Price]])/(TABLE1[[#This Row],[SL Price]]-TABLE1[[#This Row],[Intended Entry]]))</f>
        <v>2.9333333333333291</v>
      </c>
      <c r="AN85" s="25">
        <f>IF(TABLE1[[#This Row],[Buy/Sell]]="BUY",(TABLE1[[#This Row],[Entry Price]]-TABLE1[[#This Row],[Lowest Price]])/(TABLE1[[#This Row],[SL Price]]-TABLE1[[#This Row],[Intended Entry]]),(TABLE1[[#This Row],[Entry Price]]-TABLE1[[#This Row],[Highest Price]])/(TABLE1[[#This Row],[SL Price]]-TABLE1[[#This Row],[Intended Entry]]))</f>
        <v>-0.53333333333333255</v>
      </c>
      <c r="AO85" s="5" t="str">
        <f>IF(TABLE1[[#This Row],[Gain/Loss]]&lt;0, "LOSER", "WINNER")</f>
        <v>WINNER</v>
      </c>
      <c r="AP85" s="5">
        <f>TABLE1[[#This Row],[Gain/Loss]]-TABLE1[[#This Row],[Comissions]]</f>
        <v>27.02</v>
      </c>
      <c r="AQ85" s="4">
        <f>TABLE1[[#This Row],[Exit Time]]-TABLE1[[#This Row],[Entry Time]]</f>
        <v>8.3333333333333592E-3</v>
      </c>
      <c r="AR85" s="21" t="str">
        <f>IF(TABLE1[[#This Row],[Retest Price]]&lt;&gt;FALSE,ROUND((TABLE1[[#This Row],[Retest Price]]-TABLE1[[#This Row],[Entry Price]])/(TABLE1[[#This Row],[Intended Entry]]-TABLE1[[#This Row],[SL Price]]),4), "FALSE")</f>
        <v>FALSE</v>
      </c>
      <c r="AS85" s="5">
        <f>TABLE1[[#This Row],[Net Gain/Loss]]+AS84</f>
        <v>-405.73400000000015</v>
      </c>
      <c r="AT85" s="5">
        <f>IF(TABLE1[[#This Row],[Potential Price Before BE]]=FALSE,"FALSE",( TABLE1[[#This Row],[Potential Price Before BE]]-TABLE1[[#This Row],[Intended Entry]])/(TABLE1[[#This Row],[Intended Entry]]-TABLE1[[#This Row],[SL Price]]))</f>
        <v>2.8666666666666578</v>
      </c>
      <c r="AU85" s="5">
        <f>(IF(TABLE1[[#This Row],[Buy/Sell]]="BUY",(TABLE1[[#This Row],[Entry Price]]-TABLE1[[#This Row],[SL Price]])/(TABLE1[[#This Row],[Intended Entry]]-TABLE1[[#This Row],[SL Price]]),(TABLE1[[#This Row],[SL Price]]-TABLE1[[#This Row],[Entry Price]])/(TABLE1[[#This Row],[SL Price]]-TABLE1[[#This Row],[Intended Entry]])))-1</f>
        <v>6.6666666666665098E-2</v>
      </c>
      <c r="AV85"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W85" s="21">
        <f>TABLE1[[#This Row],[Missed RRR on Entry]]+TABLE1[[#This Row],[Missed RRR on Exit]]</f>
        <v>6.6666666666665098E-2</v>
      </c>
      <c r="AX85" s="21">
        <f>ROUND((TABLE1[[#This Row],[Potential Price]]-TABLE1[[#This Row],[Entry Price]])/(TABLE1[[#This Row],[Intended Entry]]-TABLE1[[#This Row],[SL Price]]),4)</f>
        <v>5.4</v>
      </c>
      <c r="AY85" s="21">
        <f>ROUND((TABLE1[[#This Row],[Potential Price]]-TABLE1[[#This Row],[Intended Entry]])/(TABLE1[[#This Row],[Intended Entry]]-TABLE1[[#This Row],[SL Price]]),4)</f>
        <v>5.4667000000000003</v>
      </c>
      <c r="AZ85" s="21">
        <f>TABLE1[[#This Row],[RRR Potential]]-TABLE1[[#This Row],[RRR Realized]]</f>
        <v>2.4667000000000003</v>
      </c>
      <c r="BA85" s="29">
        <f>ROUND((TABLE1[[#This Row],[Exit Price]]-TABLE1[[#This Row],[Entry Price]])/(TABLE1[[#This Row],[Intended Entry]]-TABLE1[[#This Row],[SL Price]]),4)</f>
        <v>2.9333</v>
      </c>
      <c r="BB85"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4.9333333333333353</v>
      </c>
      <c r="BC85"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-6.6666666666665098E-2</v>
      </c>
      <c r="BD85"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-6.6666666666665098E-2</v>
      </c>
      <c r="BE85"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4.9333333333333353</v>
      </c>
      <c r="BF85"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4.9333333333333353</v>
      </c>
      <c r="BG85"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4.9333333333333353</v>
      </c>
      <c r="BH85"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4.9333333333333353</v>
      </c>
      <c r="BI85"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-6.6666666666665098E-2</v>
      </c>
      <c r="BJ85"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-6.6666666666665098E-2</v>
      </c>
      <c r="BK85"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-6.6666666666665098E-2</v>
      </c>
      <c r="BL85"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-6.6666666666665098E-2</v>
      </c>
      <c r="BM85"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-6.6666666666665098E-2</v>
      </c>
      <c r="BN85"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-6.6666666666665098E-2</v>
      </c>
      <c r="BO85"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-6.6666666666665098E-2</v>
      </c>
      <c r="BP85"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-6.6666666666665098E-2</v>
      </c>
      <c r="BQ85"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4.9333333333333353</v>
      </c>
      <c r="BR85"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-6.6666666666665098E-2</v>
      </c>
      <c r="BS85"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-6.6666666666665098E-2</v>
      </c>
      <c r="BT85"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4.9333333333333353</v>
      </c>
      <c r="BU85"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-6.6666666666665098E-2</v>
      </c>
      <c r="BV85"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-6.6666666666665098E-2</v>
      </c>
      <c r="BW85"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3.7999999999999927</v>
      </c>
      <c r="BX85"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-6.6666666666665098E-2</v>
      </c>
      <c r="BY85"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-6.6666666666665098E-2</v>
      </c>
      <c r="BZ85" s="24">
        <f>IF( TABLE1[[#This Row],[Wick Exit]]&lt;&gt; FALSE,TABLE1[[#This Row],[RRR Wick Exit]],IF(TABLE1[[#This Row],[Volume Exit]]&lt;&gt; FALSE,TABLE1[[#This Row],[RRR Volume Exit]],TABLE1[[#This Row],[RRR Realized]]))</f>
        <v>0.66666666666666863</v>
      </c>
      <c r="CA85"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0.66666666666666863</v>
      </c>
      <c r="CB85"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0.66666666666666863</v>
      </c>
      <c r="CC85"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0.66666666666666863</v>
      </c>
      <c r="CD85"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0.66666666666666863</v>
      </c>
    </row>
    <row r="86" spans="1:82" x14ac:dyDescent="0.25">
      <c r="A86" t="s">
        <v>389</v>
      </c>
      <c r="B86">
        <v>85</v>
      </c>
      <c r="C86" s="2">
        <v>43528</v>
      </c>
      <c r="D86" s="1">
        <v>0.4145833333333333</v>
      </c>
      <c r="E86" s="1">
        <v>0.42152777777777778</v>
      </c>
      <c r="F86" s="5">
        <v>3.05</v>
      </c>
      <c r="G86" s="5">
        <f>-23.6</f>
        <v>-23.6</v>
      </c>
      <c r="H86" s="17">
        <v>300</v>
      </c>
      <c r="I86" t="s">
        <v>19</v>
      </c>
      <c r="J86" t="s">
        <v>22</v>
      </c>
      <c r="K86">
        <v>3.16</v>
      </c>
      <c r="L86">
        <v>3.157</v>
      </c>
      <c r="M86">
        <v>3.13</v>
      </c>
      <c r="N86">
        <v>3.25</v>
      </c>
      <c r="O86">
        <v>3.0920000000000001</v>
      </c>
      <c r="P86">
        <v>3.19</v>
      </c>
      <c r="Q86">
        <v>3.0920000000000001</v>
      </c>
      <c r="R86">
        <v>3.19</v>
      </c>
      <c r="S86">
        <v>3.19</v>
      </c>
      <c r="T86" t="b">
        <v>0</v>
      </c>
      <c r="U86" t="b">
        <v>0</v>
      </c>
      <c r="V86" t="b">
        <v>0</v>
      </c>
      <c r="W86" t="b">
        <v>0</v>
      </c>
      <c r="X86" t="b">
        <v>0</v>
      </c>
      <c r="AA86" t="b">
        <v>0</v>
      </c>
      <c r="AD86">
        <v>3.16</v>
      </c>
      <c r="AE86" t="s">
        <v>25</v>
      </c>
      <c r="AF86" t="s">
        <v>30</v>
      </c>
      <c r="AG86" t="s">
        <v>38</v>
      </c>
      <c r="AH86">
        <v>85.7</v>
      </c>
      <c r="AI86" t="s">
        <v>434</v>
      </c>
      <c r="AJ86" t="s">
        <v>163</v>
      </c>
      <c r="AK86" s="26" t="s">
        <v>390</v>
      </c>
      <c r="AL86" s="22">
        <f>(TABLE1[[#This Row],[TP Price]]-TABLE1[[#This Row],[Intended Entry]])/(TABLE1[[#This Row],[Intended Entry]]-TABLE1[[#This Row],[SL Price]])</f>
        <v>2.9999999999999702</v>
      </c>
      <c r="AM86" s="24">
        <f>IF(TABLE1[[#This Row],[Buy/Sell]]="BUY",(TABLE1[[#This Row],[Highest Price]]-TABLE1[[#This Row],[Entry Price]])/(TABLE1[[#This Row],[Intended Entry]]-TABLE1[[#This Row],[SL Price]]),(TABLE1[[#This Row],[Entry Price]]-TABLE1[[#This Row],[Lowest Price]])/(TABLE1[[#This Row],[SL Price]]-TABLE1[[#This Row],[Intended Entry]]))</f>
        <v>1.0999999999999881</v>
      </c>
      <c r="AN86" s="25">
        <f>IF(TABLE1[[#This Row],[Buy/Sell]]="BUY",(TABLE1[[#This Row],[Entry Price]]-TABLE1[[#This Row],[Lowest Price]])/(TABLE1[[#This Row],[SL Price]]-TABLE1[[#This Row],[Intended Entry]]),(TABLE1[[#This Row],[Entry Price]]-TABLE1[[#This Row],[Highest Price]])/(TABLE1[[#This Row],[SL Price]]-TABLE1[[#This Row],[Intended Entry]]))</f>
        <v>-2.166666666666647</v>
      </c>
      <c r="AO86" s="5" t="str">
        <f>IF(TABLE1[[#This Row],[Gain/Loss]]&lt;0, "LOSER", "WINNER")</f>
        <v>LOSER</v>
      </c>
      <c r="AP86" s="5">
        <f>TABLE1[[#This Row],[Gain/Loss]]-TABLE1[[#This Row],[Comissions]]</f>
        <v>-26.650000000000002</v>
      </c>
      <c r="AQ86" s="4">
        <f>TABLE1[[#This Row],[Exit Time]]-TABLE1[[#This Row],[Entry Time]]</f>
        <v>6.9444444444444753E-3</v>
      </c>
      <c r="AR86" s="21" t="str">
        <f>IF(TABLE1[[#This Row],[Retest Price]]&lt;&gt;FALSE,ROUND((TABLE1[[#This Row],[Retest Price]]-TABLE1[[#This Row],[Entry Price]])/(TABLE1[[#This Row],[Intended Entry]]-TABLE1[[#This Row],[SL Price]]),4), "FALSE")</f>
        <v>FALSE</v>
      </c>
      <c r="AS86" s="5">
        <f>TABLE1[[#This Row],[Net Gain/Loss]]+AS85</f>
        <v>-432.38400000000013</v>
      </c>
      <c r="AT86" s="5">
        <f>IF(TABLE1[[#This Row],[Potential Price Before BE]]=FALSE,"FALSE",( TABLE1[[#This Row],[Potential Price Before BE]]-TABLE1[[#This Row],[Intended Entry]])/(TABLE1[[#This Row],[Intended Entry]]-TABLE1[[#This Row],[SL Price]]))</f>
        <v>0.99999999999998523</v>
      </c>
      <c r="AU86" s="5">
        <f>(IF(TABLE1[[#This Row],[Buy/Sell]]="BUY",(TABLE1[[#This Row],[Entry Price]]-TABLE1[[#This Row],[SL Price]])/(TABLE1[[#This Row],[Intended Entry]]-TABLE1[[#This Row],[SL Price]]),(TABLE1[[#This Row],[SL Price]]-TABLE1[[#This Row],[Entry Price]])/(TABLE1[[#This Row],[SL Price]]-TABLE1[[#This Row],[Intended Entry]])))-1</f>
        <v>-0.10000000000000298</v>
      </c>
      <c r="AV86"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1.26666666666665</v>
      </c>
      <c r="AW86" s="21">
        <f>TABLE1[[#This Row],[Missed RRR on Entry]]+TABLE1[[#This Row],[Missed RRR on Exit]]</f>
        <v>1.166666666666647</v>
      </c>
      <c r="AX86" s="21">
        <f>ROUND((TABLE1[[#This Row],[Potential Price]]-TABLE1[[#This Row],[Entry Price]])/(TABLE1[[#This Row],[Intended Entry]]-TABLE1[[#This Row],[SL Price]]),4)</f>
        <v>1.1000000000000001</v>
      </c>
      <c r="AY86" s="21">
        <f>ROUND((TABLE1[[#This Row],[Potential Price]]-TABLE1[[#This Row],[Intended Entry]])/(TABLE1[[#This Row],[Intended Entry]]-TABLE1[[#This Row],[SL Price]]),4)</f>
        <v>1</v>
      </c>
      <c r="AZ86" s="21">
        <f>TABLE1[[#This Row],[RRR Potential]]-TABLE1[[#This Row],[RRR Realized]]</f>
        <v>3.2667000000000002</v>
      </c>
      <c r="BA86" s="29">
        <f>ROUND((TABLE1[[#This Row],[Exit Price]]-TABLE1[[#This Row],[Entry Price]])/(TABLE1[[#This Row],[Intended Entry]]-TABLE1[[#This Row],[SL Price]]),4)</f>
        <v>-2.1667000000000001</v>
      </c>
      <c r="BB86"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-2.1667000000000001</v>
      </c>
      <c r="BC86"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-2.1667000000000001</v>
      </c>
      <c r="BD86"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-2.1667000000000001</v>
      </c>
      <c r="BE86"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-2.1667000000000001</v>
      </c>
      <c r="BF86"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-2.1667000000000001</v>
      </c>
      <c r="BG86"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-2.1667000000000001</v>
      </c>
      <c r="BH86"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-2.1667000000000001</v>
      </c>
      <c r="BI86"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-2.1667000000000001</v>
      </c>
      <c r="BJ86"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-2.1667000000000001</v>
      </c>
      <c r="BK86"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-2.1667000000000001</v>
      </c>
      <c r="BL86"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-2.1667000000000001</v>
      </c>
      <c r="BM86"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-2.1667000000000001</v>
      </c>
      <c r="BN86"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-2.1667000000000001</v>
      </c>
      <c r="BO86"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-2.1667000000000001</v>
      </c>
      <c r="BP86"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-2.1667000000000001</v>
      </c>
      <c r="BQ86"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-2.1667000000000001</v>
      </c>
      <c r="BR86"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-2.1667000000000001</v>
      </c>
      <c r="BS86"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-2.1667000000000001</v>
      </c>
      <c r="BT86"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-2.1667000000000001</v>
      </c>
      <c r="BU86"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-2.1667000000000001</v>
      </c>
      <c r="BV86"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-2.1667000000000001</v>
      </c>
      <c r="BW86"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-2.1667000000000001</v>
      </c>
      <c r="BX86"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-2.1667000000000001</v>
      </c>
      <c r="BY86"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-2.1667000000000001</v>
      </c>
      <c r="BZ86" s="24">
        <f>IF( TABLE1[[#This Row],[Wick Exit]]&lt;&gt; FALSE,TABLE1[[#This Row],[RRR Wick Exit]],IF(TABLE1[[#This Row],[Volume Exit]]&lt;&gt; FALSE,TABLE1[[#This Row],[RRR Volume Exit]],TABLE1[[#This Row],[RRR Realized]]))</f>
        <v>0.10000000000000296</v>
      </c>
      <c r="CA86"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0.10000000000000296</v>
      </c>
      <c r="CB86"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0.10000000000000296</v>
      </c>
      <c r="CC86"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0.10000000000000296</v>
      </c>
      <c r="CD86"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0.10000000000000296</v>
      </c>
    </row>
    <row r="87" spans="1:82" x14ac:dyDescent="0.25">
      <c r="A87" t="s">
        <v>361</v>
      </c>
      <c r="B87">
        <v>86</v>
      </c>
      <c r="C87" s="2">
        <v>43528</v>
      </c>
      <c r="D87" s="1">
        <v>0.44375000000000003</v>
      </c>
      <c r="E87" s="1">
        <v>0.44444444444444442</v>
      </c>
      <c r="F87" s="5">
        <v>2.02</v>
      </c>
      <c r="G87" s="5">
        <f>-19.74</f>
        <v>-19.739999999999998</v>
      </c>
      <c r="H87" s="17">
        <v>66</v>
      </c>
      <c r="I87" t="s">
        <v>19</v>
      </c>
      <c r="J87" t="s">
        <v>22</v>
      </c>
      <c r="K87">
        <v>6.29</v>
      </c>
      <c r="L87">
        <v>6.2969999999999997</v>
      </c>
      <c r="M87">
        <v>6.14</v>
      </c>
      <c r="N87">
        <f>6.29+0.45</f>
        <v>6.74</v>
      </c>
      <c r="O87">
        <v>5.94</v>
      </c>
      <c r="P87">
        <v>6.29</v>
      </c>
      <c r="Q87">
        <v>5.94</v>
      </c>
      <c r="R87">
        <v>6.29</v>
      </c>
      <c r="S87">
        <v>6.29</v>
      </c>
      <c r="T87" t="b">
        <v>0</v>
      </c>
      <c r="U87" t="b">
        <v>0</v>
      </c>
      <c r="V87" t="b">
        <v>0</v>
      </c>
      <c r="W87" t="b">
        <v>0</v>
      </c>
      <c r="X87" t="b">
        <v>0</v>
      </c>
      <c r="AA87" t="b">
        <v>0</v>
      </c>
      <c r="AD87" t="b">
        <v>0</v>
      </c>
      <c r="AE87" t="s">
        <v>25</v>
      </c>
      <c r="AF87" t="s">
        <v>32</v>
      </c>
      <c r="AG87" t="s">
        <v>40</v>
      </c>
      <c r="AH87">
        <v>5.77</v>
      </c>
      <c r="AI87" t="s">
        <v>431</v>
      </c>
      <c r="AJ87" t="s">
        <v>163</v>
      </c>
      <c r="AK87" s="26" t="s">
        <v>391</v>
      </c>
      <c r="AL87" s="22">
        <f>(TABLE1[[#This Row],[TP Price]]-TABLE1[[#This Row],[Intended Entry]])/(TABLE1[[#This Row],[Intended Entry]]-TABLE1[[#This Row],[SL Price]])</f>
        <v>2.9999999999999942</v>
      </c>
      <c r="AM87" s="24">
        <f>IF(TABLE1[[#This Row],[Buy/Sell]]="BUY",(TABLE1[[#This Row],[Highest Price]]-TABLE1[[#This Row],[Entry Price]])/(TABLE1[[#This Row],[Intended Entry]]-TABLE1[[#This Row],[SL Price]]),(TABLE1[[#This Row],[Entry Price]]-TABLE1[[#This Row],[Lowest Price]])/(TABLE1[[#This Row],[SL Price]]-TABLE1[[#This Row],[Intended Entry]]))</f>
        <v>-4.6666666666664379E-2</v>
      </c>
      <c r="AN87" s="25">
        <f>IF(TABLE1[[#This Row],[Buy/Sell]]="BUY",(TABLE1[[#This Row],[Entry Price]]-TABLE1[[#This Row],[Lowest Price]])/(TABLE1[[#This Row],[SL Price]]-TABLE1[[#This Row],[Intended Entry]]),(TABLE1[[#This Row],[Entry Price]]-TABLE1[[#This Row],[Highest Price]])/(TABLE1[[#This Row],[SL Price]]-TABLE1[[#This Row],[Intended Entry]]))</f>
        <v>-2.3799999999999897</v>
      </c>
      <c r="AO87" s="5" t="str">
        <f>IF(TABLE1[[#This Row],[Gain/Loss]]&lt;0, "LOSER", "WINNER")</f>
        <v>LOSER</v>
      </c>
      <c r="AP87" s="5">
        <f>TABLE1[[#This Row],[Gain/Loss]]-TABLE1[[#This Row],[Comissions]]</f>
        <v>-21.759999999999998</v>
      </c>
      <c r="AQ87" s="4">
        <f>TABLE1[[#This Row],[Exit Time]]-TABLE1[[#This Row],[Entry Time]]</f>
        <v>6.9444444444438647E-4</v>
      </c>
      <c r="AR87" s="21" t="str">
        <f>IF(TABLE1[[#This Row],[Retest Price]]&lt;&gt;FALSE,ROUND((TABLE1[[#This Row],[Retest Price]]-TABLE1[[#This Row],[Entry Price]])/(TABLE1[[#This Row],[Intended Entry]]-TABLE1[[#This Row],[SL Price]]),4), "FALSE")</f>
        <v>FALSE</v>
      </c>
      <c r="AS87" s="5">
        <f>TABLE1[[#This Row],[Net Gain/Loss]]+AS86</f>
        <v>-454.14400000000012</v>
      </c>
      <c r="AT87" s="5">
        <f>IF(TABLE1[[#This Row],[Potential Price Before BE]]=FALSE,"FALSE",( TABLE1[[#This Row],[Potential Price Before BE]]-TABLE1[[#This Row],[Intended Entry]])/(TABLE1[[#This Row],[Intended Entry]]-TABLE1[[#This Row],[SL Price]]))</f>
        <v>0</v>
      </c>
      <c r="AU87" s="5">
        <f>(IF(TABLE1[[#This Row],[Buy/Sell]]="BUY",(TABLE1[[#This Row],[Entry Price]]-TABLE1[[#This Row],[SL Price]])/(TABLE1[[#This Row],[Intended Entry]]-TABLE1[[#This Row],[SL Price]]),(TABLE1[[#This Row],[SL Price]]-TABLE1[[#This Row],[Entry Price]])/(TABLE1[[#This Row],[SL Price]]-TABLE1[[#This Row],[Intended Entry]])))-1</f>
        <v>4.6666666666664414E-2</v>
      </c>
      <c r="AV87"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1.3333333333333255</v>
      </c>
      <c r="AW87" s="21">
        <f>TABLE1[[#This Row],[Missed RRR on Entry]]+TABLE1[[#This Row],[Missed RRR on Exit]]</f>
        <v>1.3799999999999899</v>
      </c>
      <c r="AX87" s="21">
        <f>ROUND((TABLE1[[#This Row],[Potential Price]]-TABLE1[[#This Row],[Entry Price]])/(TABLE1[[#This Row],[Intended Entry]]-TABLE1[[#This Row],[SL Price]]),4)</f>
        <v>-4.6699999999999998E-2</v>
      </c>
      <c r="AY87" s="21">
        <f>ROUND((TABLE1[[#This Row],[Potential Price]]-TABLE1[[#This Row],[Intended Entry]])/(TABLE1[[#This Row],[Intended Entry]]-TABLE1[[#This Row],[SL Price]]),4)</f>
        <v>0</v>
      </c>
      <c r="AZ87" s="21">
        <f>TABLE1[[#This Row],[RRR Potential]]-TABLE1[[#This Row],[RRR Realized]]</f>
        <v>2.3332999999999999</v>
      </c>
      <c r="BA87" s="29">
        <f>ROUND((TABLE1[[#This Row],[Exit Price]]-TABLE1[[#This Row],[Entry Price]])/(TABLE1[[#This Row],[Intended Entry]]-TABLE1[[#This Row],[SL Price]]),4)</f>
        <v>-2.38</v>
      </c>
      <c r="BB87"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-2.38</v>
      </c>
      <c r="BC87"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-2.38</v>
      </c>
      <c r="BD87"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-2.38</v>
      </c>
      <c r="BE87"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-2.38</v>
      </c>
      <c r="BF87"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-2.38</v>
      </c>
      <c r="BG87"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-2.38</v>
      </c>
      <c r="BH87"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-2.38</v>
      </c>
      <c r="BI87"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-2.38</v>
      </c>
      <c r="BJ87"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-2.38</v>
      </c>
      <c r="BK87"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-2.38</v>
      </c>
      <c r="BL87"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-2.38</v>
      </c>
      <c r="BM87"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-2.38</v>
      </c>
      <c r="BN87"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-2.38</v>
      </c>
      <c r="BO87"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-2.38</v>
      </c>
      <c r="BP87"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-2.38</v>
      </c>
      <c r="BQ87"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-2.38</v>
      </c>
      <c r="BR87"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-2.38</v>
      </c>
      <c r="BS87"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-2.38</v>
      </c>
      <c r="BT87"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-2.38</v>
      </c>
      <c r="BU87"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-2.38</v>
      </c>
      <c r="BV87"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-2.38</v>
      </c>
      <c r="BW87"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-2.38</v>
      </c>
      <c r="BX87"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-2.38</v>
      </c>
      <c r="BY87"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-2.38</v>
      </c>
      <c r="BZ87" s="24">
        <f>IF( TABLE1[[#This Row],[Wick Exit]]&lt;&gt; FALSE,TABLE1[[#This Row],[RRR Wick Exit]],IF(TABLE1[[#This Row],[Volume Exit]]&lt;&gt; FALSE,TABLE1[[#This Row],[RRR Volume Exit]],TABLE1[[#This Row],[RRR Realized]]))</f>
        <v>-2.38</v>
      </c>
      <c r="CA87"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-2.38</v>
      </c>
      <c r="CB87"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-2.38</v>
      </c>
      <c r="CC87"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-2.38</v>
      </c>
      <c r="CD87"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-2.38</v>
      </c>
    </row>
    <row r="88" spans="1:82" x14ac:dyDescent="0.25">
      <c r="A88" t="s">
        <v>392</v>
      </c>
      <c r="B88">
        <v>87</v>
      </c>
      <c r="C88" s="2">
        <v>43529</v>
      </c>
      <c r="D88" s="1">
        <v>0.40972222222222227</v>
      </c>
      <c r="E88" s="1">
        <v>0.41388888888888892</v>
      </c>
      <c r="F88" s="5">
        <v>2.02</v>
      </c>
      <c r="G88" s="5">
        <v>-20.96</v>
      </c>
      <c r="H88" s="17">
        <v>100</v>
      </c>
      <c r="I88" t="s">
        <v>19</v>
      </c>
      <c r="J88" t="s">
        <v>22</v>
      </c>
      <c r="K88">
        <v>10.029999999999999</v>
      </c>
      <c r="L88">
        <v>10.032999999999999</v>
      </c>
      <c r="M88">
        <v>9.93</v>
      </c>
      <c r="N88">
        <v>10.33</v>
      </c>
      <c r="O88">
        <v>9.8239999999999998</v>
      </c>
      <c r="P88">
        <v>10.1</v>
      </c>
      <c r="Q88">
        <v>9.8239999999999998</v>
      </c>
      <c r="R88">
        <v>10.1</v>
      </c>
      <c r="S88">
        <v>10.1</v>
      </c>
      <c r="T88" t="b">
        <v>0</v>
      </c>
      <c r="U88" t="b">
        <v>0</v>
      </c>
      <c r="V88" t="b">
        <v>0</v>
      </c>
      <c r="W88" t="b">
        <v>0</v>
      </c>
      <c r="X88" t="b">
        <v>0</v>
      </c>
      <c r="AA88" t="b">
        <v>0</v>
      </c>
      <c r="AD88" t="b">
        <v>0</v>
      </c>
      <c r="AE88" t="s">
        <v>25</v>
      </c>
      <c r="AF88" t="s">
        <v>32</v>
      </c>
      <c r="AG88" t="s">
        <v>34</v>
      </c>
      <c r="AH88">
        <v>23</v>
      </c>
      <c r="AI88" t="s">
        <v>431</v>
      </c>
      <c r="AJ88" t="s">
        <v>163</v>
      </c>
      <c r="AK88" s="26" t="s">
        <v>393</v>
      </c>
      <c r="AL88" s="22">
        <f>(TABLE1[[#This Row],[TP Price]]-TABLE1[[#This Row],[Intended Entry]])/(TABLE1[[#This Row],[Intended Entry]]-TABLE1[[#This Row],[SL Price]])</f>
        <v>3.0000000000000178</v>
      </c>
      <c r="AM88" s="24">
        <f>IF(TABLE1[[#This Row],[Buy/Sell]]="BUY",(TABLE1[[#This Row],[Highest Price]]-TABLE1[[#This Row],[Entry Price]])/(TABLE1[[#This Row],[Intended Entry]]-TABLE1[[#This Row],[SL Price]]),(TABLE1[[#This Row],[Entry Price]]-TABLE1[[#This Row],[Lowest Price]])/(TABLE1[[#This Row],[SL Price]]-TABLE1[[#This Row],[Intended Entry]]))</f>
        <v>0.67000000000000404</v>
      </c>
      <c r="AN88" s="25">
        <f>IF(TABLE1[[#This Row],[Buy/Sell]]="BUY",(TABLE1[[#This Row],[Entry Price]]-TABLE1[[#This Row],[Lowest Price]])/(TABLE1[[#This Row],[SL Price]]-TABLE1[[#This Row],[Intended Entry]]),(TABLE1[[#This Row],[Entry Price]]-TABLE1[[#This Row],[Highest Price]])/(TABLE1[[#This Row],[SL Price]]-TABLE1[[#This Row],[Intended Entry]]))</f>
        <v>-2.0900000000000039</v>
      </c>
      <c r="AO88" s="5" t="str">
        <f>IF(TABLE1[[#This Row],[Gain/Loss]]&lt;0, "LOSER", "WINNER")</f>
        <v>LOSER</v>
      </c>
      <c r="AP88" s="5">
        <f>TABLE1[[#This Row],[Gain/Loss]]-TABLE1[[#This Row],[Comissions]]</f>
        <v>-22.98</v>
      </c>
      <c r="AQ88" s="4">
        <f>TABLE1[[#This Row],[Exit Time]]-TABLE1[[#This Row],[Entry Time]]</f>
        <v>4.1666666666666519E-3</v>
      </c>
      <c r="AR88" s="21" t="str">
        <f>IF(TABLE1[[#This Row],[Retest Price]]&lt;&gt;FALSE,ROUND((TABLE1[[#This Row],[Retest Price]]-TABLE1[[#This Row],[Entry Price]])/(TABLE1[[#This Row],[Intended Entry]]-TABLE1[[#This Row],[SL Price]]),4), "FALSE")</f>
        <v>FALSE</v>
      </c>
      <c r="AS88" s="5">
        <f>TABLE1[[#This Row],[Net Gain/Loss]]+AS87</f>
        <v>-477.12400000000014</v>
      </c>
      <c r="AT88" s="5">
        <f>IF(TABLE1[[#This Row],[Potential Price Before BE]]=FALSE,"FALSE",( TABLE1[[#This Row],[Potential Price Before BE]]-TABLE1[[#This Row],[Intended Entry]])/(TABLE1[[#This Row],[Intended Entry]]-TABLE1[[#This Row],[SL Price]]))</f>
        <v>0.70000000000000528</v>
      </c>
      <c r="AU88" s="5">
        <f>(IF(TABLE1[[#This Row],[Buy/Sell]]="BUY",(TABLE1[[#This Row],[Entry Price]]-TABLE1[[#This Row],[SL Price]])/(TABLE1[[#This Row],[Intended Entry]]-TABLE1[[#This Row],[SL Price]]),(TABLE1[[#This Row],[SL Price]]-TABLE1[[#This Row],[Entry Price]])/(TABLE1[[#This Row],[SL Price]]-TABLE1[[#This Row],[Intended Entry]])))-1</f>
        <v>3.0000000000001137E-2</v>
      </c>
      <c r="AV88"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1.0600000000000025</v>
      </c>
      <c r="AW88" s="21">
        <f>TABLE1[[#This Row],[Missed RRR on Entry]]+TABLE1[[#This Row],[Missed RRR on Exit]]</f>
        <v>1.0900000000000036</v>
      </c>
      <c r="AX88" s="21">
        <f>ROUND((TABLE1[[#This Row],[Potential Price]]-TABLE1[[#This Row],[Entry Price]])/(TABLE1[[#This Row],[Intended Entry]]-TABLE1[[#This Row],[SL Price]]),4)</f>
        <v>0.67</v>
      </c>
      <c r="AY88" s="21">
        <f>ROUND((TABLE1[[#This Row],[Potential Price]]-TABLE1[[#This Row],[Intended Entry]])/(TABLE1[[#This Row],[Intended Entry]]-TABLE1[[#This Row],[SL Price]]),4)</f>
        <v>0.7</v>
      </c>
      <c r="AZ88" s="21">
        <f>TABLE1[[#This Row],[RRR Potential]]-TABLE1[[#This Row],[RRR Realized]]</f>
        <v>2.76</v>
      </c>
      <c r="BA88" s="29">
        <f>ROUND((TABLE1[[#This Row],[Exit Price]]-TABLE1[[#This Row],[Entry Price]])/(TABLE1[[#This Row],[Intended Entry]]-TABLE1[[#This Row],[SL Price]]),4)</f>
        <v>-2.09</v>
      </c>
      <c r="BB88"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-2.09</v>
      </c>
      <c r="BC88"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-2.09</v>
      </c>
      <c r="BD88"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-2.09</v>
      </c>
      <c r="BE88"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-2.09</v>
      </c>
      <c r="BF88"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-2.09</v>
      </c>
      <c r="BG88"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-2.09</v>
      </c>
      <c r="BH88"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-2.09</v>
      </c>
      <c r="BI88"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-2.09</v>
      </c>
      <c r="BJ88"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-2.09</v>
      </c>
      <c r="BK88"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-2.09</v>
      </c>
      <c r="BL88"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-2.09</v>
      </c>
      <c r="BM88"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-2.09</v>
      </c>
      <c r="BN88"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-2.09</v>
      </c>
      <c r="BO88"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-2.09</v>
      </c>
      <c r="BP88"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-2.09</v>
      </c>
      <c r="BQ88"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-2.09</v>
      </c>
      <c r="BR88"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-2.09</v>
      </c>
      <c r="BS88"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-2.09</v>
      </c>
      <c r="BT88"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-2.09</v>
      </c>
      <c r="BU88"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-2.09</v>
      </c>
      <c r="BV88"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-2.09</v>
      </c>
      <c r="BW88"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-2.09</v>
      </c>
      <c r="BX88"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-2.09</v>
      </c>
      <c r="BY88"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-2.09</v>
      </c>
      <c r="BZ88" s="24">
        <f>IF( TABLE1[[#This Row],[Wick Exit]]&lt;&gt; FALSE,TABLE1[[#This Row],[RRR Wick Exit]],IF(TABLE1[[#This Row],[Volume Exit]]&lt;&gt; FALSE,TABLE1[[#This Row],[RRR Volume Exit]],TABLE1[[#This Row],[RRR Realized]]))</f>
        <v>-2.09</v>
      </c>
      <c r="CA88"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-2.09</v>
      </c>
      <c r="CB88"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-2.09</v>
      </c>
      <c r="CC88"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-2.09</v>
      </c>
      <c r="CD88"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-2.09</v>
      </c>
    </row>
    <row r="89" spans="1:82" x14ac:dyDescent="0.25">
      <c r="A89" t="s">
        <v>394</v>
      </c>
      <c r="B89">
        <v>88</v>
      </c>
      <c r="C89" s="2">
        <v>43529</v>
      </c>
      <c r="D89" s="1">
        <v>0.43194444444444446</v>
      </c>
      <c r="E89" s="1">
        <v>0.43263888888888885</v>
      </c>
      <c r="F89" s="5">
        <v>2.02</v>
      </c>
      <c r="G89" s="5">
        <f>-19.66</f>
        <v>-19.66</v>
      </c>
      <c r="H89" s="17">
        <v>142</v>
      </c>
      <c r="I89" t="s">
        <v>19</v>
      </c>
      <c r="J89" t="s">
        <v>22</v>
      </c>
      <c r="K89">
        <v>1.95</v>
      </c>
      <c r="L89">
        <v>1.948</v>
      </c>
      <c r="M89">
        <v>1.88</v>
      </c>
      <c r="N89">
        <v>2.16</v>
      </c>
      <c r="O89">
        <v>1.81</v>
      </c>
      <c r="P89">
        <v>1.99</v>
      </c>
      <c r="Q89">
        <v>1.81</v>
      </c>
      <c r="R89">
        <v>1.99</v>
      </c>
      <c r="S89">
        <v>1.99</v>
      </c>
      <c r="T89" t="b">
        <v>0</v>
      </c>
      <c r="U89" t="b">
        <v>0</v>
      </c>
      <c r="V89" t="b">
        <v>0</v>
      </c>
      <c r="W89" t="b">
        <v>0</v>
      </c>
      <c r="X89" t="b">
        <v>0</v>
      </c>
      <c r="AA89" t="b">
        <v>0</v>
      </c>
      <c r="AD89" t="b">
        <v>0</v>
      </c>
      <c r="AE89" t="s">
        <v>25</v>
      </c>
      <c r="AF89" t="s">
        <v>32</v>
      </c>
      <c r="AG89" t="s">
        <v>39</v>
      </c>
      <c r="AH89">
        <v>12.61</v>
      </c>
      <c r="AI89" t="s">
        <v>431</v>
      </c>
      <c r="AJ89" t="s">
        <v>163</v>
      </c>
      <c r="AK89" s="26" t="s">
        <v>395</v>
      </c>
      <c r="AL89" s="22">
        <f>(TABLE1[[#This Row],[TP Price]]-TABLE1[[#This Row],[Intended Entry]])/(TABLE1[[#This Row],[Intended Entry]]-TABLE1[[#This Row],[SL Price]])</f>
        <v>3</v>
      </c>
      <c r="AM89" s="24">
        <f>IF(TABLE1[[#This Row],[Buy/Sell]]="BUY",(TABLE1[[#This Row],[Highest Price]]-TABLE1[[#This Row],[Entry Price]])/(TABLE1[[#This Row],[Intended Entry]]-TABLE1[[#This Row],[SL Price]]),(TABLE1[[#This Row],[Entry Price]]-TABLE1[[#This Row],[Lowest Price]])/(TABLE1[[#This Row],[SL Price]]-TABLE1[[#This Row],[Intended Entry]]))</f>
        <v>0.6</v>
      </c>
      <c r="AN89" s="25">
        <f>IF(TABLE1[[#This Row],[Buy/Sell]]="BUY",(TABLE1[[#This Row],[Entry Price]]-TABLE1[[#This Row],[Lowest Price]])/(TABLE1[[#This Row],[SL Price]]-TABLE1[[#This Row],[Intended Entry]]),(TABLE1[[#This Row],[Entry Price]]-TABLE1[[#This Row],[Highest Price]])/(TABLE1[[#This Row],[SL Price]]-TABLE1[[#This Row],[Intended Entry]]))</f>
        <v>-1.9714285714285682</v>
      </c>
      <c r="AO89" s="5" t="str">
        <f>IF(TABLE1[[#This Row],[Gain/Loss]]&lt;0, "LOSER", "WINNER")</f>
        <v>LOSER</v>
      </c>
      <c r="AP89" s="5">
        <f>TABLE1[[#This Row],[Gain/Loss]]-TABLE1[[#This Row],[Comissions]]</f>
        <v>-21.68</v>
      </c>
      <c r="AQ89" s="4">
        <f>TABLE1[[#This Row],[Exit Time]]-TABLE1[[#This Row],[Entry Time]]</f>
        <v>6.9444444444438647E-4</v>
      </c>
      <c r="AR89" s="21" t="str">
        <f>IF(TABLE1[[#This Row],[Retest Price]]&lt;&gt;FALSE,ROUND((TABLE1[[#This Row],[Retest Price]]-TABLE1[[#This Row],[Entry Price]])/(TABLE1[[#This Row],[Intended Entry]]-TABLE1[[#This Row],[SL Price]]),4), "FALSE")</f>
        <v>FALSE</v>
      </c>
      <c r="AS89" s="5">
        <f>TABLE1[[#This Row],[Net Gain/Loss]]+AS88</f>
        <v>-498.80400000000014</v>
      </c>
      <c r="AT89" s="5">
        <f>IF(TABLE1[[#This Row],[Potential Price Before BE]]=FALSE,"FALSE",( TABLE1[[#This Row],[Potential Price Before BE]]-TABLE1[[#This Row],[Intended Entry]])/(TABLE1[[#This Row],[Intended Entry]]-TABLE1[[#This Row],[SL Price]]))</f>
        <v>0.5714285714285714</v>
      </c>
      <c r="AU89" s="5">
        <f>(IF(TABLE1[[#This Row],[Buy/Sell]]="BUY",(TABLE1[[#This Row],[Entry Price]]-TABLE1[[#This Row],[SL Price]])/(TABLE1[[#This Row],[Intended Entry]]-TABLE1[[#This Row],[SL Price]]),(TABLE1[[#This Row],[SL Price]]-TABLE1[[#This Row],[Entry Price]])/(TABLE1[[#This Row],[SL Price]]-TABLE1[[#This Row],[Intended Entry]])))-1</f>
        <v>-2.8571428571428581E-2</v>
      </c>
      <c r="AV89"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0.99999999999999678</v>
      </c>
      <c r="AW89" s="21">
        <f>TABLE1[[#This Row],[Missed RRR on Entry]]+TABLE1[[#This Row],[Missed RRR on Exit]]</f>
        <v>0.9714285714285682</v>
      </c>
      <c r="AX89" s="21">
        <f>ROUND((TABLE1[[#This Row],[Potential Price]]-TABLE1[[#This Row],[Entry Price]])/(TABLE1[[#This Row],[Intended Entry]]-TABLE1[[#This Row],[SL Price]]),4)</f>
        <v>0.6</v>
      </c>
      <c r="AY89" s="21">
        <f>ROUND((TABLE1[[#This Row],[Potential Price]]-TABLE1[[#This Row],[Intended Entry]])/(TABLE1[[#This Row],[Intended Entry]]-TABLE1[[#This Row],[SL Price]]),4)</f>
        <v>0.57140000000000002</v>
      </c>
      <c r="AZ89" s="21">
        <f>TABLE1[[#This Row],[RRR Potential]]-TABLE1[[#This Row],[RRR Realized]]</f>
        <v>2.5714000000000001</v>
      </c>
      <c r="BA89" s="29">
        <f>ROUND((TABLE1[[#This Row],[Exit Price]]-TABLE1[[#This Row],[Entry Price]])/(TABLE1[[#This Row],[Intended Entry]]-TABLE1[[#This Row],[SL Price]]),4)</f>
        <v>-1.9714</v>
      </c>
      <c r="BB89"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-1.9714</v>
      </c>
      <c r="BC89"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-1.9714</v>
      </c>
      <c r="BD89"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-1.9714</v>
      </c>
      <c r="BE89"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-1.9714</v>
      </c>
      <c r="BF89"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-1.9714</v>
      </c>
      <c r="BG89"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-1.9714</v>
      </c>
      <c r="BH89"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-1.9714</v>
      </c>
      <c r="BI89"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-1.9714</v>
      </c>
      <c r="BJ89"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-1.9714</v>
      </c>
      <c r="BK89"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-1.9714</v>
      </c>
      <c r="BL89"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-1.9714</v>
      </c>
      <c r="BM89"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-1.9714</v>
      </c>
      <c r="BN89"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-1.9714</v>
      </c>
      <c r="BO89"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-1.9714</v>
      </c>
      <c r="BP89"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-1.9714</v>
      </c>
      <c r="BQ89"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-1.9714</v>
      </c>
      <c r="BR89"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-1.9714</v>
      </c>
      <c r="BS89"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-1.9714</v>
      </c>
      <c r="BT89"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-1.9714</v>
      </c>
      <c r="BU89"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-1.9714</v>
      </c>
      <c r="BV89"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-1.9714</v>
      </c>
      <c r="BW89"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-1.9714</v>
      </c>
      <c r="BX89"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-1.9714</v>
      </c>
      <c r="BY89"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-1.9714</v>
      </c>
      <c r="BZ89" s="24">
        <f>IF( TABLE1[[#This Row],[Wick Exit]]&lt;&gt; FALSE,TABLE1[[#This Row],[RRR Wick Exit]],IF(TABLE1[[#This Row],[Volume Exit]]&lt;&gt; FALSE,TABLE1[[#This Row],[RRR Volume Exit]],TABLE1[[#This Row],[RRR Realized]]))</f>
        <v>-1.9714</v>
      </c>
      <c r="CA89"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-1.9714</v>
      </c>
      <c r="CB89"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-1.9714</v>
      </c>
      <c r="CC89"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-1.9714</v>
      </c>
      <c r="CD89"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-1.9714</v>
      </c>
    </row>
    <row r="90" spans="1:82" x14ac:dyDescent="0.25">
      <c r="A90" t="s">
        <v>385</v>
      </c>
      <c r="B90">
        <v>89</v>
      </c>
      <c r="C90" s="2">
        <v>43530</v>
      </c>
      <c r="D90" s="1">
        <v>0.42499999999999999</v>
      </c>
      <c r="E90" s="1">
        <v>0.4375</v>
      </c>
      <c r="F90" s="5">
        <v>2.02</v>
      </c>
      <c r="G90" s="5">
        <v>30.36</v>
      </c>
      <c r="H90" s="17">
        <v>66</v>
      </c>
      <c r="I90" t="s">
        <v>19</v>
      </c>
      <c r="J90" t="s">
        <v>22</v>
      </c>
      <c r="K90">
        <v>8.0299999999999994</v>
      </c>
      <c r="L90">
        <v>8.02</v>
      </c>
      <c r="M90">
        <v>7.88</v>
      </c>
      <c r="N90">
        <v>8.48</v>
      </c>
      <c r="O90">
        <v>8.48</v>
      </c>
      <c r="P90">
        <v>8.48</v>
      </c>
      <c r="Q90">
        <v>8.02</v>
      </c>
      <c r="R90" t="b">
        <v>0</v>
      </c>
      <c r="S90">
        <v>10.5</v>
      </c>
      <c r="T90" t="b">
        <v>0</v>
      </c>
      <c r="U90" t="b">
        <v>0</v>
      </c>
      <c r="V90" t="b">
        <v>1</v>
      </c>
      <c r="X90">
        <v>9.5500000000000007</v>
      </c>
      <c r="Y90">
        <v>5</v>
      </c>
      <c r="Z90" t="b">
        <v>0</v>
      </c>
      <c r="AA90">
        <v>9.5500000000000007</v>
      </c>
      <c r="AB90">
        <v>5</v>
      </c>
      <c r="AC90" t="b">
        <v>0</v>
      </c>
      <c r="AD90" t="b">
        <v>0</v>
      </c>
      <c r="AE90" t="s">
        <v>26</v>
      </c>
      <c r="AF90" t="s">
        <v>29</v>
      </c>
      <c r="AG90" t="s">
        <v>34</v>
      </c>
      <c r="AH90">
        <v>2.11</v>
      </c>
      <c r="AI90" t="s">
        <v>434</v>
      </c>
      <c r="AJ90" t="s">
        <v>163</v>
      </c>
      <c r="AK90" s="26" t="s">
        <v>396</v>
      </c>
      <c r="AL90" s="22">
        <f>(TABLE1[[#This Row],[TP Price]]-TABLE1[[#This Row],[Intended Entry]])/(TABLE1[[#This Row],[Intended Entry]]-TABLE1[[#This Row],[SL Price]])</f>
        <v>3.0000000000000178</v>
      </c>
      <c r="AM90" s="24">
        <f>IF(TABLE1[[#This Row],[Buy/Sell]]="BUY",(TABLE1[[#This Row],[Highest Price]]-TABLE1[[#This Row],[Entry Price]])/(TABLE1[[#This Row],[Intended Entry]]-TABLE1[[#This Row],[SL Price]]),(TABLE1[[#This Row],[Entry Price]]-TABLE1[[#This Row],[Lowest Price]])/(TABLE1[[#This Row],[SL Price]]-TABLE1[[#This Row],[Intended Entry]]))</f>
        <v>3.0666666666666833</v>
      </c>
      <c r="AN90" s="25">
        <f>IF(TABLE1[[#This Row],[Buy/Sell]]="BUY",(TABLE1[[#This Row],[Entry Price]]-TABLE1[[#This Row],[Lowest Price]])/(TABLE1[[#This Row],[SL Price]]-TABLE1[[#This Row],[Intended Entry]]),(TABLE1[[#This Row],[Entry Price]]-TABLE1[[#This Row],[Highest Price]])/(TABLE1[[#This Row],[SL Price]]-TABLE1[[#This Row],[Intended Entry]]))</f>
        <v>0</v>
      </c>
      <c r="AO90" s="5" t="str">
        <f>IF(TABLE1[[#This Row],[Gain/Loss]]&lt;0, "LOSER", "WINNER")</f>
        <v>WINNER</v>
      </c>
      <c r="AP90" s="5">
        <f>TABLE1[[#This Row],[Gain/Loss]]-TABLE1[[#This Row],[Comissions]]</f>
        <v>28.34</v>
      </c>
      <c r="AQ90" s="4">
        <f>TABLE1[[#This Row],[Exit Time]]-TABLE1[[#This Row],[Entry Time]]</f>
        <v>1.2500000000000011E-2</v>
      </c>
      <c r="AR90" s="21" t="str">
        <f>IF(TABLE1[[#This Row],[Retest Price]]&lt;&gt;FALSE,ROUND((TABLE1[[#This Row],[Retest Price]]-TABLE1[[#This Row],[Entry Price]])/(TABLE1[[#This Row],[Intended Entry]]-TABLE1[[#This Row],[SL Price]]),4), "FALSE")</f>
        <v>FALSE</v>
      </c>
      <c r="AS90" s="5">
        <f>TABLE1[[#This Row],[Net Gain/Loss]]+AS89</f>
        <v>-470.46400000000017</v>
      </c>
      <c r="AT90" s="5" t="str">
        <f>IF(TABLE1[[#This Row],[Potential Price Before BE]]=FALSE,"FALSE",( TABLE1[[#This Row],[Potential Price Before BE]]-TABLE1[[#This Row],[Intended Entry]])/(TABLE1[[#This Row],[Intended Entry]]-TABLE1[[#This Row],[SL Price]]))</f>
        <v>FALSE</v>
      </c>
      <c r="AU90" s="5">
        <f>(IF(TABLE1[[#This Row],[Buy/Sell]]="BUY",(TABLE1[[#This Row],[Entry Price]]-TABLE1[[#This Row],[SL Price]])/(TABLE1[[#This Row],[Intended Entry]]-TABLE1[[#This Row],[SL Price]]),(TABLE1[[#This Row],[SL Price]]-TABLE1[[#This Row],[Entry Price]])/(TABLE1[[#This Row],[SL Price]]-TABLE1[[#This Row],[Intended Entry]])))-1</f>
        <v>-6.6666666666665431E-2</v>
      </c>
      <c r="AV90"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W90" s="21">
        <f>TABLE1[[#This Row],[Missed RRR on Entry]]+TABLE1[[#This Row],[Missed RRR on Exit]]</f>
        <v>-6.6666666666665431E-2</v>
      </c>
      <c r="AX90" s="21">
        <f>ROUND((TABLE1[[#This Row],[Potential Price]]-TABLE1[[#This Row],[Entry Price]])/(TABLE1[[#This Row],[Intended Entry]]-TABLE1[[#This Row],[SL Price]]),4)</f>
        <v>16.533300000000001</v>
      </c>
      <c r="AY90" s="21">
        <f>ROUND((TABLE1[[#This Row],[Potential Price]]-TABLE1[[#This Row],[Intended Entry]])/(TABLE1[[#This Row],[Intended Entry]]-TABLE1[[#This Row],[SL Price]]),4)</f>
        <v>16.466699999999999</v>
      </c>
      <c r="AZ90" s="21">
        <f>TABLE1[[#This Row],[RRR Potential]]-TABLE1[[#This Row],[RRR Realized]]</f>
        <v>13.4666</v>
      </c>
      <c r="BA90" s="29">
        <f>ROUND((TABLE1[[#This Row],[Exit Price]]-TABLE1[[#This Row],[Entry Price]])/(TABLE1[[#This Row],[Intended Entry]]-TABLE1[[#This Row],[SL Price]]),4)</f>
        <v>3.0667</v>
      </c>
      <c r="BB90"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5.0666666666666655</v>
      </c>
      <c r="BC90"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5.0666666666666655</v>
      </c>
      <c r="BD90"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5.0666666666666655</v>
      </c>
      <c r="BE90"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5.0666666666666655</v>
      </c>
      <c r="BF90"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5.0666666666666655</v>
      </c>
      <c r="BG90"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5.0666666666666655</v>
      </c>
      <c r="BH90"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5.0666666666666655</v>
      </c>
      <c r="BI90"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5.0666666666666655</v>
      </c>
      <c r="BJ90"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5.0666666666666655</v>
      </c>
      <c r="BK90"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5.0666666666666655</v>
      </c>
      <c r="BL90"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5.0666666666666655</v>
      </c>
      <c r="BM90"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5.0666666666666655</v>
      </c>
      <c r="BN90"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5.0666666666666655</v>
      </c>
      <c r="BO90"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5.0666666666666655</v>
      </c>
      <c r="BP90"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5.0666666666666655</v>
      </c>
      <c r="BQ90"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5.0666666666666655</v>
      </c>
      <c r="BR90"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5.0666666666666655</v>
      </c>
      <c r="BS90"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5.0666666666666655</v>
      </c>
      <c r="BT90"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5.0666666666666655</v>
      </c>
      <c r="BU90"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5.0666666666666655</v>
      </c>
      <c r="BV90"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5.0666666666666655</v>
      </c>
      <c r="BW90"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10.200000000000044</v>
      </c>
      <c r="BX90"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10.200000000000044</v>
      </c>
      <c r="BY90"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10.200000000000044</v>
      </c>
      <c r="BZ90" s="24">
        <f>IF( TABLE1[[#This Row],[Wick Exit]]&lt;&gt; FALSE,TABLE1[[#This Row],[RRR Wick Exit]],IF(TABLE1[[#This Row],[Volume Exit]]&lt;&gt; FALSE,TABLE1[[#This Row],[RRR Volume Exit]],TABLE1[[#This Row],[RRR Realized]]))</f>
        <v>10.200000000000044</v>
      </c>
      <c r="CA90"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3.0667</v>
      </c>
      <c r="CB90"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5.0666666666666655</v>
      </c>
      <c r="CC90"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5.0666666666666655</v>
      </c>
      <c r="CD90"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5.0666666666666655</v>
      </c>
    </row>
    <row r="91" spans="1:82" x14ac:dyDescent="0.25">
      <c r="A91" t="s">
        <v>397</v>
      </c>
      <c r="B91">
        <v>90</v>
      </c>
      <c r="C91" s="2">
        <v>43531</v>
      </c>
      <c r="D91" s="1">
        <v>0.40277777777777773</v>
      </c>
      <c r="E91" s="1">
        <v>0.40902777777777777</v>
      </c>
      <c r="F91" s="5">
        <v>2.02</v>
      </c>
      <c r="G91" s="5">
        <v>-18.52</v>
      </c>
      <c r="H91" s="17">
        <v>100</v>
      </c>
      <c r="I91" t="s">
        <v>19</v>
      </c>
      <c r="J91" t="s">
        <v>22</v>
      </c>
      <c r="K91">
        <v>3.05</v>
      </c>
      <c r="L91">
        <v>3.04</v>
      </c>
      <c r="M91">
        <v>2.95</v>
      </c>
      <c r="N91">
        <v>3.35</v>
      </c>
      <c r="O91">
        <v>2.855</v>
      </c>
      <c r="P91">
        <v>3.34</v>
      </c>
      <c r="Q91">
        <v>2.855</v>
      </c>
      <c r="R91">
        <v>3.34</v>
      </c>
      <c r="S91">
        <v>3.34</v>
      </c>
      <c r="T91" t="b">
        <v>0</v>
      </c>
      <c r="U91" t="b">
        <v>0</v>
      </c>
      <c r="V91" t="b">
        <v>0</v>
      </c>
      <c r="W91" t="b">
        <v>1</v>
      </c>
      <c r="X91" t="b">
        <v>0</v>
      </c>
      <c r="AA91" t="b">
        <v>0</v>
      </c>
      <c r="AD91">
        <v>3.04</v>
      </c>
      <c r="AE91" t="s">
        <v>25</v>
      </c>
      <c r="AF91" t="s">
        <v>32</v>
      </c>
      <c r="AG91" t="s">
        <v>34</v>
      </c>
      <c r="AH91">
        <v>2.54</v>
      </c>
      <c r="AI91" t="s">
        <v>431</v>
      </c>
      <c r="AJ91" t="s">
        <v>163</v>
      </c>
      <c r="AK91" s="26" t="s">
        <v>398</v>
      </c>
      <c r="AL91" s="22">
        <f>(TABLE1[[#This Row],[TP Price]]-TABLE1[[#This Row],[Intended Entry]])/(TABLE1[[#This Row],[Intended Entry]]-TABLE1[[#This Row],[SL Price]])</f>
        <v>3.0000000000000133</v>
      </c>
      <c r="AM91" s="24">
        <f>IF(TABLE1[[#This Row],[Buy/Sell]]="BUY",(TABLE1[[#This Row],[Highest Price]]-TABLE1[[#This Row],[Entry Price]])/(TABLE1[[#This Row],[Intended Entry]]-TABLE1[[#This Row],[SL Price]]),(TABLE1[[#This Row],[Entry Price]]-TABLE1[[#This Row],[Lowest Price]])/(TABLE1[[#This Row],[SL Price]]-TABLE1[[#This Row],[Intended Entry]]))</f>
        <v>3.0000000000000089</v>
      </c>
      <c r="AN91" s="25">
        <f>IF(TABLE1[[#This Row],[Buy/Sell]]="BUY",(TABLE1[[#This Row],[Entry Price]]-TABLE1[[#This Row],[Lowest Price]])/(TABLE1[[#This Row],[SL Price]]-TABLE1[[#This Row],[Intended Entry]]),(TABLE1[[#This Row],[Entry Price]]-TABLE1[[#This Row],[Highest Price]])/(TABLE1[[#This Row],[SL Price]]-TABLE1[[#This Row],[Intended Entry]]))</f>
        <v>-1.8500000000000072</v>
      </c>
      <c r="AO91" s="5" t="str">
        <f>IF(TABLE1[[#This Row],[Gain/Loss]]&lt;0, "LOSER", "WINNER")</f>
        <v>LOSER</v>
      </c>
      <c r="AP91" s="5">
        <f>TABLE1[[#This Row],[Gain/Loss]]-TABLE1[[#This Row],[Comissions]]</f>
        <v>-20.54</v>
      </c>
      <c r="AQ91" s="4">
        <f>TABLE1[[#This Row],[Exit Time]]-TABLE1[[#This Row],[Entry Time]]</f>
        <v>6.2500000000000333E-3</v>
      </c>
      <c r="AR91" s="21" t="str">
        <f>IF(TABLE1[[#This Row],[Retest Price]]&lt;&gt;FALSE,ROUND((TABLE1[[#This Row],[Retest Price]]-TABLE1[[#This Row],[Entry Price]])/(TABLE1[[#This Row],[Intended Entry]]-TABLE1[[#This Row],[SL Price]]),4), "FALSE")</f>
        <v>FALSE</v>
      </c>
      <c r="AS91" s="5">
        <f>TABLE1[[#This Row],[Net Gain/Loss]]+AS90</f>
        <v>-491.00400000000019</v>
      </c>
      <c r="AT91" s="5">
        <f>IF(TABLE1[[#This Row],[Potential Price Before BE]]=FALSE,"FALSE",( TABLE1[[#This Row],[Potential Price Before BE]]-TABLE1[[#This Row],[Intended Entry]])/(TABLE1[[#This Row],[Intended Entry]]-TABLE1[[#This Row],[SL Price]]))</f>
        <v>2.9000000000000106</v>
      </c>
      <c r="AU91" s="5">
        <f>(IF(TABLE1[[#This Row],[Buy/Sell]]="BUY",(TABLE1[[#This Row],[Entry Price]]-TABLE1[[#This Row],[SL Price]])/(TABLE1[[#This Row],[Intended Entry]]-TABLE1[[#This Row],[SL Price]]),(TABLE1[[#This Row],[SL Price]]-TABLE1[[#This Row],[Entry Price]])/(TABLE1[[#This Row],[SL Price]]-TABLE1[[#This Row],[Intended Entry]])))-1</f>
        <v>-9.9999999999998201E-2</v>
      </c>
      <c r="AV91"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0.95000000000000528</v>
      </c>
      <c r="AW91" s="21">
        <f>TABLE1[[#This Row],[Missed RRR on Entry]]+TABLE1[[#This Row],[Missed RRR on Exit]]</f>
        <v>0.85000000000000708</v>
      </c>
      <c r="AX91" s="21">
        <f>ROUND((TABLE1[[#This Row],[Potential Price]]-TABLE1[[#This Row],[Entry Price]])/(TABLE1[[#This Row],[Intended Entry]]-TABLE1[[#This Row],[SL Price]]),4)</f>
        <v>3</v>
      </c>
      <c r="AY91" s="21">
        <f>ROUND((TABLE1[[#This Row],[Potential Price]]-TABLE1[[#This Row],[Intended Entry]])/(TABLE1[[#This Row],[Intended Entry]]-TABLE1[[#This Row],[SL Price]]),4)</f>
        <v>2.9</v>
      </c>
      <c r="AZ91" s="21">
        <f>TABLE1[[#This Row],[RRR Potential]]-TABLE1[[#This Row],[RRR Realized]]</f>
        <v>4.8499999999999996</v>
      </c>
      <c r="BA91" s="29">
        <f>ROUND((TABLE1[[#This Row],[Exit Price]]-TABLE1[[#This Row],[Entry Price]])/(TABLE1[[#This Row],[Intended Entry]]-TABLE1[[#This Row],[SL Price]]),4)</f>
        <v>-1.85</v>
      </c>
      <c r="BB91"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-1.85</v>
      </c>
      <c r="BC91"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9.9999999999998201E-2</v>
      </c>
      <c r="BD91"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9.9999999999998201E-2</v>
      </c>
      <c r="BE91"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9.9999999999998201E-2</v>
      </c>
      <c r="BF91"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-1.85</v>
      </c>
      <c r="BG91"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-1.85</v>
      </c>
      <c r="BH91"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-1.85</v>
      </c>
      <c r="BI91"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9.9999999999998201E-2</v>
      </c>
      <c r="BJ91"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9.9999999999998201E-2</v>
      </c>
      <c r="BK91"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9.9999999999998201E-2</v>
      </c>
      <c r="BL91"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9.9999999999998201E-2</v>
      </c>
      <c r="BM91"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9.9999999999998201E-2</v>
      </c>
      <c r="BN91"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9.9999999999998201E-2</v>
      </c>
      <c r="BO91"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9.9999999999998201E-2</v>
      </c>
      <c r="BP91"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9.9999999999998201E-2</v>
      </c>
      <c r="BQ91"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-1.85</v>
      </c>
      <c r="BR91"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9.9999999999998201E-2</v>
      </c>
      <c r="BS91"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9.9999999999998201E-2</v>
      </c>
      <c r="BT91"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-1.85</v>
      </c>
      <c r="BU91"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9.9999999999998201E-2</v>
      </c>
      <c r="BV91"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9.9999999999998201E-2</v>
      </c>
      <c r="BW91"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-1.85</v>
      </c>
      <c r="BX91"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9.9999999999998201E-2</v>
      </c>
      <c r="BY91"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9.9999999999998201E-2</v>
      </c>
      <c r="BZ91" s="24">
        <f>IF( TABLE1[[#This Row],[Wick Exit]]&lt;&gt; FALSE,TABLE1[[#This Row],[RRR Wick Exit]],IF(TABLE1[[#This Row],[Volume Exit]]&lt;&gt; FALSE,TABLE1[[#This Row],[RRR Volume Exit]],TABLE1[[#This Row],[RRR Realized]]))</f>
        <v>0</v>
      </c>
      <c r="CA91"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v>
      </c>
      <c r="CB91"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v>
      </c>
      <c r="CC91"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CD91"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row>
    <row r="92" spans="1:82" x14ac:dyDescent="0.25">
      <c r="A92" t="s">
        <v>385</v>
      </c>
      <c r="B92">
        <v>91</v>
      </c>
      <c r="C92" s="2">
        <v>43531</v>
      </c>
      <c r="D92" s="1">
        <v>0.4284722222222222</v>
      </c>
      <c r="E92" s="1">
        <v>0.44166666666666665</v>
      </c>
      <c r="F92" s="5">
        <v>2</v>
      </c>
      <c r="G92" s="5">
        <v>29.4</v>
      </c>
      <c r="H92" s="17">
        <v>10</v>
      </c>
      <c r="I92" t="s">
        <v>19</v>
      </c>
      <c r="J92" t="s">
        <v>22</v>
      </c>
      <c r="K92">
        <v>25.88</v>
      </c>
      <c r="L92">
        <v>25.88</v>
      </c>
      <c r="M92">
        <v>25.03</v>
      </c>
      <c r="N92">
        <v>28.82</v>
      </c>
      <c r="O92">
        <v>28.82</v>
      </c>
      <c r="P92">
        <v>28.82</v>
      </c>
      <c r="Q92">
        <v>24.42</v>
      </c>
      <c r="R92">
        <v>27.73</v>
      </c>
      <c r="S92">
        <v>64</v>
      </c>
      <c r="T92" t="b">
        <v>0</v>
      </c>
      <c r="U92">
        <v>24.22</v>
      </c>
      <c r="V92" t="b">
        <v>1</v>
      </c>
      <c r="X92">
        <v>32.97</v>
      </c>
      <c r="Y92">
        <v>5</v>
      </c>
      <c r="Z92">
        <v>1.5</v>
      </c>
      <c r="AA92">
        <v>32.97</v>
      </c>
      <c r="AB92">
        <v>5</v>
      </c>
      <c r="AC92">
        <v>1.5</v>
      </c>
      <c r="AD92" t="b">
        <v>0</v>
      </c>
      <c r="AE92" t="s">
        <v>28</v>
      </c>
      <c r="AF92" t="s">
        <v>30</v>
      </c>
      <c r="AG92" t="s">
        <v>34</v>
      </c>
      <c r="AH92">
        <v>2.11</v>
      </c>
      <c r="AI92" t="s">
        <v>431</v>
      </c>
      <c r="AJ92" t="s">
        <v>163</v>
      </c>
      <c r="AK92" s="26" t="s">
        <v>399</v>
      </c>
      <c r="AL92" s="22">
        <f>(TABLE1[[#This Row],[TP Price]]-TABLE1[[#This Row],[Intended Entry]])/(TABLE1[[#This Row],[Intended Entry]]-TABLE1[[#This Row],[SL Price]])</f>
        <v>3.4588235294117751</v>
      </c>
      <c r="AM92" s="24">
        <f>IF(TABLE1[[#This Row],[Buy/Sell]]="BUY",(TABLE1[[#This Row],[Highest Price]]-TABLE1[[#This Row],[Entry Price]])/(TABLE1[[#This Row],[Intended Entry]]-TABLE1[[#This Row],[SL Price]]),(TABLE1[[#This Row],[Entry Price]]-TABLE1[[#This Row],[Lowest Price]])/(TABLE1[[#This Row],[SL Price]]-TABLE1[[#This Row],[Intended Entry]]))</f>
        <v>3.4588235294117751</v>
      </c>
      <c r="AN92" s="25">
        <f>IF(TABLE1[[#This Row],[Buy/Sell]]="BUY",(TABLE1[[#This Row],[Entry Price]]-TABLE1[[#This Row],[Lowest Price]])/(TABLE1[[#This Row],[SL Price]]-TABLE1[[#This Row],[Intended Entry]]),(TABLE1[[#This Row],[Entry Price]]-TABLE1[[#This Row],[Highest Price]])/(TABLE1[[#This Row],[SL Price]]-TABLE1[[#This Row],[Intended Entry]]))</f>
        <v>-1.7176470588235306</v>
      </c>
      <c r="AO92" s="5" t="str">
        <f>IF(TABLE1[[#This Row],[Gain/Loss]]&lt;0, "LOSER", "WINNER")</f>
        <v>WINNER</v>
      </c>
      <c r="AP92" s="5">
        <f>TABLE1[[#This Row],[Gain/Loss]]-TABLE1[[#This Row],[Comissions]]</f>
        <v>27.4</v>
      </c>
      <c r="AQ92" s="4">
        <f>TABLE1[[#This Row],[Exit Time]]-TABLE1[[#This Row],[Entry Time]]</f>
        <v>1.3194444444444453E-2</v>
      </c>
      <c r="AR92" s="21">
        <f>IF(TABLE1[[#This Row],[Retest Price]]&lt;&gt;FALSE,ROUND((TABLE1[[#This Row],[Retest Price]]-TABLE1[[#This Row],[Entry Price]])/(TABLE1[[#This Row],[Intended Entry]]-TABLE1[[#This Row],[SL Price]]),4), "FALSE")</f>
        <v>-1.9529000000000001</v>
      </c>
      <c r="AS92" s="5">
        <f>TABLE1[[#This Row],[Net Gain/Loss]]+AS91</f>
        <v>-463.60400000000021</v>
      </c>
      <c r="AT92" s="5">
        <f>IF(TABLE1[[#This Row],[Potential Price Before BE]]=FALSE,"FALSE",( TABLE1[[#This Row],[Potential Price Before BE]]-TABLE1[[#This Row],[Intended Entry]])/(TABLE1[[#This Row],[Intended Entry]]-TABLE1[[#This Row],[SL Price]]))</f>
        <v>2.176470588235301</v>
      </c>
      <c r="AU92" s="5">
        <f>(IF(TABLE1[[#This Row],[Buy/Sell]]="BUY",(TABLE1[[#This Row],[Entry Price]]-TABLE1[[#This Row],[SL Price]])/(TABLE1[[#This Row],[Intended Entry]]-TABLE1[[#This Row],[SL Price]]),(TABLE1[[#This Row],[SL Price]]-TABLE1[[#This Row],[Entry Price]])/(TABLE1[[#This Row],[SL Price]]-TABLE1[[#This Row],[Intended Entry]])))-1</f>
        <v>0</v>
      </c>
      <c r="AV92"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W92" s="21">
        <f>TABLE1[[#This Row],[Missed RRR on Entry]]+TABLE1[[#This Row],[Missed RRR on Exit]]</f>
        <v>0</v>
      </c>
      <c r="AX92" s="21">
        <f>ROUND((TABLE1[[#This Row],[Potential Price]]-TABLE1[[#This Row],[Entry Price]])/(TABLE1[[#This Row],[Intended Entry]]-TABLE1[[#This Row],[SL Price]]),4)</f>
        <v>44.847099999999998</v>
      </c>
      <c r="AY92" s="21">
        <f>ROUND((TABLE1[[#This Row],[Potential Price]]-TABLE1[[#This Row],[Intended Entry]])/(TABLE1[[#This Row],[Intended Entry]]-TABLE1[[#This Row],[SL Price]]),4)</f>
        <v>44.847099999999998</v>
      </c>
      <c r="AZ92" s="21">
        <f>TABLE1[[#This Row],[RRR Potential]]-TABLE1[[#This Row],[RRR Realized]]</f>
        <v>41.388300000000001</v>
      </c>
      <c r="BA92" s="29">
        <f>ROUND((TABLE1[[#This Row],[Exit Price]]-TABLE1[[#This Row],[Entry Price]])/(TABLE1[[#This Row],[Intended Entry]]-TABLE1[[#This Row],[SL Price]]),4)</f>
        <v>3.4588000000000001</v>
      </c>
      <c r="BB92"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C92"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D92"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E92"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F92"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G92"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H92"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I92"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J92"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K92"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L92"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M92"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N92"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O92"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P92"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Q92"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R92"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S92"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T92"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BU92"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BV92"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c r="BW92"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8.3411764705882554</v>
      </c>
      <c r="BX92"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v>
      </c>
      <c r="BY92"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v>
      </c>
      <c r="BZ92" s="24">
        <f>IF( TABLE1[[#This Row],[Wick Exit]]&lt;&gt; FALSE,TABLE1[[#This Row],[RRR Wick Exit]],IF(TABLE1[[#This Row],[Volume Exit]]&lt;&gt; FALSE,TABLE1[[#This Row],[RRR Volume Exit]],TABLE1[[#This Row],[RRR Realized]]))</f>
        <v>8.3411764705882554</v>
      </c>
      <c r="CA92"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3.4588000000000001</v>
      </c>
      <c r="CB92"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v>
      </c>
      <c r="CC92"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v>
      </c>
      <c r="CD92"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v>
      </c>
    </row>
    <row r="93" spans="1:82" x14ac:dyDescent="0.25">
      <c r="A93" t="s">
        <v>400</v>
      </c>
      <c r="B93">
        <v>92</v>
      </c>
      <c r="C93" s="2">
        <v>43532</v>
      </c>
      <c r="D93" s="1">
        <v>0.40902777777777777</v>
      </c>
      <c r="E93" s="1">
        <v>0.41319444444444442</v>
      </c>
      <c r="F93" s="5">
        <v>2.02</v>
      </c>
      <c r="G93" s="5">
        <f>23.1</f>
        <v>23.1</v>
      </c>
      <c r="H93" s="17">
        <v>66</v>
      </c>
      <c r="I93" t="s">
        <v>262</v>
      </c>
      <c r="J93" t="s">
        <v>23</v>
      </c>
      <c r="K93">
        <v>3.34</v>
      </c>
      <c r="L93">
        <v>3.35</v>
      </c>
      <c r="M93">
        <f>3.34+0.105</f>
        <v>3.4449999999999998</v>
      </c>
      <c r="N93">
        <v>3</v>
      </c>
      <c r="O93">
        <v>3</v>
      </c>
      <c r="P93">
        <v>3.38</v>
      </c>
      <c r="Q93">
        <v>3</v>
      </c>
      <c r="R93" t="b">
        <v>0</v>
      </c>
      <c r="S93">
        <v>2.59</v>
      </c>
      <c r="T93" t="b">
        <v>0</v>
      </c>
      <c r="U93">
        <v>3.42</v>
      </c>
      <c r="V93" t="b">
        <v>1</v>
      </c>
      <c r="X93">
        <v>3</v>
      </c>
      <c r="Y93">
        <v>5</v>
      </c>
      <c r="Z93" t="b">
        <v>0</v>
      </c>
      <c r="AA93">
        <v>2.81</v>
      </c>
      <c r="AB93">
        <v>5</v>
      </c>
      <c r="AC93" t="b">
        <v>0</v>
      </c>
      <c r="AD93" t="b">
        <v>0</v>
      </c>
      <c r="AE93" t="s">
        <v>26</v>
      </c>
      <c r="AF93" t="s">
        <v>31</v>
      </c>
      <c r="AG93" t="s">
        <v>34</v>
      </c>
      <c r="AH93">
        <v>5.98</v>
      </c>
      <c r="AI93" t="s">
        <v>52</v>
      </c>
      <c r="AJ93" t="s">
        <v>163</v>
      </c>
      <c r="AK93" s="26" t="s">
        <v>401</v>
      </c>
      <c r="AL93" s="22">
        <f>(TABLE1[[#This Row],[TP Price]]-TABLE1[[#This Row],[Intended Entry]])/(TABLE1[[#This Row],[Intended Entry]]-TABLE1[[#This Row],[SL Price]])</f>
        <v>3.2380952380952372</v>
      </c>
      <c r="AM93" s="24">
        <f>IF(TABLE1[[#This Row],[Buy/Sell]]="BUY",(TABLE1[[#This Row],[Highest Price]]-TABLE1[[#This Row],[Entry Price]])/(TABLE1[[#This Row],[Intended Entry]]-TABLE1[[#This Row],[SL Price]]),(TABLE1[[#This Row],[Entry Price]]-TABLE1[[#This Row],[Lowest Price]])/(TABLE1[[#This Row],[SL Price]]-TABLE1[[#This Row],[Intended Entry]]))</f>
        <v>3.3333333333333348</v>
      </c>
      <c r="AN93" s="25">
        <f>IF(TABLE1[[#This Row],[Buy/Sell]]="BUY",(TABLE1[[#This Row],[Entry Price]]-TABLE1[[#This Row],[Lowest Price]])/(TABLE1[[#This Row],[SL Price]]-TABLE1[[#This Row],[Intended Entry]]),(TABLE1[[#This Row],[Entry Price]]-TABLE1[[#This Row],[Highest Price]])/(TABLE1[[#This Row],[SL Price]]-TABLE1[[#This Row],[Intended Entry]]))</f>
        <v>-0.28571428571428392</v>
      </c>
      <c r="AO93" s="5" t="str">
        <f>IF(TABLE1[[#This Row],[Gain/Loss]]&lt;0, "LOSER", "WINNER")</f>
        <v>WINNER</v>
      </c>
      <c r="AP93" s="5">
        <f>TABLE1[[#This Row],[Gain/Loss]]-TABLE1[[#This Row],[Comissions]]</f>
        <v>21.080000000000002</v>
      </c>
      <c r="AQ93" s="4">
        <f>TABLE1[[#This Row],[Exit Time]]-TABLE1[[#This Row],[Entry Time]]</f>
        <v>4.1666666666666519E-3</v>
      </c>
      <c r="AR93" s="21">
        <f>IF(TABLE1[[#This Row],[Retest Price]]&lt;&gt;FALSE,ROUND((TABLE1[[#This Row],[Retest Price]]-TABLE1[[#This Row],[Entry Price]])/(TABLE1[[#This Row],[Intended Entry]]-TABLE1[[#This Row],[SL Price]]),4), "FALSE")</f>
        <v>-0.66669999999999996</v>
      </c>
      <c r="AS93" s="5">
        <f>TABLE1[[#This Row],[Net Gain/Loss]]+AS92</f>
        <v>-442.52400000000023</v>
      </c>
      <c r="AT93" s="5" t="str">
        <f>IF(TABLE1[[#This Row],[Potential Price Before BE]]=FALSE,"FALSE",( TABLE1[[#This Row],[Potential Price Before BE]]-TABLE1[[#This Row],[Intended Entry]])/(TABLE1[[#This Row],[Intended Entry]]-TABLE1[[#This Row],[SL Price]]))</f>
        <v>FALSE</v>
      </c>
      <c r="AU93" s="5">
        <f>(IF(TABLE1[[#This Row],[Buy/Sell]]="BUY",(TABLE1[[#This Row],[Entry Price]]-TABLE1[[#This Row],[SL Price]])/(TABLE1[[#This Row],[Intended Entry]]-TABLE1[[#This Row],[SL Price]]),(TABLE1[[#This Row],[SL Price]]-TABLE1[[#This Row],[Entry Price]])/(TABLE1[[#This Row],[SL Price]]-TABLE1[[#This Row],[Intended Entry]])))-1</f>
        <v>-9.5238095238097453E-2</v>
      </c>
      <c r="AV93"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W93" s="21">
        <f>TABLE1[[#This Row],[Missed RRR on Entry]]+TABLE1[[#This Row],[Missed RRR on Exit]]</f>
        <v>-9.5238095238097453E-2</v>
      </c>
      <c r="AX93" s="21">
        <f>ROUND((TABLE1[[#This Row],[Potential Price]]-TABLE1[[#This Row],[Entry Price]])/(TABLE1[[#This Row],[Intended Entry]]-TABLE1[[#This Row],[SL Price]]),4)</f>
        <v>7.2381000000000002</v>
      </c>
      <c r="AY93" s="21">
        <f>ROUND((TABLE1[[#This Row],[Potential Price]]-TABLE1[[#This Row],[Intended Entry]])/(TABLE1[[#This Row],[Intended Entry]]-TABLE1[[#This Row],[SL Price]]),4)</f>
        <v>7.1429</v>
      </c>
      <c r="AZ93" s="21"/>
      <c r="BA93" s="29">
        <f>ROUND((TABLE1[[#This Row],[Exit Price]]-TABLE1[[#This Row],[Entry Price]])/(TABLE1[[#This Row],[Intended Entry]]-TABLE1[[#This Row],[SL Price]]),4)</f>
        <v>3.3332999999999999</v>
      </c>
      <c r="BB93"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5.0952380952380976</v>
      </c>
      <c r="BC93"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5.0952380952380976</v>
      </c>
      <c r="BD93"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5.0952380952380976</v>
      </c>
      <c r="BE93"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5.0952380952380976</v>
      </c>
      <c r="BF93"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5.0952380952380976</v>
      </c>
      <c r="BG93"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5.0952380952380976</v>
      </c>
      <c r="BH93"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5.0952380952380976</v>
      </c>
      <c r="BI93"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5.0952380952380976</v>
      </c>
      <c r="BJ93"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5.0952380952380976</v>
      </c>
      <c r="BK93"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5.0952380952380976</v>
      </c>
      <c r="BL93"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5.0952380952380976</v>
      </c>
      <c r="BM93"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5.0952380952380976</v>
      </c>
      <c r="BN93"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5.0952380952380976</v>
      </c>
      <c r="BO93"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5.0952380952380976</v>
      </c>
      <c r="BP93"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5.0952380952380976</v>
      </c>
      <c r="BQ93"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5.0952380952380976</v>
      </c>
      <c r="BR93"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5.0952380952380976</v>
      </c>
      <c r="BS93"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5.0952380952380976</v>
      </c>
      <c r="BT93"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5.0952380952380976</v>
      </c>
      <c r="BU93"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5.0952380952380976</v>
      </c>
      <c r="BV93"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5.0952380952380976</v>
      </c>
      <c r="BW93"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-31.904761904761912</v>
      </c>
      <c r="BX93"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3.3333333333333348</v>
      </c>
      <c r="BY93"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3.3333333333333348</v>
      </c>
      <c r="BZ93" s="24">
        <f>IF( TABLE1[[#This Row],[Wick Exit]]&lt;&gt; FALSE,TABLE1[[#This Row],[RRR Wick Exit]],IF(TABLE1[[#This Row],[Volume Exit]]&lt;&gt; FALSE,TABLE1[[#This Row],[RRR Volume Exit]],TABLE1[[#This Row],[RRR Realized]]))</f>
        <v>-31.904761904761912</v>
      </c>
      <c r="CA93"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3.3332999999999999</v>
      </c>
      <c r="CB93"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5.0952380952380976</v>
      </c>
      <c r="CC93"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5.0952380952380976</v>
      </c>
      <c r="CD93"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5.0952380952380976</v>
      </c>
    </row>
    <row r="94" spans="1:82" x14ac:dyDescent="0.25">
      <c r="A94" t="s">
        <v>402</v>
      </c>
      <c r="B94">
        <v>93</v>
      </c>
      <c r="C94" s="2">
        <v>43532</v>
      </c>
      <c r="D94" s="1">
        <v>0.4680555555555555</v>
      </c>
      <c r="E94" s="1">
        <v>0.4694444444444445</v>
      </c>
      <c r="F94" s="5">
        <v>2.0099999999999998</v>
      </c>
      <c r="G94" s="5">
        <v>29.5</v>
      </c>
      <c r="H94" s="17">
        <v>50</v>
      </c>
      <c r="I94" t="s">
        <v>19</v>
      </c>
      <c r="J94" t="s">
        <v>22</v>
      </c>
      <c r="K94">
        <v>8.25</v>
      </c>
      <c r="L94">
        <v>8.26</v>
      </c>
      <c r="M94">
        <v>8.0500000000000007</v>
      </c>
      <c r="N94">
        <v>8.85</v>
      </c>
      <c r="O94">
        <v>8.85</v>
      </c>
      <c r="P94">
        <v>8.85</v>
      </c>
      <c r="Q94">
        <v>8.1999999999999993</v>
      </c>
      <c r="R94">
        <v>9.64</v>
      </c>
      <c r="S94">
        <v>9.64</v>
      </c>
      <c r="T94" t="b">
        <v>0</v>
      </c>
      <c r="U94" t="b">
        <v>0</v>
      </c>
      <c r="V94" t="b">
        <v>1</v>
      </c>
      <c r="W94" t="b">
        <v>0</v>
      </c>
      <c r="X94">
        <v>8.0500000000000007</v>
      </c>
      <c r="Y94">
        <v>5</v>
      </c>
      <c r="Z94">
        <v>1.5</v>
      </c>
      <c r="AA94">
        <v>8.0500000000000007</v>
      </c>
      <c r="AB94">
        <v>5</v>
      </c>
      <c r="AC94">
        <v>1.5</v>
      </c>
      <c r="AD94" t="b">
        <v>0</v>
      </c>
      <c r="AE94" t="s">
        <v>26</v>
      </c>
      <c r="AF94" t="s">
        <v>29</v>
      </c>
      <c r="AG94" t="s">
        <v>34</v>
      </c>
      <c r="AH94">
        <v>3.78</v>
      </c>
      <c r="AI94" t="s">
        <v>431</v>
      </c>
      <c r="AJ94" t="s">
        <v>163</v>
      </c>
      <c r="AK94" s="26" t="s">
        <v>403</v>
      </c>
      <c r="AL94" s="22">
        <f>(TABLE1[[#This Row],[TP Price]]-TABLE1[[#This Row],[Intended Entry]])/(TABLE1[[#This Row],[Intended Entry]]-TABLE1[[#This Row],[SL Price]])</f>
        <v>3.0000000000000089</v>
      </c>
      <c r="AM94" s="24">
        <f>IF(TABLE1[[#This Row],[Buy/Sell]]="BUY",(TABLE1[[#This Row],[Highest Price]]-TABLE1[[#This Row],[Entry Price]])/(TABLE1[[#This Row],[Intended Entry]]-TABLE1[[#This Row],[SL Price]]),(TABLE1[[#This Row],[Entry Price]]-TABLE1[[#This Row],[Lowest Price]])/(TABLE1[[#This Row],[SL Price]]-TABLE1[[#This Row],[Intended Entry]]))</f>
        <v>2.9500000000000099</v>
      </c>
      <c r="AN94" s="25">
        <f>IF(TABLE1[[#This Row],[Buy/Sell]]="BUY",(TABLE1[[#This Row],[Entry Price]]-TABLE1[[#This Row],[Lowest Price]])/(TABLE1[[#This Row],[SL Price]]-TABLE1[[#This Row],[Intended Entry]]),(TABLE1[[#This Row],[Entry Price]]-TABLE1[[#This Row],[Highest Price]])/(TABLE1[[#This Row],[SL Price]]-TABLE1[[#This Row],[Intended Entry]]))</f>
        <v>-0.30000000000000354</v>
      </c>
      <c r="AO94" s="5" t="str">
        <f>IF(TABLE1[[#This Row],[Gain/Loss]]&lt;0, "LOSER", "WINNER")</f>
        <v>WINNER</v>
      </c>
      <c r="AP94" s="5">
        <f>TABLE1[[#This Row],[Gain/Loss]]-TABLE1[[#This Row],[Comissions]]</f>
        <v>27.490000000000002</v>
      </c>
      <c r="AQ94" s="4">
        <f>TABLE1[[#This Row],[Exit Time]]-TABLE1[[#This Row],[Entry Time]]</f>
        <v>1.388888888888995E-3</v>
      </c>
      <c r="AR94" s="21" t="str">
        <f>IF(TABLE1[[#This Row],[Retest Price]]&lt;&gt;FALSE,ROUND((TABLE1[[#This Row],[Retest Price]]-TABLE1[[#This Row],[Entry Price]])/(TABLE1[[#This Row],[Intended Entry]]-TABLE1[[#This Row],[SL Price]]),4), "FALSE")</f>
        <v>FALSE</v>
      </c>
      <c r="AS94" s="5">
        <f>TABLE1[[#This Row],[Net Gain/Loss]]+AS93</f>
        <v>-415.03400000000022</v>
      </c>
      <c r="AT94" s="5">
        <f>IF(TABLE1[[#This Row],[Potential Price Before BE]]=FALSE,"FALSE",( TABLE1[[#This Row],[Potential Price Before BE]]-TABLE1[[#This Row],[Intended Entry]])/(TABLE1[[#This Row],[Intended Entry]]-TABLE1[[#This Row],[SL Price]]))</f>
        <v>6.9500000000000277</v>
      </c>
      <c r="AU94" s="5">
        <f>(IF(TABLE1[[#This Row],[Buy/Sell]]="BUY",(TABLE1[[#This Row],[Entry Price]]-TABLE1[[#This Row],[SL Price]])/(TABLE1[[#This Row],[Intended Entry]]-TABLE1[[#This Row],[SL Price]]),(TABLE1[[#This Row],[SL Price]]-TABLE1[[#This Row],[Entry Price]])/(TABLE1[[#This Row],[SL Price]]-TABLE1[[#This Row],[Intended Entry]])))-1</f>
        <v>4.9999999999999156E-2</v>
      </c>
      <c r="AV94"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W94" s="21">
        <f>TABLE1[[#This Row],[Missed RRR on Entry]]+TABLE1[[#This Row],[Missed RRR on Exit]]</f>
        <v>4.9999999999999156E-2</v>
      </c>
      <c r="AX94" s="21">
        <f>ROUND((TABLE1[[#This Row],[Potential Price]]-TABLE1[[#This Row],[Entry Price]])/(TABLE1[[#This Row],[Intended Entry]]-TABLE1[[#This Row],[SL Price]]),4)</f>
        <v>6.9</v>
      </c>
      <c r="AY94" s="21">
        <f>ROUND((TABLE1[[#This Row],[Potential Price]]-TABLE1[[#This Row],[Intended Entry]])/(TABLE1[[#This Row],[Intended Entry]]-TABLE1[[#This Row],[SL Price]]),4)</f>
        <v>6.95</v>
      </c>
      <c r="AZ94" s="21">
        <f>TABLE1[[#This Row],[RRR Potential]]-TABLE1[[#This Row],[RRR Realized]]</f>
        <v>3.95</v>
      </c>
      <c r="BA94" s="29">
        <f>ROUND((TABLE1[[#This Row],[Exit Price]]-TABLE1[[#This Row],[Entry Price]])/(TABLE1[[#This Row],[Intended Entry]]-TABLE1[[#This Row],[SL Price]]),4)</f>
        <v>2.95</v>
      </c>
      <c r="BB94"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4.9500000000000011</v>
      </c>
      <c r="BC94"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4.9500000000000011</v>
      </c>
      <c r="BD94"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4.9500000000000011</v>
      </c>
      <c r="BE94"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4.9500000000000011</v>
      </c>
      <c r="BF94"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4.9500000000000011</v>
      </c>
      <c r="BG94"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4.9500000000000011</v>
      </c>
      <c r="BH94"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4.9500000000000011</v>
      </c>
      <c r="BI94"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4.9500000000000011</v>
      </c>
      <c r="BJ94"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4.9500000000000011</v>
      </c>
      <c r="BK94"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4.9500000000000011</v>
      </c>
      <c r="BL94"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4.9500000000000011</v>
      </c>
      <c r="BM94"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4.9500000000000011</v>
      </c>
      <c r="BN94"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4.9500000000000011</v>
      </c>
      <c r="BO94"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4.9500000000000011</v>
      </c>
      <c r="BP94"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4.9500000000000011</v>
      </c>
      <c r="BQ94"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4.9500000000000011</v>
      </c>
      <c r="BR94"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4.9500000000000011</v>
      </c>
      <c r="BS94"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4.9500000000000011</v>
      </c>
      <c r="BT94"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4.9500000000000011</v>
      </c>
      <c r="BU94"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4.9500000000000011</v>
      </c>
      <c r="BV94"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4.9500000000000011</v>
      </c>
      <c r="BW94"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-1.0499999999999992</v>
      </c>
      <c r="BX94"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-4.9999999999999156E-2</v>
      </c>
      <c r="BY94"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-4.9999999999999156E-2</v>
      </c>
      <c r="BZ94" s="24">
        <f>IF( TABLE1[[#This Row],[Wick Exit]]&lt;&gt; FALSE,TABLE1[[#This Row],[RRR Wick Exit]],IF(TABLE1[[#This Row],[Volume Exit]]&lt;&gt; FALSE,TABLE1[[#This Row],[RRR Volume Exit]],TABLE1[[#This Row],[RRR Realized]]))</f>
        <v>-1.0499999999999992</v>
      </c>
      <c r="CA94"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2.95</v>
      </c>
      <c r="CB94"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4.9500000000000011</v>
      </c>
      <c r="CC94"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4.9500000000000011</v>
      </c>
      <c r="CD94"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4.9500000000000011</v>
      </c>
    </row>
    <row r="95" spans="1:82" x14ac:dyDescent="0.25">
      <c r="A95" t="s">
        <v>404</v>
      </c>
      <c r="B95">
        <v>94</v>
      </c>
      <c r="C95" s="2">
        <v>43535</v>
      </c>
      <c r="D95" s="1">
        <v>0.44027777777777777</v>
      </c>
      <c r="E95" s="1">
        <v>0.44444444444444442</v>
      </c>
      <c r="F95" s="5">
        <v>2.02</v>
      </c>
      <c r="G95" s="5">
        <v>24.63</v>
      </c>
      <c r="H95" s="17">
        <v>50</v>
      </c>
      <c r="I95" t="s">
        <v>19</v>
      </c>
      <c r="J95" t="s">
        <v>22</v>
      </c>
      <c r="K95">
        <v>7.54</v>
      </c>
      <c r="L95">
        <v>7.55</v>
      </c>
      <c r="M95">
        <v>7.34</v>
      </c>
      <c r="N95">
        <v>8.14</v>
      </c>
      <c r="O95">
        <v>8.14</v>
      </c>
      <c r="P95">
        <v>8.14</v>
      </c>
      <c r="Q95">
        <v>7.41</v>
      </c>
      <c r="R95">
        <v>8.3800000000000008</v>
      </c>
      <c r="S95">
        <v>8.3800000000000008</v>
      </c>
      <c r="T95" t="b">
        <v>0</v>
      </c>
      <c r="U95" t="b">
        <v>0</v>
      </c>
      <c r="V95" t="b">
        <v>1</v>
      </c>
      <c r="X95">
        <v>7.67</v>
      </c>
      <c r="Y95" t="b">
        <v>0</v>
      </c>
      <c r="Z95" t="b">
        <v>0</v>
      </c>
      <c r="AA95">
        <v>7.96</v>
      </c>
      <c r="AB95">
        <v>4</v>
      </c>
      <c r="AC95" t="b">
        <v>0</v>
      </c>
      <c r="AD95" t="b">
        <v>0</v>
      </c>
      <c r="AE95" t="s">
        <v>26</v>
      </c>
      <c r="AF95" t="s">
        <v>29</v>
      </c>
      <c r="AG95" t="s">
        <v>34</v>
      </c>
      <c r="AH95">
        <v>33.869999999999997</v>
      </c>
      <c r="AI95" t="s">
        <v>431</v>
      </c>
      <c r="AJ95" t="s">
        <v>163</v>
      </c>
      <c r="AK95" s="26" t="s">
        <v>407</v>
      </c>
      <c r="AL95" s="22">
        <f>(TABLE1[[#This Row],[TP Price]]-TABLE1[[#This Row],[Intended Entry]])/(TABLE1[[#This Row],[Intended Entry]]-TABLE1[[#This Row],[SL Price]])</f>
        <v>3</v>
      </c>
      <c r="AM95" s="24">
        <f>IF(TABLE1[[#This Row],[Buy/Sell]]="BUY",(TABLE1[[#This Row],[Highest Price]]-TABLE1[[#This Row],[Entry Price]])/(TABLE1[[#This Row],[Intended Entry]]-TABLE1[[#This Row],[SL Price]]),(TABLE1[[#This Row],[Entry Price]]-TABLE1[[#This Row],[Lowest Price]])/(TABLE1[[#This Row],[SL Price]]-TABLE1[[#This Row],[Intended Entry]]))</f>
        <v>2.9500000000000011</v>
      </c>
      <c r="AN95" s="25">
        <f>IF(TABLE1[[#This Row],[Buy/Sell]]="BUY",(TABLE1[[#This Row],[Entry Price]]-TABLE1[[#This Row],[Lowest Price]])/(TABLE1[[#This Row],[SL Price]]-TABLE1[[#This Row],[Intended Entry]]),(TABLE1[[#This Row],[Entry Price]]-TABLE1[[#This Row],[Highest Price]])/(TABLE1[[#This Row],[SL Price]]-TABLE1[[#This Row],[Intended Entry]]))</f>
        <v>-0.69999999999999774</v>
      </c>
      <c r="AO95" s="5" t="str">
        <f>IF(TABLE1[[#This Row],[Gain/Loss]]&lt;0, "LOSER", "WINNER")</f>
        <v>WINNER</v>
      </c>
      <c r="AP95" s="5">
        <f>TABLE1[[#This Row],[Gain/Loss]]-TABLE1[[#This Row],[Comissions]]</f>
        <v>22.61</v>
      </c>
      <c r="AQ95" s="4">
        <f>TABLE1[[#This Row],[Exit Time]]-TABLE1[[#This Row],[Entry Time]]</f>
        <v>4.1666666666666519E-3</v>
      </c>
      <c r="AR95" s="21" t="str">
        <f>IF(TABLE1[[#This Row],[Retest Price]]&lt;&gt;FALSE,ROUND((TABLE1[[#This Row],[Retest Price]]-TABLE1[[#This Row],[Entry Price]])/(TABLE1[[#This Row],[Intended Entry]]-TABLE1[[#This Row],[SL Price]]),4), "FALSE")</f>
        <v>FALSE</v>
      </c>
      <c r="AS95" s="5">
        <f>TABLE1[[#This Row],[Net Gain/Loss]]+AS94</f>
        <v>-392.42400000000021</v>
      </c>
      <c r="AT95" s="5">
        <f>IF(TABLE1[[#This Row],[Potential Price Before BE]]=FALSE,"FALSE",( TABLE1[[#This Row],[Potential Price Before BE]]-TABLE1[[#This Row],[Intended Entry]])/(TABLE1[[#This Row],[Intended Entry]]-TABLE1[[#This Row],[SL Price]]))</f>
        <v>4.2</v>
      </c>
      <c r="AU95" s="5">
        <f>(IF(TABLE1[[#This Row],[Buy/Sell]]="BUY",(TABLE1[[#This Row],[Entry Price]]-TABLE1[[#This Row],[SL Price]])/(TABLE1[[#This Row],[Intended Entry]]-TABLE1[[#This Row],[SL Price]]),(TABLE1[[#This Row],[SL Price]]-TABLE1[[#This Row],[Entry Price]])/(TABLE1[[#This Row],[SL Price]]-TABLE1[[#This Row],[Intended Entry]])))-1</f>
        <v>4.9999999999998934E-2</v>
      </c>
      <c r="AV95"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W95" s="21">
        <f>TABLE1[[#This Row],[Missed RRR on Entry]]+TABLE1[[#This Row],[Missed RRR on Exit]]</f>
        <v>4.9999999999998934E-2</v>
      </c>
      <c r="AX95" s="21">
        <f>ROUND((TABLE1[[#This Row],[Potential Price]]-TABLE1[[#This Row],[Entry Price]])/(TABLE1[[#This Row],[Intended Entry]]-TABLE1[[#This Row],[SL Price]]),4)</f>
        <v>4.1500000000000004</v>
      </c>
      <c r="AY95" s="21">
        <f>ROUND((TABLE1[[#This Row],[Potential Price]]-TABLE1[[#This Row],[Intended Entry]])/(TABLE1[[#This Row],[Intended Entry]]-TABLE1[[#This Row],[SL Price]]),4)</f>
        <v>4.2</v>
      </c>
      <c r="AZ95" s="21">
        <f>TABLE1[[#This Row],[RRR Potential]]-TABLE1[[#This Row],[RRR Realized]]</f>
        <v>1.2000000000000002</v>
      </c>
      <c r="BA95" s="29">
        <f>ROUND((TABLE1[[#This Row],[Exit Price]]-TABLE1[[#This Row],[Entry Price]])/(TABLE1[[#This Row],[Intended Entry]]-TABLE1[[#This Row],[SL Price]]),4)</f>
        <v>2.95</v>
      </c>
      <c r="BB95"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-1.0499999999999989</v>
      </c>
      <c r="BC95"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-4.9999999999998934E-2</v>
      </c>
      <c r="BD95"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-4.9999999999998934E-2</v>
      </c>
      <c r="BE95"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-1.0499999999999989</v>
      </c>
      <c r="BF95"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-1.0499999999999989</v>
      </c>
      <c r="BG95"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-1.0499999999999989</v>
      </c>
      <c r="BH95"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-1.0499999999999989</v>
      </c>
      <c r="BI95"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-4.9999999999998934E-2</v>
      </c>
      <c r="BJ95"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-4.9999999999998934E-2</v>
      </c>
      <c r="BK95"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-4.9999999999998934E-2</v>
      </c>
      <c r="BL95"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-4.9999999999998934E-2</v>
      </c>
      <c r="BM95"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-4.9999999999998934E-2</v>
      </c>
      <c r="BN95"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-4.9999999999998934E-2</v>
      </c>
      <c r="BO95"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-4.9999999999998934E-2</v>
      </c>
      <c r="BP95"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-4.9999999999998934E-2</v>
      </c>
      <c r="BQ95"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-1.0499999999999989</v>
      </c>
      <c r="BR95"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-4.9999999999998934E-2</v>
      </c>
      <c r="BS95"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-4.9999999999998934E-2</v>
      </c>
      <c r="BT95"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0.6</v>
      </c>
      <c r="BU95"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0.6</v>
      </c>
      <c r="BV95"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0.6</v>
      </c>
      <c r="BW95"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0.6</v>
      </c>
      <c r="BX95"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0.6</v>
      </c>
      <c r="BY95"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0.6</v>
      </c>
      <c r="BZ95" s="24">
        <f>IF( TABLE1[[#This Row],[Wick Exit]]&lt;&gt; FALSE,TABLE1[[#This Row],[RRR Wick Exit]],IF(TABLE1[[#This Row],[Volume Exit]]&lt;&gt; FALSE,TABLE1[[#This Row],[RRR Volume Exit]],TABLE1[[#This Row],[RRR Realized]]))</f>
        <v>0.6</v>
      </c>
      <c r="CA95"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2.95</v>
      </c>
      <c r="CB95"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-1.0499999999999989</v>
      </c>
      <c r="CC95"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-4.9999999999998934E-2</v>
      </c>
      <c r="CD95"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-4.9999999999998934E-2</v>
      </c>
    </row>
    <row r="96" spans="1:82" x14ac:dyDescent="0.25">
      <c r="A96" t="s">
        <v>405</v>
      </c>
      <c r="B96">
        <v>95</v>
      </c>
      <c r="C96" s="2">
        <v>43535</v>
      </c>
      <c r="D96" s="1">
        <v>0.44444444444444442</v>
      </c>
      <c r="E96" s="1">
        <v>0.47152777777777777</v>
      </c>
      <c r="F96" s="5">
        <v>2.54</v>
      </c>
      <c r="G96" s="5">
        <f>32.5</f>
        <v>32.5</v>
      </c>
      <c r="H96" s="17">
        <v>250</v>
      </c>
      <c r="I96" t="s">
        <v>19</v>
      </c>
      <c r="J96" t="s">
        <v>23</v>
      </c>
      <c r="K96">
        <v>2.08</v>
      </c>
      <c r="L96">
        <v>2.09</v>
      </c>
      <c r="M96">
        <v>2.12</v>
      </c>
      <c r="N96">
        <v>1.96</v>
      </c>
      <c r="O96">
        <v>1.96</v>
      </c>
      <c r="P96">
        <v>2.14</v>
      </c>
      <c r="Q96">
        <v>1.96</v>
      </c>
      <c r="R96">
        <v>2.02</v>
      </c>
      <c r="S96">
        <v>1.9</v>
      </c>
      <c r="T96" t="b">
        <v>0</v>
      </c>
      <c r="U96" t="b">
        <v>0</v>
      </c>
      <c r="V96" t="b">
        <v>1</v>
      </c>
      <c r="W96" t="b">
        <v>1</v>
      </c>
      <c r="X96">
        <v>1.94</v>
      </c>
      <c r="Y96">
        <v>4</v>
      </c>
      <c r="Z96" t="b">
        <v>0</v>
      </c>
      <c r="AA96">
        <v>1.94</v>
      </c>
      <c r="AB96">
        <v>4</v>
      </c>
      <c r="AC96" t="b">
        <v>0</v>
      </c>
      <c r="AD96" t="b">
        <v>0</v>
      </c>
      <c r="AE96" t="s">
        <v>25</v>
      </c>
      <c r="AF96" t="s">
        <v>31</v>
      </c>
      <c r="AG96" t="s">
        <v>34</v>
      </c>
      <c r="AH96">
        <v>76.11</v>
      </c>
      <c r="AI96" t="s">
        <v>52</v>
      </c>
      <c r="AJ96" t="s">
        <v>163</v>
      </c>
      <c r="AK96" s="26" t="s">
        <v>408</v>
      </c>
      <c r="AL96" s="22">
        <f>(TABLE1[[#This Row],[TP Price]]-TABLE1[[#This Row],[Intended Entry]])/(TABLE1[[#This Row],[Intended Entry]]-TABLE1[[#This Row],[SL Price]])</f>
        <v>3</v>
      </c>
      <c r="AM96" s="24">
        <f>IF(TABLE1[[#This Row],[Buy/Sell]]="BUY",(TABLE1[[#This Row],[Highest Price]]-TABLE1[[#This Row],[Entry Price]])/(TABLE1[[#This Row],[Intended Entry]]-TABLE1[[#This Row],[SL Price]]),(TABLE1[[#This Row],[Entry Price]]-TABLE1[[#This Row],[Lowest Price]])/(TABLE1[[#This Row],[SL Price]]-TABLE1[[#This Row],[Intended Entry]]))</f>
        <v>3.2499999999999947</v>
      </c>
      <c r="AN96" s="25">
        <f>IF(TABLE1[[#This Row],[Buy/Sell]]="BUY",(TABLE1[[#This Row],[Entry Price]]-TABLE1[[#This Row],[Lowest Price]])/(TABLE1[[#This Row],[SL Price]]-TABLE1[[#This Row],[Intended Entry]]),(TABLE1[[#This Row],[Entry Price]]-TABLE1[[#This Row],[Highest Price]])/(TABLE1[[#This Row],[SL Price]]-TABLE1[[#This Row],[Intended Entry]]))</f>
        <v>-1.2500000000000056</v>
      </c>
      <c r="AO96" s="5" t="str">
        <f>IF(TABLE1[[#This Row],[Gain/Loss]]&lt;0, "LOSER", "WINNER")</f>
        <v>WINNER</v>
      </c>
      <c r="AP96" s="5">
        <f>TABLE1[[#This Row],[Gain/Loss]]-TABLE1[[#This Row],[Comissions]]</f>
        <v>29.96</v>
      </c>
      <c r="AQ96" s="4">
        <f>TABLE1[[#This Row],[Exit Time]]-TABLE1[[#This Row],[Entry Time]]</f>
        <v>2.7083333333333348E-2</v>
      </c>
      <c r="AR96" s="21" t="str">
        <f>IF(TABLE1[[#This Row],[Retest Price]]&lt;&gt;FALSE,ROUND((TABLE1[[#This Row],[Retest Price]]-TABLE1[[#This Row],[Entry Price]])/(TABLE1[[#This Row],[Intended Entry]]-TABLE1[[#This Row],[SL Price]]),4), "FALSE")</f>
        <v>FALSE</v>
      </c>
      <c r="AS96" s="5">
        <f>TABLE1[[#This Row],[Net Gain/Loss]]+AS95</f>
        <v>-362.46400000000023</v>
      </c>
      <c r="AT96" s="5">
        <f>IF(TABLE1[[#This Row],[Potential Price Before BE]]=FALSE,"FALSE",( TABLE1[[#This Row],[Potential Price Before BE]]-TABLE1[[#This Row],[Intended Entry]])/(TABLE1[[#This Row],[Intended Entry]]-TABLE1[[#This Row],[SL Price]]))</f>
        <v>1.5</v>
      </c>
      <c r="AU96" s="5">
        <f>(IF(TABLE1[[#This Row],[Buy/Sell]]="BUY",(TABLE1[[#This Row],[Entry Price]]-TABLE1[[#This Row],[SL Price]])/(TABLE1[[#This Row],[Intended Entry]]-TABLE1[[#This Row],[SL Price]]),(TABLE1[[#This Row],[SL Price]]-TABLE1[[#This Row],[Entry Price]])/(TABLE1[[#This Row],[SL Price]]-TABLE1[[#This Row],[Intended Entry]])))-1</f>
        <v>-0.24999999999999445</v>
      </c>
      <c r="AV96"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v>
      </c>
      <c r="AW96" s="21">
        <f>TABLE1[[#This Row],[Missed RRR on Entry]]+TABLE1[[#This Row],[Missed RRR on Exit]]</f>
        <v>-0.24999999999999445</v>
      </c>
      <c r="AX96" s="21">
        <f>ROUND((TABLE1[[#This Row],[Potential Price]]-TABLE1[[#This Row],[Entry Price]])/(TABLE1[[#This Row],[Intended Entry]]-TABLE1[[#This Row],[SL Price]]),4)</f>
        <v>4.75</v>
      </c>
      <c r="AY96" s="21">
        <f>ROUND((TABLE1[[#This Row],[Potential Price]]-TABLE1[[#This Row],[Intended Entry]])/(TABLE1[[#This Row],[Intended Entry]]-TABLE1[[#This Row],[SL Price]]),4)</f>
        <v>4.5</v>
      </c>
      <c r="AZ96" s="21"/>
      <c r="BA96" s="29">
        <f>ROUND((TABLE1[[#This Row],[Exit Price]]-TABLE1[[#This Row],[Entry Price]])/(TABLE1[[#This Row],[Intended Entry]]-TABLE1[[#This Row],[SL Price]]),4)</f>
        <v>3.25</v>
      </c>
      <c r="BB96"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-0.75000000000000555</v>
      </c>
      <c r="BC96"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0.24999999999999445</v>
      </c>
      <c r="BD96"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-0.75000000000000555</v>
      </c>
      <c r="BE96"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0.24999999999999445</v>
      </c>
      <c r="BF96"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-0.75000000000000555</v>
      </c>
      <c r="BG96"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-0.75000000000000555</v>
      </c>
      <c r="BH96"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-0.75000000000000555</v>
      </c>
      <c r="BI96"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0.24999999999999445</v>
      </c>
      <c r="BJ96"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0.24999999999999445</v>
      </c>
      <c r="BK96"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0.24999999999999445</v>
      </c>
      <c r="BL96"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0.24999999999999445</v>
      </c>
      <c r="BM96"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-0.75000000000000555</v>
      </c>
      <c r="BN96"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-0.75000000000000555</v>
      </c>
      <c r="BO96"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-0.75000000000000555</v>
      </c>
      <c r="BP96"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-0.75000000000000555</v>
      </c>
      <c r="BQ96"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-0.75000000000000555</v>
      </c>
      <c r="BR96"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0.24999999999999445</v>
      </c>
      <c r="BS96"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-0.75000000000000555</v>
      </c>
      <c r="BT96"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3.7499999999999947</v>
      </c>
      <c r="BU96"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3.7499999999999947</v>
      </c>
      <c r="BV96"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3.7499999999999947</v>
      </c>
      <c r="BW96"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-52.24999999999995</v>
      </c>
      <c r="BX96"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3.7499999999999947</v>
      </c>
      <c r="BY96"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3.7499999999999947</v>
      </c>
      <c r="BZ96" s="24">
        <f>IF( TABLE1[[#This Row],[Wick Exit]]&lt;&gt; FALSE,TABLE1[[#This Row],[RRR Wick Exit]],IF(TABLE1[[#This Row],[Volume Exit]]&lt;&gt; FALSE,TABLE1[[#This Row],[RRR Volume Exit]],TABLE1[[#This Row],[RRR Realized]]))</f>
        <v>-52.24999999999995</v>
      </c>
      <c r="CA96"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3.25</v>
      </c>
      <c r="CB96"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-0.75000000000000555</v>
      </c>
      <c r="CC96"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0.24999999999999445</v>
      </c>
      <c r="CD96"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-0.75000000000000555</v>
      </c>
    </row>
    <row r="97" spans="1:82" x14ac:dyDescent="0.25">
      <c r="A97" t="s">
        <v>406</v>
      </c>
      <c r="B97">
        <v>96</v>
      </c>
      <c r="C97" s="2">
        <v>43535</v>
      </c>
      <c r="D97" s="1">
        <v>0.4777777777777778</v>
      </c>
      <c r="E97" s="1">
        <v>0.48055555555555557</v>
      </c>
      <c r="F97" s="5">
        <v>2.0099999999999998</v>
      </c>
      <c r="G97" s="5">
        <v>-8.27</v>
      </c>
      <c r="H97" s="17">
        <v>66</v>
      </c>
      <c r="I97" t="s">
        <v>262</v>
      </c>
      <c r="J97" t="s">
        <v>22</v>
      </c>
      <c r="K97">
        <v>5.43</v>
      </c>
      <c r="L97">
        <v>5.43</v>
      </c>
      <c r="M97">
        <f>5.43-0.15</f>
        <v>5.2799999999999994</v>
      </c>
      <c r="N97">
        <v>5.88</v>
      </c>
      <c r="O97">
        <v>5.3049999999999997</v>
      </c>
      <c r="P97">
        <v>5.54</v>
      </c>
      <c r="Q97">
        <v>5.3049999999999997</v>
      </c>
      <c r="R97">
        <v>5.54</v>
      </c>
      <c r="S97">
        <v>5.54</v>
      </c>
      <c r="T97" t="b">
        <v>0</v>
      </c>
      <c r="U97">
        <v>5.31</v>
      </c>
      <c r="V97" t="b">
        <v>0</v>
      </c>
      <c r="W97" t="b">
        <v>0</v>
      </c>
      <c r="X97" t="b">
        <v>0</v>
      </c>
      <c r="AA97" t="b">
        <v>0</v>
      </c>
      <c r="AD97" t="b">
        <v>0</v>
      </c>
      <c r="AE97" t="s">
        <v>25</v>
      </c>
      <c r="AF97" t="s">
        <v>32</v>
      </c>
      <c r="AG97" t="s">
        <v>409</v>
      </c>
      <c r="AH97">
        <v>33.9</v>
      </c>
      <c r="AI97" t="s">
        <v>433</v>
      </c>
      <c r="AJ97" t="s">
        <v>163</v>
      </c>
      <c r="AK97" s="26" t="s">
        <v>410</v>
      </c>
      <c r="AL97" s="22">
        <f>(TABLE1[[#This Row],[TP Price]]-TABLE1[[#This Row],[Intended Entry]])/(TABLE1[[#This Row],[Intended Entry]]-TABLE1[[#This Row],[SL Price]])</f>
        <v>2.9999999999999942</v>
      </c>
      <c r="AM97" s="24">
        <f>IF(TABLE1[[#This Row],[Buy/Sell]]="BUY",(TABLE1[[#This Row],[Highest Price]]-TABLE1[[#This Row],[Entry Price]])/(TABLE1[[#This Row],[Intended Entry]]-TABLE1[[#This Row],[SL Price]]),(TABLE1[[#This Row],[Entry Price]]-TABLE1[[#This Row],[Lowest Price]])/(TABLE1[[#This Row],[SL Price]]-TABLE1[[#This Row],[Intended Entry]]))</f>
        <v>0.73333333333333373</v>
      </c>
      <c r="AN97" s="25">
        <f>IF(TABLE1[[#This Row],[Buy/Sell]]="BUY",(TABLE1[[#This Row],[Entry Price]]-TABLE1[[#This Row],[Lowest Price]])/(TABLE1[[#This Row],[SL Price]]-TABLE1[[#This Row],[Intended Entry]]),(TABLE1[[#This Row],[Entry Price]]-TABLE1[[#This Row],[Highest Price]])/(TABLE1[[#This Row],[SL Price]]-TABLE1[[#This Row],[Intended Entry]]))</f>
        <v>-0.83333333333333137</v>
      </c>
      <c r="AO97" s="5" t="str">
        <f>IF(TABLE1[[#This Row],[Gain/Loss]]&lt;0, "LOSER", "WINNER")</f>
        <v>LOSER</v>
      </c>
      <c r="AP97" s="5">
        <f>TABLE1[[#This Row],[Gain/Loss]]-TABLE1[[#This Row],[Comissions]]</f>
        <v>-10.28</v>
      </c>
      <c r="AQ97" s="4">
        <f>TABLE1[[#This Row],[Exit Time]]-TABLE1[[#This Row],[Entry Time]]</f>
        <v>2.7777777777777679E-3</v>
      </c>
      <c r="AR97" s="21">
        <f>IF(TABLE1[[#This Row],[Retest Price]]&lt;&gt;FALSE,ROUND((TABLE1[[#This Row],[Retest Price]]-TABLE1[[#This Row],[Entry Price]])/(TABLE1[[#This Row],[Intended Entry]]-TABLE1[[#This Row],[SL Price]]),4), "FALSE")</f>
        <v>-0.8</v>
      </c>
      <c r="AS97" s="5">
        <f>TABLE1[[#This Row],[Net Gain/Loss]]+AS96</f>
        <v>-372.7440000000002</v>
      </c>
      <c r="AT97" s="5">
        <f>IF(TABLE1[[#This Row],[Potential Price Before BE]]=FALSE,"FALSE",( TABLE1[[#This Row],[Potential Price Before BE]]-TABLE1[[#This Row],[Intended Entry]])/(TABLE1[[#This Row],[Intended Entry]]-TABLE1[[#This Row],[SL Price]]))</f>
        <v>0.73333333333333373</v>
      </c>
      <c r="AU97" s="5">
        <f>(IF(TABLE1[[#This Row],[Buy/Sell]]="BUY",(TABLE1[[#This Row],[Entry Price]]-TABLE1[[#This Row],[SL Price]])/(TABLE1[[#This Row],[Intended Entry]]-TABLE1[[#This Row],[SL Price]]),(TABLE1[[#This Row],[SL Price]]-TABLE1[[#This Row],[Entry Price]])/(TABLE1[[#This Row],[SL Price]]-TABLE1[[#This Row],[Intended Entry]])))-1</f>
        <v>0</v>
      </c>
      <c r="AV97" s="5">
        <f>-(IF(AND(TABLE1[[#This Row],[Buy/Sell]]="BUY",TABLE1[[#This Row],[TP Hit]]=TRUE),(TABLE1[[#This Row],[Exit Price]]-TABLE1[[#This Row],[TP Price]])/(TABLE1[[#This Row],[Entry Price]]-TABLE1[[#This Row],[SL Price]]),IF(AND(TABLE1[[#This Row],[Buy/Sell]]="BUY",TABLE1[[#This Row],[TP Hit]]=FALSE),(TABLE1[[#This Row],[Exit Price]]-TABLE1[[#This Row],[SL Price]])/(TABLE1[[#This Row],[Intended Entry]]-TABLE1[[#This Row],[SL Price]]),IF(AND(TABLE1[[#This Row],[Buy/Sell]]="SELL",TABLE1[[#This Row],[TP Hit]]=TRUE),(TABLE1[[#This Row],[Exit Price]]-TABLE1[[#This Row],[TP Price]])/(TABLE1[[#This Row],[Entry Price]]-TABLE1[[#This Row],[SL Price]]),IF(AND(TABLE1[[#This Row],[Buy/Sell]]="SELL",TABLE1[[#This Row],[TP Hit]]=FALSE),(TABLE1[[#This Row],[Exit Price]]-TABLE1[[#This Row],[SL Price]])/(TABLE1[[#This Row],[Entry Price]]-TABLE1[[#This Row],[SL Price]]),0)))))</f>
        <v>-0.16666666666666863</v>
      </c>
      <c r="AW97" s="21">
        <f>TABLE1[[#This Row],[Missed RRR on Entry]]+TABLE1[[#This Row],[Missed RRR on Exit]]</f>
        <v>-0.16666666666666863</v>
      </c>
      <c r="AX97" s="21">
        <f>ROUND((TABLE1[[#This Row],[Potential Price]]-TABLE1[[#This Row],[Entry Price]])/(TABLE1[[#This Row],[Intended Entry]]-TABLE1[[#This Row],[SL Price]]),4)</f>
        <v>0.73329999999999995</v>
      </c>
      <c r="AY97" s="21">
        <f>ROUND((TABLE1[[#This Row],[Potential Price]]-TABLE1[[#This Row],[Intended Entry]])/(TABLE1[[#This Row],[Intended Entry]]-TABLE1[[#This Row],[SL Price]]),4)</f>
        <v>0.73329999999999995</v>
      </c>
      <c r="AZ97" s="21">
        <f>TABLE1[[#This Row],[RRR Potential]]-TABLE1[[#This Row],[RRR Realized]]</f>
        <v>1.5666</v>
      </c>
      <c r="BA97" s="29">
        <f>ROUND((TABLE1[[#This Row],[Exit Price]]-TABLE1[[#This Row],[Entry Price]])/(TABLE1[[#This Row],[Intended Entry]]-TABLE1[[#This Row],[SL Price]]),4)</f>
        <v>-0.83330000000000004</v>
      </c>
      <c r="BB97" s="5">
        <f>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-0.83330000000000004</v>
      </c>
      <c r="BC97" s="5">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-0.83330000000000004</v>
      </c>
      <c r="BD97" s="32">
        <f>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-0.83330000000000004</v>
      </c>
      <c r="BE97" s="5">
        <f>IF(AND((TABLE1[[#This Row],[Back to BE]])=TRUE,(TABLE1[[#This Row],[Price Behaviour]])="Fast Reversal"), 0-(TABLE1[[#This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-0.83330000000000004</v>
      </c>
      <c r="BF97" s="5">
        <f>IF(AND((TABLE1[[#This Row],[Hard RRR Potential]])&gt;=1,(TABLE1[[#This Row],[Back to BE]])="True",(TABLE1[[#This Row],[Price Behaviour]])="Fast Reversal"), 1-(TABLE1[[#This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-0.83330000000000004</v>
      </c>
      <c r="BG97" s="5">
        <f>IF(AND((TABLE1[[#This Row],[Hard RRR Potential]])&gt;=1.5,(TABLE1[[#This Row],[Back to BE]])="True",(TABLE1[[#This Row],[Price Behaviour]])="Fast Reversal"), 1.5-(TABLE1[[#This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-0.83330000000000004</v>
      </c>
      <c r="BH97" s="5">
        <f>IF(AND((TABLE1[[#This Row],[Hard RRR Potential]])&gt;=2,(TABLE1[[#This Row],[Back to BE]])="True",(TABLE1[[#This Row],[Price Behaviour]])="Fast Reversal"), 2-(TABLE1[[#This Row],[Missed RRR on Entry]]),IF(TABLE1[[#This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-0.83330000000000004</v>
      </c>
      <c r="BI97"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-0.83330000000000004</v>
      </c>
      <c r="BJ97"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-0.83330000000000004</v>
      </c>
      <c r="BK97"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-0.83330000000000004</v>
      </c>
      <c r="BL97" s="5">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-0.83330000000000004</v>
      </c>
      <c r="BM97" s="5">
        <f>IF(AND((TABLE1[[#This Row],[Back to BE]])="True",(TABLE1[[#This Row],[Price Behaviour]])="Fast Reversal"), 0-(TABLE1[[#This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-0.83330000000000004</v>
      </c>
      <c r="BN97" s="5">
        <f>IF(AND((TABLE1[[#This Row],[Hard RRR Potential]])&gt;=1,(TABLE1[[#This Row],[Back to BE]])="True",(TABLE1[[#This Row],[Price Behaviour]])="Fast Reversal"), 1-(TABLE1[[#This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-0.83330000000000004</v>
      </c>
      <c r="BO97" s="5">
        <f>IF(AND((TABLE1[[#This Row],[Hard RRR Potential]])&gt;=1.5,(TABLE1[[#This Row],[Back to BE]])="True",(TABLE1[[#This Row],[Price Behaviour]])="Fast Reversal"), 1.5-(TABLE1[[#This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-0.83330000000000004</v>
      </c>
      <c r="BP97" s="24">
        <f>IF(AND((TABLE1[[#This Row],[Hard RRR Potential]])&gt;=2,(TABLE1[[#This Row],[Back to BE]])="True",(TABLE1[[#This Row],[Price Behaviour]])="Fast Reversal"), 2-(TABLE1[[#This Row],[Missed RRR on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-0.83330000000000004</v>
      </c>
      <c r="BQ97" s="77">
        <f>IF((TABLE1[[#This Row],[Pattern SL]])&lt;&gt;FALSE,((TABLE1[[#This Row],[Pattern SL]])-(TABLE1[[#This Row],[Entry Price]]))/((TABLE1[[#This Row],[Intended Entry]])-(TABLE1[[#This Row],[SL Price]])),IF(TABLE1[[#This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-0.83330000000000004</v>
      </c>
      <c r="BR97"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-0.83330000000000004</v>
      </c>
      <c r="BS97" s="24">
        <f>IF((TABLE1[[#This Row],[Pattern SL]])&lt;&gt;FALSE,((TABLE1[[#This Row],[Pattern SL]])-(TABLE1[[#This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-0.83330000000000004</v>
      </c>
      <c r="BT97" s="34">
        <f>IF((AND(TABLE1[[#This Row],[Volume Exit]]&lt;&gt;FALSE,TABLE1[[#This Row],[Volume Exit RRR Reach]]&lt;&gt;5,((TABLE1[[#This Row],[Volume Exit]])-(TABLE1[[#This Row],[Intended Entry]]))/((TABLE1[[#This Row],[Intended Entry]])-(TABLE1[[#This Row],[SL Price]]))&lt;5)),(TABLE1[[#This Row],[Volume Exit]]-TABLE1[[#This Row],[Entry Price]])/(TABLE1[[#This Row],[Intended Entry]]-TABLE1[[#This Row],[SL Price]]),IF(TABLE1[[#This Row],[Hard RRR Potential]]&gt;=5, 5-TABLE1[[#This Row],[Missed RRR]],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-0.83330000000000004</v>
      </c>
      <c r="BU97" s="24">
        <f>IF(AND(TABLE1[[#This Row],[Volume Exit]]&lt;&gt;FALSE,TABLE1[[#This Row],[Volume Exit RRR Reach]]&lt;&gt;5,((TABLE1[[#This Row],[Volume Exit]])-(TABLE1[[#This Row],[Intended Entry]]))/((TABLE1[[#This Row],[Intended Entry]])-(TABLE1[[#This Row],[SL Price]]))&lt;5,TABLE1[[#This Row],[Volume Exit BE]]=FALSE),(TABLE1[[#This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-0.83330000000000004</v>
      </c>
      <c r="BV97" s="24">
        <f>IF(AND(TABLE1[[#This Row],[Volume Exit]]&lt;&gt;FALSE,TABLE1[[#This Row],[Volume Exit RRR Reach]]&lt;&gt;5,((TABLE1[[#This Row],[Volume Exit]])-(TABLE1[[#This Row],[Intended Entry]]))/((TABLE1[[#This Row],[Intended Entry]])-(TABLE1[[#This Row],[SL Price]]))&lt;5,OR(TABLE1[[#This Row],[Volume Exit BE]]=FALSE,TABLE1[[#This Row],[Volume Exit BE]]&lt;1.5)),(TABLE1[[#This Row],[Volume Exit]]-TABLE1[[#This Row],[Entry Price]])/(TABLE1[[#This Row],[Intended Entry]]-TABLE1[[#This Row],[SL Price]]),IF(OR(AND(TABLE1[[#This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-0.83330000000000004</v>
      </c>
      <c r="BW97" s="34">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-0.83330000000000004</v>
      </c>
      <c r="BX97" s="34">
        <f>IF((AND(TABLE1[[#This Row],[Volume Exit]]&lt;&gt;FALSE,TABLE1[[#This Row],[Volume Exit BE]]=FALSE)),(TABLE1[[#This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 0-TABLE1[[#This Row],[Missed RRR on Entry]], IF(AND(TABLE1[[#This Row],[Hard RRR Potential]]&lt;4,TABLE1[[#This Row],[Hard RRR Potential]]&gt;1,TABLE1[[#This Row],[Hard RRR Before BE]]="FALSE"),TABLE1[[#This Row],[RRR Closing Price]], TABLE1[[#This Row],[RRR Realized]]))))</f>
        <v>-0.83330000000000004</v>
      </c>
      <c r="BY97" s="32">
        <f>IF((AND(TABLE1[[#This Row],[Volume Exit]]&lt;&gt;FALSE,OR(TABLE1[[#This Row],[Volume Exit BE]]=FALSE,TABLE1[[#This Row],[Volume Exit BE]]&lt;1.5))),(TABLE1[[#This Row],[Volume Exit]]-TABLE1[[#This Row],[Entry Price]])/(TABLE1[[#This Row],[Intended Entry]]-TABLE1[[#This Row],[SL Price]]), IF(AND(TABLE1[[#This Row],[Hard RRR Before BE]]="FALSE",TABLE1[[#This Row],[RRR Realized]]&gt;0),TABLE1[[#This Row],[RRR Realized]], IF(AND(TABLE1[[#This Row],[Hard RRR Before BE]]&lt;&gt;"FALSE",TABLE1[[#This Row],[Hard RRR Before BE]]&gt;1.5), 0-TABLE1[[#This Row],[Missed RRR on Entry]], IF(AND(TABLE1[[#This Row],[Hard RRR Potential]]&lt;4,TABLE1[[#This Row],[Hard RRR Potential]]&gt;1.5,TABLE1[[#This Row],[Hard RRR Before BE]]="FALSE"),TABLE1[[#This Row],[RRR Closing Price]], TABLE1[[#This Row],[RRR Realized]]))))</f>
        <v>-0.83330000000000004</v>
      </c>
      <c r="BZ97" s="24">
        <f>IF( TABLE1[[#This Row],[Wick Exit]]&lt;&gt; FALSE,TABLE1[[#This Row],[RRR Wick Exit]],IF(TABLE1[[#This Row],[Volume Exit]]&lt;&gt; FALSE,TABLE1[[#This Row],[RRR Volume Exit]],TABLE1[[#This Row],[RRR Realized]]))</f>
        <v>-0.83330000000000004</v>
      </c>
      <c r="CA97" s="24">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-0.83330000000000004</v>
      </c>
      <c r="CB97" s="34">
        <f>IF(TABLE1[[#This Row],[Wick Exit]]&lt;&gt;FALSE,IF(TABLE1[[#This Row],[Buy/Sell]]="BUY",(TABLE1[[#This Row],[Wick Exit]]-TABLE1[[#This Row],[Entry Price]])/(TABLE1[[#This Row],[Intended Entry]]-TABLE1[[#This Row],[SL Price]]),(TABLE1[[#This Row],[Wick Exit]]-TABLE1[[#This Row],[Lowest Price]])/(TABLE1[[#This Row],[SL Price]]-TABLE1[[#This Row],[Intended Entry]])), IF(TABLE1[[#This Row],[Hard RRR Potential]]&gt;=5, 5-TABLE1[[#This Row],[Missed RRR on Entry]], IF(AND( TABLE1[[#This Row],[Hard RRR Potential]]&lt;5, TABLE1[[#This Row],[RRR Realized]]&gt;0,TABLE1[[#This Row],[TP Hit]]=FALSE),TABLE1[[#This Row],[RRR Closing Price]], IF(AND(TABLE1[[#This Row],[TP Hit]]=TRUE,TABLE1[[#This Row],[Hard RRR Potential]]&gt;=3, (TABLE1[[#This Row],[Time]])&gt;0.22), TABLE1[[#This Row],[RRR Closing Price]],IF(TABLE1[[#This Row],[TP Hit]]=TRUE, -1- TABLE1[[#This Row],[Missed RRR on Entry]],TABLE1[[#This Row],[RRR Realized]])))))</f>
        <v>-0.83330000000000004</v>
      </c>
      <c r="CC97" s="24">
        <f>IF(TABLE1[[#This Row],[Wick Exit]]&lt;&gt;FALSE,IF(TABLE1[[#This Row],[Buy/Sell]]="BUY",(TABLE1[[#This Row],[Wick Exit]]-TABLE1[[#This Row],[Entry Price]])/(TABLE1[[#This Row],[Intended Entry]]-TABLE1[[#This Row],[SL Price]]),(TABLE1[[#This Row],[Wick Exit]]-TABLE1[[#This Row],[Lowest Price]])/(TABLE1[[#This Row],[SL Price]]-TABLE1[[#This Row],[Intended Entry]])),IF(OR(AND(TABLE1[[#This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 0-TABLE1[[#This Row],[Missed RRR on Entry]], IF(AND(TABLE1[[#This Row],[Hard RRR Potential]]&lt;5,TABLE1[[#This Row],[Hard RRR Potential]]&gt;1,TABLE1[[#This Row],[Hard RRR Before BE]]="FALSE"),TABLE1[[#This Row],[RRR Closing Price]], IF((TABLE1[[#This Row],[RRR Realized]]) &lt;0,TABLE1[[#This Row],[RRR Realized]],-1-(TABLE1[[#This Row],[Missed RRR on Entry]]) ))))))</f>
        <v>-0.83330000000000004</v>
      </c>
      <c r="CD97" s="24">
        <f>IF(TABLE1[[#This Row],[Wick Exit]]&lt;&gt;FALSE,IF(TABLE1[[#This Row],[Buy/Sell]]="BUY",(TABLE1[[#This Row],[Wick Exit]]-TABLE1[[#This Row],[Entry Price]])/(TABLE1[[#This Row],[Intended Entry]]-TABLE1[[#This Row],[SL Price]]),(TABLE1[[#This Row],[Wick Exit]]-TABLE1[[#This Row],[Lowest Price]])/(TABLE1[[#This Row],[SL Price]]-TABLE1[[#This Row],[Intended Entry]])), IF(OR(AND(TABLE1[[#This Row],[Hard RRR Potential]]&gt;=5,TABLE1[[#This Row],[Hard RRR Before BE]]&gt;=5),AND(TABLE1[[#This Row],[Hard RRR Before BE]]="FALSE",TABLE1[[#This Row],[Hard RRR Potential]]&gt;=5),AND(TABLE1[[#This Row],[Hard RRR Potential]]&gt;=5,TABLE1[[#This Row],[Hard RRR Before BE]]&lt;=1)), 5-TABLE1[[#This Row],[Missed RRR on Entry]], IF(AND(TABLE1[[#This Row],[Hard RRR Before BE]]="FALSE",TABLE1[[#This Row],[RRR Realized]]&gt;0),TABLE1[[#This Row],[RRR Realized]], IF(AND(TABLE1[[#This Row],[Hard RRR Before BE]]&lt;&gt;"FALSE",TABLE1[[#This Row],[Hard RRR Before BE]]&gt;1.5), 0-TABLE1[[#This Row],[Missed RRR on Entry]], IF(AND(TABLE1[[#This Row],[Hard RRR Potential]]&lt;5,TABLE1[[#This Row],[Hard RRR Potential]]&gt;1,TABLE1[[#This Row],[Hard RRR Before BE]]="FALSE"),TABLE1[[#This Row],[RRR Closing Price]],IF((TABLE1[[#This Row],[RRR Realized]]) &lt;0,TABLE1[[#This Row],[RRR Realized]],-1-(TABLE1[[#This Row],[Missed RRR on Entry]]) ))))))</f>
        <v>-0.83330000000000004</v>
      </c>
    </row>
  </sheetData>
  <dataConsolidate/>
  <dataValidations count="2">
    <dataValidation type="textLength" allowBlank="1" showInputMessage="1" showErrorMessage="1" sqref="A1:A1048576" xr:uid="{2842DA43-2E88-4ED2-BAC1-BDCF4999E216}">
      <formula1>2</formula1>
      <formula2>4</formula2>
    </dataValidation>
    <dataValidation type="time" allowBlank="1" showInputMessage="1" showErrorMessage="1" sqref="D1:E1048576" xr:uid="{98CE12DE-7510-467B-9549-9E137E6C9963}">
      <formula1>0.395138888888889</formula1>
      <formula2>0.667361111111111</formula2>
    </dataValidation>
  </dataValidations>
  <hyperlinks>
    <hyperlink ref="AK18" r:id="rId1" xr:uid="{B5C0ECD3-19CA-4D58-ADBC-232EB13F3D0F}"/>
    <hyperlink ref="AK20" r:id="rId2" xr:uid="{930AB527-5FF9-4443-9D28-4AC6128524DA}"/>
    <hyperlink ref="AK19" r:id="rId3" xr:uid="{E122B421-604F-4371-81DC-823CB6F3E70A}"/>
    <hyperlink ref="AK21" r:id="rId4" xr:uid="{F356DC29-3365-42E6-9A04-1D7729E07BB7}"/>
    <hyperlink ref="AK22" r:id="rId5" xr:uid="{BDF10CD6-AAD4-45F7-8642-FD6642DD587C}"/>
    <hyperlink ref="AK23" r:id="rId6" xr:uid="{74F336C3-EF87-40AC-B8A0-BFCD279B2AB6}"/>
    <hyperlink ref="AK24" r:id="rId7" xr:uid="{5DBE26B9-D054-4C44-850E-FBAB1B778462}"/>
    <hyperlink ref="AK25" r:id="rId8" xr:uid="{EE92CDA3-8927-4BB5-91FC-F4D16CEFBA3B}"/>
    <hyperlink ref="AK26" r:id="rId9" xr:uid="{C1F253F9-54C0-4D14-8035-1B1FA01AA9B2}"/>
    <hyperlink ref="AK29" r:id="rId10" xr:uid="{CBC4EFA8-6E2B-480C-B88D-16677873C9D7}"/>
    <hyperlink ref="AK27" r:id="rId11" xr:uid="{D7362E72-74BB-4CB1-873B-BC10020632E5}"/>
    <hyperlink ref="AK28" r:id="rId12" xr:uid="{76961266-0A4F-4DC2-84BD-9771269D39D7}"/>
    <hyperlink ref="AK30" r:id="rId13" xr:uid="{D94BC725-91B8-4FBB-9F91-DD0AE08C9221}"/>
    <hyperlink ref="AK31" r:id="rId14" xr:uid="{A7B3A859-50AB-4FD7-8E6B-E39DC496D0A8}"/>
    <hyperlink ref="AK32" r:id="rId15" xr:uid="{4CF688BC-D5E8-4706-99B3-67D9E9A2B60B}"/>
    <hyperlink ref="AK33" r:id="rId16" xr:uid="{928FAA06-C5AC-4FD2-8528-F76DBEE3124F}"/>
    <hyperlink ref="AK34" r:id="rId17" xr:uid="{8DFB497B-9E2A-40FA-AE5E-F4E399FF7EEF}"/>
    <hyperlink ref="AK35" r:id="rId18" xr:uid="{D2142906-F658-45C4-B399-1F9830D4BB3E}"/>
    <hyperlink ref="AK36" r:id="rId19" xr:uid="{AC611516-CF27-4F6B-AD55-531A32675076}"/>
    <hyperlink ref="AK37" r:id="rId20" xr:uid="{90F6E6CC-C69E-4BBC-A1CD-D1BED6C0580A}"/>
    <hyperlink ref="AK38" r:id="rId21" xr:uid="{60E15861-7A93-453D-A51A-D95146ED3944}"/>
    <hyperlink ref="AK39" r:id="rId22" xr:uid="{D4E81DD8-7A1E-4628-86CC-F159A7DC8FED}"/>
    <hyperlink ref="AK40" r:id="rId23" xr:uid="{C3EBED77-BFE5-434A-BB9E-FB9E9AC34B0F}"/>
    <hyperlink ref="AK41" r:id="rId24" xr:uid="{374DACAD-B2D9-450A-9525-6C5BEF5CCD53}"/>
    <hyperlink ref="AK42" r:id="rId25" xr:uid="{2894AA9D-127E-4F82-8942-0711FEC4F6E2}"/>
    <hyperlink ref="AK14" r:id="rId26" xr:uid="{DC8BFEEF-0218-49B1-B1E1-5389DC144E95}"/>
    <hyperlink ref="AK13" r:id="rId27" xr:uid="{495919FF-001C-4174-893A-60806B4B9AE9}"/>
    <hyperlink ref="AK12" r:id="rId28" xr:uid="{6E984EE8-09CE-48A1-BC9B-B6A78C104D69}"/>
    <hyperlink ref="AK10" r:id="rId29" xr:uid="{964790FB-5CCC-46D0-B17C-A8B7037303A6}"/>
    <hyperlink ref="AK9" r:id="rId30" xr:uid="{3CD08523-DE90-4199-8615-BFCC9D12AD4E}"/>
    <hyperlink ref="AK8" r:id="rId31" xr:uid="{259FFEC1-2D22-4E91-A166-2CEE8E518BD2}"/>
    <hyperlink ref="AK7" r:id="rId32" xr:uid="{395DB645-0207-4364-B41C-89CA70124B49}"/>
    <hyperlink ref="AK6" r:id="rId33" xr:uid="{A4D67B8C-D7F4-4699-A8C2-1750FFE51835}"/>
    <hyperlink ref="AK5" r:id="rId34" xr:uid="{3D9A0873-22DC-415E-9462-8F946D33FC47}"/>
    <hyperlink ref="AK4" r:id="rId35" xr:uid="{CD1BCD54-1EA7-48C8-8196-7C7C855AB437}"/>
    <hyperlink ref="AK2" r:id="rId36" xr:uid="{630B5662-DB88-42F2-A525-5DEF51012EB9}"/>
    <hyperlink ref="AK3" r:id="rId37" xr:uid="{2578414D-D4A5-4BFD-99EA-9C8B77058AC9}"/>
    <hyperlink ref="AK16" r:id="rId38" xr:uid="{1B29F1E8-3C9B-45D5-B576-75913B8FC6E6}"/>
    <hyperlink ref="AK44" r:id="rId39" xr:uid="{23F3D6A6-AFC8-4348-B0AC-D583A21A90D0}"/>
    <hyperlink ref="AK45" r:id="rId40" xr:uid="{9B6D6A8A-3237-41BE-8A38-CF934DB29186}"/>
    <hyperlink ref="AK46" r:id="rId41" xr:uid="{8426F593-26EB-453E-8478-2CB521B514A3}"/>
    <hyperlink ref="AK47" r:id="rId42" xr:uid="{E1C688EB-AE8B-4B51-9DA4-5584EDAB8632}"/>
    <hyperlink ref="AK48" r:id="rId43" xr:uid="{63A74107-201B-435B-AF85-C2A4A13F6314}"/>
    <hyperlink ref="AK49" r:id="rId44" xr:uid="{D370707E-FCF1-4548-BECB-060083D220EC}"/>
    <hyperlink ref="AK50" r:id="rId45" xr:uid="{208C02EF-98D6-46A8-A490-51DF2F3F832A}"/>
    <hyperlink ref="AK51" r:id="rId46" xr:uid="{125F17C5-E762-451E-8989-85EF837B77E8}"/>
    <hyperlink ref="AK15" r:id="rId47" xr:uid="{6DEA5721-1EAC-473F-BA0C-3C3ED5AAD8F1}"/>
    <hyperlink ref="AK11" r:id="rId48" xr:uid="{06E7DF10-0C07-4587-B545-B6394F811F69}"/>
    <hyperlink ref="AK17" r:id="rId49" xr:uid="{951F55F1-207C-440F-8BD2-0B97687EF8B3}"/>
    <hyperlink ref="AK54" r:id="rId50" xr:uid="{2EEE152F-6FEA-4E2B-82C0-102DC0B9040B}"/>
    <hyperlink ref="AK53" r:id="rId51" xr:uid="{6AF8FA65-89B6-4409-BA09-E2F1B1142B11}"/>
    <hyperlink ref="AK52" r:id="rId52" xr:uid="{CE933D89-638A-4A8C-8EED-B0B974863C34}"/>
    <hyperlink ref="AK55" r:id="rId53" xr:uid="{035DECCF-C0FE-43AD-B93D-9F677A3BF0F8}"/>
    <hyperlink ref="AK56" r:id="rId54" xr:uid="{8F8C0AEC-3D9F-4DC4-9CBD-AE614C2A62AF}"/>
    <hyperlink ref="AK57" r:id="rId55" xr:uid="{16500461-F636-4789-8B09-C8DD1A51B18D}"/>
    <hyperlink ref="AK58" r:id="rId56" xr:uid="{A95217F9-6A22-48DB-A890-F7F63B4178B6}"/>
    <hyperlink ref="AK59" r:id="rId57" xr:uid="{8BB9D591-81D2-4672-887E-ABEFB27BC652}"/>
    <hyperlink ref="AK60" r:id="rId58" xr:uid="{8A77413E-8DB8-4621-8DBA-2160446BDD6D}"/>
    <hyperlink ref="AK61" r:id="rId59" xr:uid="{B1C22A87-4464-4135-92A1-B7985CB186E5}"/>
    <hyperlink ref="AK62" r:id="rId60" xr:uid="{BCF10076-F2C6-4CD5-B515-70E83D75591E}"/>
    <hyperlink ref="AK63" r:id="rId61" xr:uid="{C50948F6-0954-4514-920A-C721000F75BD}"/>
    <hyperlink ref="AK64" r:id="rId62" xr:uid="{E4D6C2D6-43D4-4392-8E80-70E9E3418C03}"/>
    <hyperlink ref="AK65" r:id="rId63" xr:uid="{5532335D-1932-449C-91D5-D0921DA8EFCA}"/>
    <hyperlink ref="AK66" r:id="rId64" xr:uid="{89152242-E98A-48BF-ADA1-96477BBEFFBB}"/>
    <hyperlink ref="AK67" r:id="rId65" xr:uid="{10FA7632-FC3D-4103-8A50-864BE3E353F8}"/>
    <hyperlink ref="AK68" r:id="rId66" xr:uid="{1CAF35E8-F4F8-4C0D-A9E2-E127771C7459}"/>
    <hyperlink ref="AK69" r:id="rId67" xr:uid="{5BC4DAC5-5544-4597-8C39-410D90DB6A4F}"/>
    <hyperlink ref="AK70" r:id="rId68" xr:uid="{F8AF0FAF-5D8C-416D-8661-838A3555C8FA}"/>
    <hyperlink ref="AK71" r:id="rId69" xr:uid="{C87E5802-C78C-4A8B-BD1C-9F19D7C3EB20}"/>
    <hyperlink ref="AK72" r:id="rId70" xr:uid="{5636F83A-D97F-4D20-9CB9-074E264E8D0F}"/>
    <hyperlink ref="AK73" r:id="rId71" xr:uid="{F24295D5-5469-4403-85D6-1B33FB31380F}"/>
    <hyperlink ref="AK74" r:id="rId72" xr:uid="{FB30F494-4875-4ED9-9057-F647DE22CB0C}"/>
    <hyperlink ref="AK75" r:id="rId73" xr:uid="{4803FC4C-BED1-40A5-AE3F-F9E6BEA5760B}"/>
    <hyperlink ref="AK76" r:id="rId74" xr:uid="{8C818474-68A7-4896-8B06-1E6277F9C9E1}"/>
    <hyperlink ref="AK77" r:id="rId75" xr:uid="{0A5BA753-0B0A-4DA4-A831-DA8FDBD3C40C}"/>
    <hyperlink ref="AK78" r:id="rId76" xr:uid="{889A6635-97D0-4A3E-B4C0-1E92D7B9FAA5}"/>
    <hyperlink ref="AK79" r:id="rId77" xr:uid="{E9C16F2E-A205-4212-A2E4-78197632F8E9}"/>
    <hyperlink ref="AK80" r:id="rId78" xr:uid="{68689CE1-297A-4744-A714-08E7A54835E5}"/>
    <hyperlink ref="AK81" r:id="rId79" xr:uid="{333E5EB5-6500-4938-8703-E8F777A4CC1A}"/>
    <hyperlink ref="AK82" r:id="rId80" xr:uid="{76213EAD-143D-4561-879B-3F50FCA43E8A}"/>
    <hyperlink ref="AK84" r:id="rId81" xr:uid="{D39B0ACB-D4E1-4CE2-AC82-48172BD528BE}"/>
    <hyperlink ref="AK85" r:id="rId82" xr:uid="{A0779BAC-8895-474F-B9B6-F89C44D84F51}"/>
    <hyperlink ref="AK83" r:id="rId83" xr:uid="{7AF0F3F3-B28D-4FC9-9AE7-D05E3F039998}"/>
    <hyperlink ref="AK86" r:id="rId84" xr:uid="{F3617C9D-4A81-4F9D-9F14-AF1F5AB78283}"/>
    <hyperlink ref="AK87" r:id="rId85" xr:uid="{CF9C9ED3-79DD-48D2-831B-D1195130CC5A}"/>
    <hyperlink ref="AK88" r:id="rId86" xr:uid="{BAC57C6F-D051-4BCB-AE2F-6F5EFF38B127}"/>
    <hyperlink ref="AK89" r:id="rId87" xr:uid="{F2D8D189-AB99-480B-BBE2-FADC03A0CEB0}"/>
    <hyperlink ref="AK90" r:id="rId88" xr:uid="{2E159A91-D80D-4099-8231-4BBA8938BDBD}"/>
    <hyperlink ref="AK91" r:id="rId89" xr:uid="{A2A9C9B4-7FF3-40EA-96F8-8AE0398FD0FB}"/>
    <hyperlink ref="AK92" r:id="rId90" xr:uid="{AB3CC502-12BC-46E7-9F55-223D5280A59E}"/>
    <hyperlink ref="AK93" r:id="rId91" xr:uid="{AB5E704D-E7FD-4378-BB82-F5DA1EBC845B}"/>
    <hyperlink ref="AK94" r:id="rId92" xr:uid="{F5157459-E7D1-417C-A0A6-79385BB93EA8}"/>
    <hyperlink ref="AK95" r:id="rId93" xr:uid="{B63A4C4B-657C-4292-AE94-94D5F9AC03FE}"/>
    <hyperlink ref="AK96" r:id="rId94" xr:uid="{74B76EF2-09D9-4AC8-B069-A15F88E0DD62}"/>
    <hyperlink ref="AK97" r:id="rId95" xr:uid="{7499B6A0-1055-444D-980D-C91E01A57591}"/>
  </hyperlinks>
  <pageMargins left="0.7" right="0.7" top="0.75" bottom="0.75" header="0.3" footer="0.3"/>
  <pageSetup paperSize="9" orientation="portrait" r:id="rId96"/>
  <ignoredErrors>
    <ignoredError sqref="D1:E1 V1 A1 A98:A1048576 J1 D98:E1048576 AE98:AE1048576" listDataValidation="1"/>
  </ignoredErrors>
  <tableParts count="1">
    <tablePart r:id="rId97"/>
  </tableParts>
  <extLst>
    <ext xmlns:x14="http://schemas.microsoft.com/office/spreadsheetml/2009/9/main" uri="{CCE6A557-97BC-4b89-ADB6-D9C93CAAB3DF}">
      <x14:dataValidations xmlns:xm="http://schemas.microsoft.com/office/excel/2006/main" count="7">
        <x14:dataValidation type="list" allowBlank="1" showInputMessage="1" showErrorMessage="1" xr:uid="{5F317588-8A70-454A-8680-CC008BD7709D}">
          <x14:formula1>
            <xm:f>Notes!$I$3:$I$18</xm:f>
          </x14:formula1>
          <xm:sqref>AK48:AK1048576</xm:sqref>
        </x14:dataValidation>
        <x14:dataValidation type="list" allowBlank="1" showInputMessage="1" showErrorMessage="1" xr:uid="{1A7720C8-957E-4CBC-AE69-D9BAAC062080}">
          <x14:formula1>
            <xm:f>Notes!$G$2:$G$5</xm:f>
          </x14:formula1>
          <xm:sqref>AF1:AF97</xm:sqref>
        </x14:dataValidation>
        <x14:dataValidation type="list" allowBlank="1" showInputMessage="1" showErrorMessage="1" xr:uid="{04CE1B8D-2D33-415B-80E4-6AAAED22D48C}">
          <x14:formula1>
            <xm:f>Notes!$E$2:$E$3</xm:f>
          </x14:formula1>
          <xm:sqref>V1:V97</xm:sqref>
        </x14:dataValidation>
        <x14:dataValidation type="list" allowBlank="1" showInputMessage="1" showErrorMessage="1" xr:uid="{5E1A025E-5621-435E-B979-28A23A27E6B8}">
          <x14:formula1>
            <xm:f>Notes!$F$2:$F$6</xm:f>
          </x14:formula1>
          <xm:sqref>AE1:AE97</xm:sqref>
        </x14:dataValidation>
        <x14:dataValidation type="list" allowBlank="1" showInputMessage="1" showErrorMessage="1" xr:uid="{25E7D479-F421-42BD-8EF0-B522FDBBEC04}">
          <x14:formula1>
            <xm:f>Notes!$D$2:$D$3</xm:f>
          </x14:formula1>
          <xm:sqref>J1:J97</xm:sqref>
        </x14:dataValidation>
        <x14:dataValidation type="list" allowBlank="1" showInputMessage="1" showErrorMessage="1" xr:uid="{4E71CD1D-B99B-4295-B35D-53F4197F3B8F}">
          <x14:formula1>
            <xm:f>Notes!$M$2:$M$3</xm:f>
          </x14:formula1>
          <xm:sqref>AE98:AE1048576</xm:sqref>
        </x14:dataValidation>
        <x14:dataValidation type="list" allowBlank="1" showInputMessage="1" showErrorMessage="1" xr:uid="{24B9D03D-B383-420E-9EDE-3DDB29D5D92F}">
          <x14:formula1>
            <xm:f>Notes!$K$2:$K$10</xm:f>
          </x14:formula1>
          <xm:sqref>AM29:AN1048576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76984-D49C-4BB4-8C78-C6619234E1A7}">
  <dimension ref="A1:BX7"/>
  <sheetViews>
    <sheetView workbookViewId="0">
      <selection activeCell="D28" sqref="D28"/>
    </sheetView>
  </sheetViews>
  <sheetFormatPr defaultRowHeight="15" x14ac:dyDescent="0.25"/>
  <cols>
    <col min="1" max="1" width="12.28515625" customWidth="1"/>
    <col min="3" max="3" width="11.7109375" customWidth="1"/>
    <col min="4" max="4" width="11.85546875" customWidth="1"/>
    <col min="5" max="5" width="10.42578125" customWidth="1"/>
    <col min="7" max="7" width="9.85546875" customWidth="1"/>
    <col min="8" max="8" width="10.28515625" customWidth="1"/>
    <col min="9" max="9" width="15.42578125" customWidth="1"/>
    <col min="10" max="10" width="9.28515625" customWidth="1"/>
    <col min="11" max="11" width="9.5703125" customWidth="1"/>
    <col min="12" max="12" width="11.85546875" customWidth="1"/>
    <col min="13" max="13" width="10.42578125" customWidth="1"/>
    <col min="14" max="14" width="13.7109375" customWidth="1"/>
    <col min="15" max="15" width="13.28515625" customWidth="1"/>
    <col min="16" max="16" width="15.5703125" customWidth="1"/>
    <col min="17" max="17" width="15" customWidth="1"/>
    <col min="18" max="18" width="11.42578125" customWidth="1"/>
    <col min="19" max="19" width="12.7109375" customWidth="1"/>
    <col min="20" max="20" width="12.28515625" customWidth="1"/>
    <col min="22" max="22" width="11.7109375" customWidth="1"/>
    <col min="23" max="23" width="10.42578125" customWidth="1"/>
    <col min="24" max="24" width="11.140625" customWidth="1"/>
    <col min="25" max="25" width="16" customWidth="1"/>
    <col min="27" max="27" width="9.28515625" customWidth="1"/>
    <col min="29" max="29" width="9.5703125" customWidth="1"/>
    <col min="30" max="30" width="22.5703125" customWidth="1"/>
    <col min="32" max="32" width="13.5703125" customWidth="1"/>
    <col min="33" max="33" width="13.28515625" customWidth="1"/>
    <col min="34" max="34" width="21.28515625" customWidth="1"/>
    <col min="35" max="35" width="10.7109375" customWidth="1"/>
    <col min="36" max="36" width="14.5703125" customWidth="1"/>
    <col min="38" max="38" width="14.7109375" customWidth="1"/>
    <col min="39" max="39" width="17.28515625" customWidth="1"/>
    <col min="40" max="40" width="10.85546875" customWidth="1"/>
    <col min="41" max="41" width="20.140625" customWidth="1"/>
    <col min="42" max="42" width="18.7109375" customWidth="1"/>
    <col min="43" max="43" width="12.5703125" customWidth="1"/>
    <col min="44" max="44" width="14.28515625" customWidth="1"/>
    <col min="45" max="45" width="18.7109375" customWidth="1"/>
    <col min="46" max="46" width="13.5703125" customWidth="1"/>
    <col min="47" max="47" width="17.5703125" customWidth="1"/>
    <col min="48" max="48" width="19.140625" customWidth="1"/>
    <col min="50" max="50" width="19" customWidth="1"/>
    <col min="51" max="51" width="20.5703125" customWidth="1"/>
    <col min="52" max="52" width="19" customWidth="1"/>
    <col min="54" max="54" width="19" customWidth="1"/>
    <col min="55" max="55" width="20.5703125" customWidth="1"/>
    <col min="56" max="57" width="25" customWidth="1"/>
    <col min="58" max="58" width="26.5703125" customWidth="1"/>
    <col min="59" max="59" width="25" customWidth="1"/>
    <col min="60" max="61" width="26.5703125" customWidth="1"/>
    <col min="62" max="62" width="28.140625" customWidth="1"/>
    <col min="63" max="63" width="26.5703125" customWidth="1"/>
    <col min="64" max="64" width="30.7109375" customWidth="1"/>
    <col min="65" max="65" width="32.28515625" customWidth="1"/>
    <col min="67" max="68" width="26" customWidth="1"/>
    <col min="69" max="69" width="27.5703125" customWidth="1"/>
    <col min="70" max="70" width="26" customWidth="1"/>
    <col min="71" max="72" width="27.5703125" customWidth="1"/>
    <col min="73" max="73" width="29.140625" customWidth="1"/>
    <col min="74" max="74" width="27.5703125" customWidth="1"/>
    <col min="75" max="75" width="31.7109375" customWidth="1"/>
    <col min="76" max="76" width="33.28515625" customWidth="1"/>
  </cols>
  <sheetData>
    <row r="1" spans="1:76" x14ac:dyDescent="0.25">
      <c r="A1" s="37" t="s">
        <v>0</v>
      </c>
      <c r="B1" s="37" t="s">
        <v>1</v>
      </c>
      <c r="C1" s="66" t="s">
        <v>2</v>
      </c>
      <c r="D1" s="63" t="s">
        <v>57</v>
      </c>
      <c r="E1" s="63" t="s">
        <v>58</v>
      </c>
      <c r="F1" s="37" t="s">
        <v>3</v>
      </c>
      <c r="G1" s="37" t="s">
        <v>4</v>
      </c>
      <c r="H1" s="37" t="s">
        <v>5</v>
      </c>
      <c r="I1" s="37" t="s">
        <v>114</v>
      </c>
      <c r="J1" s="37" t="s">
        <v>12</v>
      </c>
      <c r="K1" s="37" t="s">
        <v>11</v>
      </c>
      <c r="L1" s="37" t="s">
        <v>6</v>
      </c>
      <c r="M1" s="37" t="s">
        <v>7</v>
      </c>
      <c r="N1" s="37" t="s">
        <v>8</v>
      </c>
      <c r="O1" s="37" t="s">
        <v>9</v>
      </c>
      <c r="P1" s="37" t="s">
        <v>62</v>
      </c>
      <c r="Q1" s="37" t="s">
        <v>10</v>
      </c>
      <c r="R1" s="37" t="s">
        <v>130</v>
      </c>
      <c r="S1" s="37" t="s">
        <v>219</v>
      </c>
      <c r="T1" s="37" t="s">
        <v>75</v>
      </c>
      <c r="U1" s="37" t="s">
        <v>13</v>
      </c>
      <c r="V1" s="37" t="s">
        <v>235</v>
      </c>
      <c r="W1" s="37" t="s">
        <v>131</v>
      </c>
      <c r="X1" s="37" t="s">
        <v>132</v>
      </c>
      <c r="Y1" s="37" t="s">
        <v>67</v>
      </c>
      <c r="Z1" s="37" t="s">
        <v>17</v>
      </c>
      <c r="AA1" s="37" t="s">
        <v>16</v>
      </c>
      <c r="AB1" s="37" t="s">
        <v>14</v>
      </c>
      <c r="AC1" s="37" t="s">
        <v>15</v>
      </c>
      <c r="AD1" s="37" t="s">
        <v>167</v>
      </c>
      <c r="AE1" s="38" t="s">
        <v>72</v>
      </c>
      <c r="AF1" s="39" t="s">
        <v>65</v>
      </c>
      <c r="AG1" s="37" t="s">
        <v>76</v>
      </c>
      <c r="AH1" s="37" t="s">
        <v>148</v>
      </c>
      <c r="AI1" s="37" t="s">
        <v>64</v>
      </c>
      <c r="AJ1" s="37" t="s">
        <v>68</v>
      </c>
      <c r="AK1" s="58" t="s">
        <v>69</v>
      </c>
      <c r="AL1" s="37" t="s">
        <v>70</v>
      </c>
      <c r="AM1" s="37" t="s">
        <v>115</v>
      </c>
      <c r="AN1" s="37" t="s">
        <v>96</v>
      </c>
      <c r="AO1" s="37" t="s">
        <v>152</v>
      </c>
      <c r="AP1" s="37" t="s">
        <v>151</v>
      </c>
      <c r="AQ1" s="37" t="s">
        <v>118</v>
      </c>
      <c r="AR1" s="37" t="s">
        <v>71</v>
      </c>
      <c r="AS1" s="37" t="s">
        <v>117</v>
      </c>
      <c r="AT1" s="51" t="s">
        <v>66</v>
      </c>
      <c r="AU1" s="37" t="s">
        <v>109</v>
      </c>
      <c r="AV1" s="37" t="s">
        <v>110</v>
      </c>
      <c r="AW1" s="37" t="s">
        <v>108</v>
      </c>
      <c r="AX1" s="37" t="s">
        <v>111</v>
      </c>
      <c r="AY1" s="37" t="s">
        <v>112</v>
      </c>
      <c r="AZ1" s="37" t="s">
        <v>116</v>
      </c>
      <c r="BA1" s="37" t="s">
        <v>123</v>
      </c>
      <c r="BB1" s="37" t="s">
        <v>124</v>
      </c>
      <c r="BC1" s="38" t="s">
        <v>125</v>
      </c>
      <c r="BD1" s="37" t="s">
        <v>136</v>
      </c>
      <c r="BE1" s="37" t="s">
        <v>137</v>
      </c>
      <c r="BF1" s="37" t="s">
        <v>138</v>
      </c>
      <c r="BG1" s="37" t="s">
        <v>139</v>
      </c>
      <c r="BH1" s="37" t="s">
        <v>140</v>
      </c>
      <c r="BI1" s="37" t="s">
        <v>141</v>
      </c>
      <c r="BJ1" s="37" t="s">
        <v>144</v>
      </c>
      <c r="BK1" s="39" t="s">
        <v>143</v>
      </c>
      <c r="BL1" s="40" t="s">
        <v>145</v>
      </c>
      <c r="BM1" s="38" t="s">
        <v>146</v>
      </c>
      <c r="BN1" s="37" t="s">
        <v>142</v>
      </c>
      <c r="BO1" s="37" t="s">
        <v>195</v>
      </c>
      <c r="BP1" s="37" t="s">
        <v>196</v>
      </c>
      <c r="BQ1" s="37" t="s">
        <v>197</v>
      </c>
      <c r="BR1" s="37" t="s">
        <v>198</v>
      </c>
      <c r="BS1" s="37" t="s">
        <v>199</v>
      </c>
      <c r="BT1" s="37" t="s">
        <v>200</v>
      </c>
      <c r="BU1" s="37" t="s">
        <v>201</v>
      </c>
      <c r="BV1" s="39" t="s">
        <v>202</v>
      </c>
      <c r="BW1" s="40" t="s">
        <v>203</v>
      </c>
      <c r="BX1" s="39" t="s">
        <v>204</v>
      </c>
    </row>
    <row r="2" spans="1:76" x14ac:dyDescent="0.25">
      <c r="A2" s="56" t="s">
        <v>232</v>
      </c>
      <c r="B2" s="56">
        <v>1</v>
      </c>
      <c r="C2" s="36">
        <v>43482</v>
      </c>
      <c r="D2" s="64">
        <v>0.47847222222222219</v>
      </c>
      <c r="E2" s="64">
        <v>0.65833333333333333</v>
      </c>
      <c r="F2" s="56" t="s">
        <v>234</v>
      </c>
      <c r="G2" s="56" t="s">
        <v>23</v>
      </c>
      <c r="H2" s="56">
        <v>100</v>
      </c>
      <c r="I2" s="56">
        <v>3.03</v>
      </c>
      <c r="J2" s="56">
        <f>3.03+0.086</f>
        <v>3.1159999999999997</v>
      </c>
      <c r="K2" s="56">
        <v>2.77</v>
      </c>
      <c r="L2" s="56">
        <v>3.0550000000000002</v>
      </c>
      <c r="M2" s="56">
        <v>2.895</v>
      </c>
      <c r="N2" s="56">
        <v>3.08</v>
      </c>
      <c r="O2" s="56">
        <v>2.81</v>
      </c>
      <c r="P2" s="56">
        <v>2.82</v>
      </c>
      <c r="Q2" s="56">
        <v>2.81</v>
      </c>
      <c r="R2" s="56">
        <v>2.92</v>
      </c>
      <c r="S2" s="56">
        <v>43</v>
      </c>
      <c r="T2" s="56">
        <v>2.02</v>
      </c>
      <c r="U2" s="56" t="b">
        <v>0</v>
      </c>
      <c r="V2" s="56" t="s">
        <v>30</v>
      </c>
      <c r="W2" s="56" t="b">
        <v>0</v>
      </c>
      <c r="X2" s="56"/>
      <c r="Y2" s="56">
        <v>14.94</v>
      </c>
      <c r="Z2" s="56" t="s">
        <v>28</v>
      </c>
      <c r="AA2" s="56" t="s">
        <v>31</v>
      </c>
      <c r="AB2" s="56" t="s">
        <v>34</v>
      </c>
      <c r="AC2" s="56" t="s">
        <v>44</v>
      </c>
      <c r="AD2" s="56" t="s">
        <v>163</v>
      </c>
      <c r="AE2" s="67" t="s">
        <v>236</v>
      </c>
      <c r="AF2" s="61">
        <f>(table2[[#This Row],[TP Price]]-table2[[#This Row],[Intended Entry]])/(table2[[#This Row],[Intended Entry]]-table2[[#This Row],[SL Price]])</f>
        <v>3.0232558139534911</v>
      </c>
      <c r="AG2" s="54">
        <f>IF(table2[[#This Row],[Buy/Sell]]="BUY",(table2[[#This Row],[Highest Price]]-table2[[#This Row],[Entry Price]])/(table2[[#This Row],[Intended Entry]]-table2[[#This Row],[SL Price]]),(table2[[#This Row],[Entry Price]]-table2[[#This Row],[Lowest Price]])/(table2[[#This Row],[SL Price]]-table2[[#This Row],[Intended Entry]]))</f>
        <v>2.8488372093023315</v>
      </c>
      <c r="AH2" s="54">
        <f>IF(table2[[#This Row],[Buy/Sell]]="BUY",(table2[[#This Row],[Entry Price]]-table2[[#This Row],[Lowest Price]])/(table2[[#This Row],[SL Price]]-table2[[#This Row],[Intended Entry]]),(table2[[#This Row],[Entry Price]]-table2[[#This Row],[Highest Price]])/(table2[[#This Row],[SL Price]]-table2[[#This Row],[Intended Entry]]))</f>
        <v>-0.29069767441860411</v>
      </c>
      <c r="AI2" s="56" t="str">
        <f>IF(table2[[#This Row],[Gain/Loss]]&lt;0, "LOSER", "WINNER")</f>
        <v>WINNER</v>
      </c>
      <c r="AJ2" s="56">
        <f>table2[[#This Row],[Gain/Loss]]-table2[[#This Row],[Comissions]]</f>
        <v>12.92</v>
      </c>
      <c r="AK2" s="59">
        <f>table2[[#This Row],[Exit Time]]-table2[[#This Row],[Entry Time]]</f>
        <v>0.17986111111111114</v>
      </c>
      <c r="AL2" s="56">
        <f>IF(table2[[#This Row],[Price Before BE]]=FALSE,"FALSE",( table2[[#This Row],[Price Before BE]]-table2[[#This Row],[Entry Price]])/(table2[[#This Row],[Intended Entry]]-table2[[#This Row],[SL Price]]))</f>
        <v>2.7325581395348921</v>
      </c>
      <c r="AM2" s="54">
        <f>IF(table2[[#This Row],[Percent Gain]]&lt;&gt;FALSE,ROUND((table2[[#This Row],[Percent Gain]]-table2[[#This Row],[Entry Price]])/(table2[[#This Row],[Intended Entry]]-table2[[#This Row],[SL Price]]),4), "FALSE")</f>
        <v>-464.47669999999999</v>
      </c>
      <c r="AN2" s="41">
        <v>51.96</v>
      </c>
      <c r="AO2" s="41">
        <f>(IF(table2[[#This Row],[Buy/Sell]]="BUY",(table2[[#This Row],[Entry Price]]-table2[[#This Row],[SL Price]])/(table2[[#This Row],[Intended Entry]]-table2[[#This Row],[SL Price]]),(table2[[#This Row],[SL Price]]-table2[[#This Row],[Entry Price]])/(table2[[#This Row],[SL Price]]-table2[[#This Row],[Intended Entry]])))-1</f>
        <v>-0.29069767441860928</v>
      </c>
      <c r="AP2" s="41">
        <f>-(IF(AND(table2[[#This Row],[Buy/Sell]]="BUY",table2[[#This Row],[TP Hit]]=TRUE),(table2[[#This Row],[Exit Price]]-table2[[#This Row],[TP Price]])/(table2[[#This Row],[Entry Price]]-table2[[#This Row],[SL Price]]),IF(AND(table2[[#This Row],[Buy/Sell]]="BUY",table2[[#This Row],[TP Hit]]=FALSE),(table2[[#This Row],[Exit Price]]-table2[[#This Row],[SL Price]])/(table2[[#This Row],[Intended Entry]]-table2[[#This Row],[SL Price]]),IF(AND(table2[[#This Row],[Buy/Sell]]="SELL",table2[[#This Row],[TP Hit]]=TRUE),(table2[[#This Row],[Exit Price]]-table2[[#This Row],[TP Price]])/(table2[[#This Row],[Entry Price]]-table2[[#This Row],[SL Price]]),IF(AND(table2[[#This Row],[Buy/Sell]]="SELL",table2[[#This Row],[TP Hit]]=FALSE),(table2[[#This Row],[Exit Price]]-table2[[#This Row],[SL Price]])/(table2[[#This Row],[Entry Price]]-table2[[#This Row],[SL Price]]),0)))))</f>
        <v>-3.6229508196721549</v>
      </c>
      <c r="AQ2" s="54">
        <f>table2[[#This Row],[Missed RRR on Entry]]+table2[[#This Row],[Missed RRR on Exit]]</f>
        <v>-3.9136484940907641</v>
      </c>
      <c r="AR2" s="54">
        <f>ROUND((table2[[#This Row],[Potential Price]]-table2[[#This Row],[Entry Price]])/(table2[[#This Row],[Intended Entry]]-table2[[#This Row],[SL Price]]),4)</f>
        <v>2.8488000000000002</v>
      </c>
      <c r="AS2" s="54">
        <f>ROUND((table2[[#This Row],[Potential Price]]-table2[[#This Row],[Intended Entry]])/(table2[[#This Row],[Intended Entry]]-table2[[#This Row],[SL Price]]),4)</f>
        <v>2.5581</v>
      </c>
      <c r="AT2" s="52">
        <f>ROUND((table2[[#This Row],[Exit Price]]-table2[[#This Row],[Entry Price]])/(table2[[#This Row],[Intended Entry]]-table2[[#This Row],[SL Price]]),4)</f>
        <v>1.8605</v>
      </c>
      <c r="AU2" s="49">
        <f>IF(OR(AND(table2[[#This Row],[RRR Before BE]]&gt;1,table2[[#This Row],[RRR Before BE]]&lt;&gt;"FALSE",table2[[#This Row],[RRR Before BE]]&lt;3)),0-table2[[#This Row],[Missed RRR]],IF(OR(AND((table2[[#This Row],[TP Hit]])=TRUE,(table2[[#This Row],[RRR Before BE]])="FALSE"),AND((table2[[#This Row],[TP Hit]])=TRUE,(table2[[#This Row],[RRR Before BE]])&lt;table2[[#This Row],[RRR Realized]])),table2[[#This Row],[RRR Realized]], table2[[#This Row],[RRR Realized]]))</f>
        <v>3.9136484940907641</v>
      </c>
      <c r="AV2" s="41">
        <f>IF(OR(AND(table2[[#This Row],[RRR Before BE]]&gt;1.5,table2[[#This Row],[RRR Before BE]]&lt;&gt;"FALSE",table2[[#This Row],[RRR Before BE]]&lt;3)),0-table2[[#This Row],[Missed RRR]],IF(OR(AND((table2[[#This Row],[TP Hit]])=TRUE,(table2[[#This Row],[RRR Before BE]])="FALSE"),AND((table2[[#This Row],[TP Hit]])=TRUE,(table2[[#This Row],[RRR Before BE]])&lt;table2[[#This Row],[RRR Realized]])),table2[[#This Row],[RRR Realized]], table2[[#This Row],[RRR Realized]]))</f>
        <v>3.9136484940907641</v>
      </c>
      <c r="AW2" s="41">
        <f>IF(table2[[#This Row],[Hard RRR Potential]]&gt;=4, 4-table2[[#This Row],[Missed RRR]], IF(AND( table2[[#This Row],[Hard RRR Potential]]&lt;4, table2[[#This Row],[RRR Realized]]&gt;0,table2[[#This Row],[TP Hit]]=FALSE),table2[[#This Row],[RRR Closing Price]], IF(AND(table2[[#This Row],[TP Hit]]=TRUE,table2[[#This Row],[Hard RRR Potential]]&gt;=3, (table2[[#This Row],[Time]])&gt;0.22), table2[[#This Row],[RRR Closing Price]],-1-(table2[[#This Row],[Missed RRR]]))))</f>
        <v>-464.47669999999999</v>
      </c>
      <c r="AX2" s="41">
        <f>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3.9136484940907641</v>
      </c>
      <c r="AY2" s="41">
        <f>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Potential]]&gt;1,table2[[#This Row],[RRR Before BE]]="FALSE"),table2[[#This Row],[RRR Closing Price]], table2[[#This Row],[RRR Realized]]))))</f>
        <v>3.9136484940907641</v>
      </c>
      <c r="AZ2" s="41">
        <f>IF(OR(AND(table2[[#This Row],[Hard RRR Potential]]&gt;=4,table2[[#This Row],[RRR Before BE]]&gt;=4),AND(table2[[#This Row],[RRR Before BE]]="FALSE",table2[[#This Row],[Hard RRR Potential]]&gt;=4),AND(table2[[#This Row],[Hard RRR Potential]]&gt;=4,table2[[#This Row],[RRR Before BE]]&lt;=3),AND(table2[[#This Row],[RRR Before BE]]="FALSE",table2[[#This Row],[Hard RRR Potential]]&gt;=4)), 4-table2[[#This Row],[Missed RRR]], IF(AND(table2[[#This Row],[RRR Before BE]]&lt;&gt;"FALSE",table2[[#This Row],[RRR Before BE]]&gt;3), 0-table2[[#This Row],[Missed RRR]], IF(AND(table2[[#This Row],[Hard RRR Potential]]&lt;4,table2[[#This Row],[Hard RRR Potential]]&gt;1,OR(table2[[#This Row],[RRR Before BE]]="FALSE",table2[[#This Row],[RRR Before BE]]&lt;3), table2[[#This Row],[RRR Closing Price]]&lt;&gt;"FALSE"),table2[[#This Row],[RRR Closing Price]], table2[[#This Row],[RRR Realized]])))</f>
        <v>-464.47669999999999</v>
      </c>
      <c r="BA2" s="41">
        <f>IF(table2[[#This Row],[Hard RRR Potential]]&gt;=5, 5-table2[[#This Row],[Missed RRR]], IF(AND( table2[[#This Row],[Hard RRR Potential]]&lt;5, table2[[#This Row],[RRR Realized]]&gt;0,table2[[#This Row],[TP Hit]]=FALSE),table2[[#This Row],[RRR Closing Price]], IF(AND(table2[[#This Row],[TP Hit]]=TRUE,table2[[#This Row],[Hard RRR Potential]]&gt;=3), table2[[#This Row],[RRR Closing Price]], table2[[#This Row],[RRR Realized]])))</f>
        <v>-464.47669999999999</v>
      </c>
      <c r="BB2" s="41">
        <f>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Potential]]&gt;1,table2[[#This Row],[RRR Before BE]]="FALSE"),table2[[#This Row],[RRR Closing Price]], table2[[#This Row],[RRR Realized]]))))</f>
        <v>3.9136484940907641</v>
      </c>
      <c r="BC2" s="42"/>
      <c r="BD2" s="41">
        <f>IF(AND((table2[[#This Row],[Back to BE]])=TRUE,(table2[[#This Row],[Price Behaviour]])="Fast Reversal"), 0-(table2[[#This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3.9136484940907641</v>
      </c>
      <c r="BE2" s="41">
        <f>IF(AND((table2[[#This Row],[Hard RRR Potential]])&gt;=1,(table2[[#This Row],[Price Behaviour]])="Fast Reversal"), 1-(table2[[#This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3.9136484940907641</v>
      </c>
      <c r="BF2" s="41">
        <f>IF(AND((table2[[#This Row],[Hard RRR Potential]])&gt;=1.5,(table2[[#This Row],[Price Behaviour]])="Fast Reversal"), 1.5-(table2[[#This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3.9136484940907641</v>
      </c>
      <c r="BG2" s="41">
        <f>IF(AND((table2[[#This Row],[Hard RRR Potential]])&gt;=2,(table2[[#This Row],[Price Behaviour]])="Fast Reversal"), 2-(table2[[#This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3.9136484940907641</v>
      </c>
      <c r="BH2" s="41">
        <f>IF(AND((table2[[#This Row],[Back to BE]])="True",(table2[[#This Row],[Price Behaviour]])="Fast Reversal"), 0-(table2[[#This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3.9136484940907641</v>
      </c>
      <c r="BI2" s="41">
        <f>IF(AND((table2[[#This Row],[Hard RRR Potential]])&gt;=1,(table2[[#This Row],[Price Behaviour]])="Fast Reversal"), 1-(table2[[#This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3.9136484940907641</v>
      </c>
      <c r="BJ2" s="41">
        <f>IF(AND((table2[[#This Row],[Hard RRR Potential]])&gt;=1.5,(table2[[#This Row],[Price Behaviour]])="Fast Reversal"), 1.5-(table2[[#This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3.9136484940907641</v>
      </c>
      <c r="BK2" s="43">
        <f>IF(AND((table2[[#This Row],[Hard RRR Potential]])&gt;=2,(table2[[#This Row],[Price Behaviour]])="Fast Reversal"), 2-(table2[[#This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3.9136484940907641</v>
      </c>
      <c r="BL2" s="44">
        <f>IF((table2[[#This Row],[Pattern SL]])&lt;&gt;FALSE,((table2[[#This Row],[Pattern SL]])-(table2[[#This Row],[Entry Price]]))/((table2[[#This Row],[Intended Entry]])-(table2[[#This Row],[SL Price]])),IF(OR(AND(table2[[#This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1.5697674418604706</v>
      </c>
      <c r="BM2" s="42">
        <f>IF((table2[[#This Row],[Pattern SL]])&lt;&gt;FALSE,((table2[[#This Row],[Pattern SL]])-(table2[[#This Row],[Entry Price]]))/((table2[[#This Row],[Intended Entry]])-(table2[[#This Row],[SL Price]])),IF(OR(AND(table2[[#This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1.5697674418604706</v>
      </c>
      <c r="BN2" s="41"/>
      <c r="BO2" s="41">
        <f>IF(AND((TABLE1[[#This Row],[Back to BE]])=TRUE,(TABLE1[[#This Row],[Price Behaviour]])="Fast Reversal"), 0-(TABLE1[[#This Row],[Missed RRR on Entry]]),IF(OR(AND(TABLE1[[#This Row],[Hard RRR Potential]]&gt;=3,TABLE1[[#This Row],[Hard RRR Before BE]]&gt;=3),AND(TABLE1[[#This Row],[Hard RRR Before BE]]="FALSE",TABLE1[[#This Row],[Hard RRR Potential]]&gt;=3)), 3-TABLE1[[#This Row],[Missed RRR]], IF(AND(TABLE1[[#This Row],[Hard RRR Before BE]]="FALSE",TABLE1[[#This Row],[RRR Realized]]&gt;0),TABLE1[[#This Row],[RRR Realized]], IF(AND(TABLE1[[#This Row],[Hard RRR Before BE]]&lt;&gt;"FALSE",TABLE1[[#This Row],[Hard RRR Before BE]]&gt;1), 0-TABLE1[[#This Row],[Missed RRR]], IF(AND(TABLE1[[#This Row],[Hard RRR Potential]]&lt;3,TABLE1[[#This Row],[Hard RRR Potential]]&gt;1,TABLE1[[#This Row],[Hard RRR Before BE]]="FALSE"),TABLE1[[#This Row],[RRR Closing Price]], TABLE1[[#This Row],[RRR Realized]])))))</f>
        <v>2.7999999999999945</v>
      </c>
      <c r="BP2" s="41">
        <f>IF(AND((TABLE1[[#This Row],[Hard RRR Potential]])&gt;=1,(TABLE1[[#This Row],[Price Behaviour]])="Fast Reversal"), 1-(TABLE1[[#This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f>
        <v>3.7999999999999945</v>
      </c>
      <c r="BQ2" s="41">
        <f>IF(AND((TABLE1[[#This Row],[Hard RRR Potential]])&gt;=1.5,(TABLE1[[#This Row],[Price Behaviour]])="Fast Reversal"), 1.5-(TABLE1[[#This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f>
        <v>3.7999999999999945</v>
      </c>
      <c r="BR2" s="41">
        <f>IF(AND((TABLE1[[#This Row],[Hard RRR Potential]])&gt;=2,(TABLE1[[#This Row],[Price Behaviour]])="Fast Reversal"), 2-(TABLE1[[#This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f>
        <v>3.7999999999999945</v>
      </c>
      <c r="BS2" s="41">
        <f>IF(AND((TABLE1[[#This Row],[Back to BE]])="True",(TABLE1[[#This Row],[Price Behaviour]])="Fast Reversal"), 0-(TABLE1[[#This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3.7999999999999945</v>
      </c>
      <c r="BT2" s="41">
        <f>IF(AND((TABLE1[[#This Row],[Hard RRR Potential]])&gt;=1,(TABLE1[[#This Row],[Price Behaviour]])="Fast Reversal"), 1-(TABLE1[[#This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3.7999999999999945</v>
      </c>
      <c r="BU2" s="41">
        <f>IF(AND((TABLE1[[#This Row],[Hard RRR Potential]])&gt;=1.5,(TABLE1[[#This Row],[Price Behaviour]])="Fast Reversal"), 1.5-(TABLE1[[#This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3.7999999999999945</v>
      </c>
      <c r="BV2" s="43">
        <f>IF(AND((TABLE1[[#This Row],[Hard RRR Potential]])&gt;=2,(TABLE1[[#This Row],[Price Behaviour]])="Fast Reversal"), 2-(TABLE1[[#This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3.7999999999999945</v>
      </c>
      <c r="BW2" s="44">
        <f>IF((TABLE1[[#This Row],[Pattern SL]])&lt;&gt;FALSE,((TABLE1[[#This Row],[Pattern SL]])-(TABLE1[[#This Row],[Entry Price]]))/((TABLE1[[#This Row],[Intended Entry]])-(TABLE1[[#This Row],[SL Price]])),IF(OR(AND(TABLE1[[#This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f>
        <v>3.7999999999999945</v>
      </c>
      <c r="BX2" s="43">
        <f>IF((TABLE1[[#This Row],[Pattern SL]])&lt;&gt;FALSE,((TABLE1[[#This Row],[Pattern SL]])-(TABLE1[[#This Row],[Entry Price]]))/((TABLE1[[#This Row],[Intended Entry]])-(TABLE1[[#This Row],[SL Price]])),IF(OR(AND(TABLE1[[#This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3.7999999999999945</v>
      </c>
    </row>
    <row r="3" spans="1:76" x14ac:dyDescent="0.25">
      <c r="A3" s="57" t="s">
        <v>238</v>
      </c>
      <c r="B3" s="57">
        <v>2</v>
      </c>
      <c r="C3" s="6">
        <v>43487</v>
      </c>
      <c r="D3" s="65">
        <v>0.46666666666666662</v>
      </c>
      <c r="E3" s="65">
        <v>0.48333333333333334</v>
      </c>
      <c r="F3" s="56" t="s">
        <v>234</v>
      </c>
      <c r="G3" s="56" t="s">
        <v>23</v>
      </c>
      <c r="H3" s="57">
        <v>150</v>
      </c>
      <c r="I3" s="57">
        <v>7.91</v>
      </c>
      <c r="J3" s="57">
        <v>7.97</v>
      </c>
      <c r="K3" s="57">
        <v>7.73</v>
      </c>
      <c r="L3" s="57">
        <v>7.9119999999999999</v>
      </c>
      <c r="M3" s="57">
        <v>7.98</v>
      </c>
      <c r="N3" s="57">
        <v>7.98</v>
      </c>
      <c r="O3" s="57">
        <v>7.82</v>
      </c>
      <c r="P3" s="57">
        <v>7.82</v>
      </c>
      <c r="Q3" s="57">
        <v>7.82</v>
      </c>
      <c r="R3" s="57" t="b">
        <v>0</v>
      </c>
      <c r="S3" s="57">
        <v>19.7</v>
      </c>
      <c r="T3" s="57">
        <v>2.0299999999999998</v>
      </c>
      <c r="U3" s="56" t="b">
        <v>0</v>
      </c>
      <c r="V3" s="57" t="s">
        <v>31</v>
      </c>
      <c r="W3" s="57"/>
      <c r="X3" s="57"/>
      <c r="Y3" s="57">
        <v>-10.3</v>
      </c>
      <c r="Z3" s="56" t="s">
        <v>28</v>
      </c>
      <c r="AA3" s="56" t="s">
        <v>31</v>
      </c>
      <c r="AB3" s="57"/>
      <c r="AC3" s="57"/>
      <c r="AD3" s="57" t="s">
        <v>163</v>
      </c>
      <c r="AE3" s="68" t="s">
        <v>239</v>
      </c>
      <c r="AF3" s="62">
        <f>(table2[[#This Row],[TP Price]]-table2[[#This Row],[Intended Entry]])/(table2[[#This Row],[Intended Entry]]-table2[[#This Row],[SL Price]])</f>
        <v>3.0000000000000147</v>
      </c>
      <c r="AG3" s="55">
        <f>IF(table2[[#This Row],[Buy/Sell]]="BUY",(table2[[#This Row],[Highest Price]]-table2[[#This Row],[Entry Price]])/(table2[[#This Row],[Intended Entry]]-table2[[#This Row],[SL Price]]),(table2[[#This Row],[Entry Price]]-table2[[#This Row],[Lowest Price]])/(table2[[#This Row],[SL Price]]-table2[[#This Row],[Intended Entry]]))</f>
        <v>1.5333333333333372</v>
      </c>
      <c r="AH3" s="55">
        <f>IF(table2[[#This Row],[Buy/Sell]]="BUY",(table2[[#This Row],[Entry Price]]-table2[[#This Row],[Lowest Price]])/(table2[[#This Row],[SL Price]]-table2[[#This Row],[Intended Entry]]),(table2[[#This Row],[Entry Price]]-table2[[#This Row],[Highest Price]])/(table2[[#This Row],[SL Price]]-table2[[#This Row],[Intended Entry]]))</f>
        <v>-1.1333333333333491</v>
      </c>
      <c r="AI3" s="57" t="str">
        <f>IF(table2[[#This Row],[Gain/Loss]]&lt;0, "LOSER", "WINNER")</f>
        <v>LOSER</v>
      </c>
      <c r="AJ3" s="57">
        <f>table2[[#This Row],[Gain/Loss]]-table2[[#This Row],[Comissions]]</f>
        <v>-12.33</v>
      </c>
      <c r="AK3" s="60">
        <f>table2[[#This Row],[Exit Time]]-table2[[#This Row],[Entry Time]]</f>
        <v>1.6666666666666718E-2</v>
      </c>
      <c r="AL3" s="57">
        <f>IF(table2[[#This Row],[Price Before BE]]=FALSE,"FALSE",( table2[[#This Row],[Price Before BE]]-table2[[#This Row],[Entry Price]])/(table2[[#This Row],[Intended Entry]]-table2[[#This Row],[SL Price]]))</f>
        <v>1.5333333333333372</v>
      </c>
      <c r="AM3" s="55">
        <f>IF(table2[[#This Row],[Percent Gain]]&lt;&gt;FALSE,ROUND((table2[[#This Row],[Percent Gain]]-table2[[#This Row],[Entry Price]])/(table2[[#This Row],[Intended Entry]]-table2[[#This Row],[SL Price]]),4), "FALSE")</f>
        <v>-196.4667</v>
      </c>
      <c r="AN3" s="45">
        <f>table2[[#This Row],[Net Gain/Loss]]+AN2</f>
        <v>39.630000000000003</v>
      </c>
      <c r="AO3" s="45">
        <f>(IF(table2[[#This Row],[Buy/Sell]]="BUY",(table2[[#This Row],[Entry Price]]-table2[[#This Row],[SL Price]])/(table2[[#This Row],[Intended Entry]]-table2[[#This Row],[SL Price]]),(table2[[#This Row],[SL Price]]-table2[[#This Row],[Entry Price]])/(table2[[#This Row],[SL Price]]-table2[[#This Row],[Intended Entry]])))-1</f>
        <v>-3.3333333333329884E-2</v>
      </c>
      <c r="AP3" s="45">
        <f>-(IF(AND(table2[[#This Row],[Buy/Sell]]="BUY",table2[[#This Row],[TP Hit]]=TRUE),(table2[[#This Row],[Exit Price]]-table2[[#This Row],[TP Price]])/(table2[[#This Row],[Entry Price]]-table2[[#This Row],[SL Price]]),IF(AND(table2[[#This Row],[Buy/Sell]]="BUY",table2[[#This Row],[TP Hit]]=FALSE),(table2[[#This Row],[Exit Price]]-table2[[#This Row],[SL Price]])/(table2[[#This Row],[Intended Entry]]-table2[[#This Row],[SL Price]]),IF(AND(table2[[#This Row],[Buy/Sell]]="SELL",table2[[#This Row],[TP Hit]]=TRUE),(table2[[#This Row],[Exit Price]]-table2[[#This Row],[TP Price]])/(table2[[#This Row],[Entry Price]]-table2[[#This Row],[SL Price]]),IF(AND(table2[[#This Row],[Buy/Sell]]="SELL",table2[[#This Row],[TP Hit]]=FALSE),(table2[[#This Row],[Exit Price]]-table2[[#This Row],[SL Price]])/(table2[[#This Row],[Entry Price]]-table2[[#This Row],[SL Price]]),0)))))</f>
        <v>0.17241379310346042</v>
      </c>
      <c r="AQ3" s="55">
        <f>table2[[#This Row],[Missed RRR on Entry]]+table2[[#This Row],[Missed RRR on Exit]]</f>
        <v>0.13908045977013053</v>
      </c>
      <c r="AR3" s="55">
        <f>ROUND((table2[[#This Row],[Potential Price]]-table2[[#This Row],[Entry Price]])/(table2[[#This Row],[Intended Entry]]-table2[[#This Row],[SL Price]]),4)</f>
        <v>1.5333000000000001</v>
      </c>
      <c r="AS3" s="55">
        <f>ROUND((table2[[#This Row],[Potential Price]]-table2[[#This Row],[Intended Entry]])/(table2[[#This Row],[Intended Entry]]-table2[[#This Row],[SL Price]]),4)</f>
        <v>1.5</v>
      </c>
      <c r="AT3" s="53">
        <f>ROUND((table2[[#This Row],[Exit Price]]-table2[[#This Row],[Entry Price]])/(table2[[#This Row],[Intended Entry]]-table2[[#This Row],[SL Price]]),4)</f>
        <v>-1.1333</v>
      </c>
      <c r="AU3" s="50">
        <f>IF(OR(AND(table2[[#This Row],[RRR Before BE]]&gt;1,table2[[#This Row],[RRR Before BE]]&lt;&gt;"FALSE",table2[[#This Row],[RRR Before BE]]&lt;3)),0-table2[[#This Row],[Missed RRR]],IF(OR(AND((table2[[#This Row],[TP Hit]])=TRUE,(table2[[#This Row],[RRR Before BE]])="FALSE"),AND((table2[[#This Row],[TP Hit]])=TRUE,(table2[[#This Row],[RRR Before BE]])&lt;table2[[#This Row],[RRR Realized]])),table2[[#This Row],[RRR Realized]], table2[[#This Row],[RRR Realized]]))</f>
        <v>-0.13908045977013053</v>
      </c>
      <c r="AV3" s="45">
        <f>IF(OR(AND(table2[[#This Row],[RRR Before BE]]&gt;1.5,table2[[#This Row],[RRR Before BE]]&lt;&gt;"FALSE",table2[[#This Row],[RRR Before BE]]&lt;3)),0-table2[[#This Row],[Missed RRR]],IF(OR(AND((table2[[#This Row],[TP Hit]])=TRUE,(table2[[#This Row],[RRR Before BE]])="FALSE"),AND((table2[[#This Row],[TP Hit]])=TRUE,(table2[[#This Row],[RRR Before BE]])&lt;table2[[#This Row],[RRR Realized]])),table2[[#This Row],[RRR Realized]], table2[[#This Row],[RRR Realized]]))</f>
        <v>-0.13908045977013053</v>
      </c>
      <c r="AW3" s="45">
        <f>IF(table2[[#This Row],[Hard RRR Potential]]&gt;=4, 4-table2[[#This Row],[Missed RRR]], IF(AND( table2[[#This Row],[Hard RRR Potential]]&lt;4, table2[[#This Row],[RRR Realized]]&gt;0,table2[[#This Row],[TP Hit]]=FALSE),table2[[#This Row],[RRR Closing Price]], IF(AND(table2[[#This Row],[TP Hit]]=TRUE,table2[[#This Row],[Hard RRR Potential]]&gt;=3, (table2[[#This Row],[Time]])&gt;0.22), table2[[#This Row],[RRR Closing Price]],-1-(table2[[#This Row],[Missed RRR]]))))</f>
        <v>-1.1390804597701305</v>
      </c>
      <c r="AX3" s="45">
        <f>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-0.13908045977013053</v>
      </c>
      <c r="AY3" s="45">
        <f>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Potential]]&gt;1,table2[[#This Row],[RRR Before BE]]="FALSE"),table2[[#This Row],[RRR Closing Price]], table2[[#This Row],[RRR Realized]]))))</f>
        <v>-0.13908045977013053</v>
      </c>
      <c r="AZ3" s="45">
        <f>IF(OR(AND(table2[[#This Row],[Hard RRR Potential]]&gt;=4,table2[[#This Row],[RRR Before BE]]&gt;=4),AND(table2[[#This Row],[RRR Before BE]]="FALSE",table2[[#This Row],[Hard RRR Potential]]&gt;=4),AND(table2[[#This Row],[Hard RRR Potential]]&gt;=4,table2[[#This Row],[RRR Before BE]]&lt;=3),AND(table2[[#This Row],[RRR Before BE]]="FALSE",table2[[#This Row],[Hard RRR Potential]]&gt;=4)), 4-table2[[#This Row],[Missed RRR]], IF(AND(table2[[#This Row],[RRR Before BE]]&lt;&gt;"FALSE",table2[[#This Row],[RRR Before BE]]&gt;3), 0-table2[[#This Row],[Missed RRR]], IF(AND(table2[[#This Row],[Hard RRR Potential]]&lt;4,table2[[#This Row],[Hard RRR Potential]]&gt;1,OR(table2[[#This Row],[RRR Before BE]]="FALSE",table2[[#This Row],[RRR Before BE]]&lt;3), table2[[#This Row],[RRR Closing Price]]&lt;&gt;"FALSE"),table2[[#This Row],[RRR Closing Price]], table2[[#This Row],[RRR Realized]])))</f>
        <v>-196.4667</v>
      </c>
      <c r="BA3" s="45">
        <f>IF(table2[[#This Row],[Hard RRR Potential]]&gt;=5, 5-table2[[#This Row],[Missed RRR]], IF(AND( table2[[#This Row],[Hard RRR Potential]]&lt;5, table2[[#This Row],[RRR Realized]]&gt;0,table2[[#This Row],[TP Hit]]=FALSE),table2[[#This Row],[RRR Closing Price]], IF(AND(table2[[#This Row],[TP Hit]]=TRUE,table2[[#This Row],[Hard RRR Potential]]&gt;=3), table2[[#This Row],[RRR Closing Price]], table2[[#This Row],[RRR Realized]])))</f>
        <v>-1.1333</v>
      </c>
      <c r="BB3" s="45">
        <f>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Potential]]&gt;1,table2[[#This Row],[RRR Before BE]]="FALSE"),table2[[#This Row],[RRR Closing Price]], table2[[#This Row],[RRR Realized]]))))</f>
        <v>-0.13908045977013053</v>
      </c>
      <c r="BC3" s="46"/>
      <c r="BD3" s="45">
        <f>IF(AND((table2[[#This Row],[Back to BE]])=TRUE,(table2[[#This Row],[Price Behaviour]])="Fast Reversal"), 0-(table2[[#This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-0.13908045977013053</v>
      </c>
      <c r="BE3" s="45">
        <f>IF(AND((table2[[#This Row],[Hard RRR Potential]])&gt;=1,(table2[[#This Row],[Price Behaviour]])="Fast Reversal"), 1-(table2[[#This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-0.13908045977013053</v>
      </c>
      <c r="BF3" s="45">
        <f>IF(AND((table2[[#This Row],[Hard RRR Potential]])&gt;=1.5,(table2[[#This Row],[Price Behaviour]])="Fast Reversal"), 1.5-(table2[[#This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-0.13908045977013053</v>
      </c>
      <c r="BG3" s="45">
        <f>IF(AND((table2[[#This Row],[Hard RRR Potential]])&gt;=2,(table2[[#This Row],[Price Behaviour]])="Fast Reversal"), 2-(table2[[#This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-0.13908045977013053</v>
      </c>
      <c r="BH3" s="45">
        <f>IF(AND((table2[[#This Row],[Back to BE]])="True",(table2[[#This Row],[Price Behaviour]])="Fast Reversal"), 0-(table2[[#This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-0.13908045977013053</v>
      </c>
      <c r="BI3" s="45">
        <f>IF(AND((table2[[#This Row],[Hard RRR Potential]])&gt;=1,(table2[[#This Row],[Price Behaviour]])="Fast Reversal"), 1-(table2[[#This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-0.13908045977013053</v>
      </c>
      <c r="BJ3" s="45">
        <f>IF(AND((table2[[#This Row],[Hard RRR Potential]])&gt;=1.5,(table2[[#This Row],[Price Behaviour]])="Fast Reversal"), 1.5-(table2[[#This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-0.13908045977013053</v>
      </c>
      <c r="BK3" s="47">
        <f>IF(AND((table2[[#This Row],[Hard RRR Potential]])&gt;=2,(table2[[#This Row],[Price Behaviour]])="Fast Reversal"), 2-(table2[[#This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-0.13908045977013053</v>
      </c>
      <c r="BL3" s="48">
        <f>IF((table2[[#This Row],[Pattern SL]])&lt;&gt;FALSE,((table2[[#This Row],[Pattern SL]])-(table2[[#This Row],[Entry Price]]))/((table2[[#This Row],[Intended Entry]])-(table2[[#This Row],[SL Price]])),IF(OR(AND(table2[[#This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-0.13908045977013053</v>
      </c>
      <c r="BM3" s="46">
        <f>IF((table2[[#This Row],[Pattern SL]])&lt;&gt;FALSE,((table2[[#This Row],[Pattern SL]])-(table2[[#This Row],[Entry Price]]))/((table2[[#This Row],[Intended Entry]])-(table2[[#This Row],[SL Price]])),IF(OR(AND(table2[[#This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-0.13908045977013053</v>
      </c>
      <c r="BN3" s="45"/>
      <c r="BO3" s="45">
        <f>IF(AND((TABLE1[[#This Row],[Back to BE]])=TRUE,(TABLE1[[#This Row],[Price Behaviour]])="Fast Reversal"), 0-(TABLE1[[#This Row],[Missed RRR on Entry]]),IF(OR(AND(TABLE1[[#This Row],[Hard RRR Potential]]&gt;=3,TABLE1[[#This Row],[Hard RRR Before BE]]&gt;=3),AND(TABLE1[[#This Row],[Hard RRR Before BE]]="FALSE",TABLE1[[#This Row],[Hard RRR Potential]]&gt;=3)), 3-TABLE1[[#This Row],[Missed RRR]], IF(AND(TABLE1[[#This Row],[Hard RRR Before BE]]="FALSE",TABLE1[[#This Row],[RRR Realized]]&gt;0),TABLE1[[#This Row],[RRR Realized]], IF(AND(TABLE1[[#This Row],[Hard RRR Before BE]]&lt;&gt;"FALSE",TABLE1[[#This Row],[Hard RRR Before BE]]&gt;1), 0-TABLE1[[#This Row],[Missed RRR]], IF(AND(TABLE1[[#This Row],[Hard RRR Potential]]&lt;3,TABLE1[[#This Row],[Hard RRR Potential]]&gt;1,TABLE1[[#This Row],[Hard RRR Before BE]]="FALSE"),TABLE1[[#This Row],[RRR Closing Price]], TABLE1[[#This Row],[RRR Realized]])))))</f>
        <v>3.0999999999999974</v>
      </c>
      <c r="BP3" s="45">
        <f>IF(AND((TABLE1[[#This Row],[Hard RRR Potential]])&gt;=1,(TABLE1[[#This Row],[Price Behaviour]])="Fast Reversal"), 1-(TABLE1[[#This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f>
        <v>4.099999999999997</v>
      </c>
      <c r="BQ3" s="45">
        <f>IF(AND((TABLE1[[#This Row],[Hard RRR Potential]])&gt;=1.5,(TABLE1[[#This Row],[Price Behaviour]])="Fast Reversal"), 1.5-(TABLE1[[#This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f>
        <v>4.099999999999997</v>
      </c>
      <c r="BR3" s="45">
        <f>IF(AND((TABLE1[[#This Row],[Hard RRR Potential]])&gt;=2,(TABLE1[[#This Row],[Price Behaviour]])="Fast Reversal"), 2-(TABLE1[[#This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f>
        <v>4.099999999999997</v>
      </c>
      <c r="BS3" s="45">
        <f>IF(AND((TABLE1[[#This Row],[Back to BE]])="True",(TABLE1[[#This Row],[Price Behaviour]])="Fast Reversal"), 0-(TABLE1[[#This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4.099999999999997</v>
      </c>
      <c r="BT3" s="45">
        <f>IF(AND((TABLE1[[#This Row],[Hard RRR Potential]])&gt;=1,(TABLE1[[#This Row],[Price Behaviour]])="Fast Reversal"), 1-(TABLE1[[#This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4.099999999999997</v>
      </c>
      <c r="BU3" s="45">
        <f>IF(AND((TABLE1[[#This Row],[Hard RRR Potential]])&gt;=1.5,(TABLE1[[#This Row],[Price Behaviour]])="Fast Reversal"), 1.5-(TABLE1[[#This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4.099999999999997</v>
      </c>
      <c r="BV3" s="47">
        <f>IF(AND((TABLE1[[#This Row],[Hard RRR Potential]])&gt;=2,(TABLE1[[#This Row],[Price Behaviour]])="Fast Reversal"), 2-(TABLE1[[#This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4.099999999999997</v>
      </c>
      <c r="BW3" s="48">
        <f>IF((TABLE1[[#This Row],[Pattern SL]])&lt;&gt;FALSE,((TABLE1[[#This Row],[Pattern SL]])-(TABLE1[[#This Row],[Entry Price]]))/((TABLE1[[#This Row],[Intended Entry]])-(TABLE1[[#This Row],[SL Price]])),IF(OR(AND(TABLE1[[#This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f>
        <v>4.099999999999997</v>
      </c>
      <c r="BX3" s="47">
        <f>IF((TABLE1[[#This Row],[Pattern SL]])&lt;&gt;FALSE,((TABLE1[[#This Row],[Pattern SL]])-(TABLE1[[#This Row],[Entry Price]]))/((TABLE1[[#This Row],[Intended Entry]])-(TABLE1[[#This Row],[SL Price]])),IF(OR(AND(TABLE1[[#This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4.099999999999997</v>
      </c>
    </row>
    <row r="4" spans="1:76" x14ac:dyDescent="0.25">
      <c r="A4" t="s">
        <v>240</v>
      </c>
      <c r="B4">
        <v>3</v>
      </c>
      <c r="C4" s="12">
        <v>43489</v>
      </c>
      <c r="D4" s="69">
        <v>0.42986111111111108</v>
      </c>
      <c r="E4" s="69">
        <v>0.44444444444444442</v>
      </c>
      <c r="F4" s="56" t="s">
        <v>234</v>
      </c>
      <c r="G4" s="56" t="s">
        <v>23</v>
      </c>
      <c r="H4">
        <v>150</v>
      </c>
      <c r="I4">
        <v>10.58</v>
      </c>
      <c r="J4">
        <v>10.64</v>
      </c>
      <c r="K4">
        <v>10.4</v>
      </c>
      <c r="L4">
        <v>10.582000000000001</v>
      </c>
      <c r="M4">
        <v>10.698</v>
      </c>
      <c r="N4">
        <v>10.7</v>
      </c>
      <c r="O4" s="5">
        <v>10.49</v>
      </c>
      <c r="P4" s="5">
        <v>10.49</v>
      </c>
      <c r="Q4" s="5">
        <v>10.49</v>
      </c>
      <c r="R4" s="57" t="b">
        <v>0</v>
      </c>
      <c r="S4">
        <v>12.75</v>
      </c>
      <c r="T4">
        <v>2.04</v>
      </c>
      <c r="U4" s="56" t="b">
        <v>0</v>
      </c>
      <c r="V4" t="s">
        <v>31</v>
      </c>
      <c r="Y4">
        <v>-17.5</v>
      </c>
      <c r="Z4" s="56" t="s">
        <v>28</v>
      </c>
      <c r="AA4" t="s">
        <v>29</v>
      </c>
      <c r="AB4" t="s">
        <v>40</v>
      </c>
      <c r="AD4" s="57" t="s">
        <v>163</v>
      </c>
      <c r="AE4" s="3" t="s">
        <v>241</v>
      </c>
      <c r="AF4" s="5">
        <f>(table2[[#This Row],[TP Price]]-table2[[#This Row],[Intended Entry]])/(table2[[#This Row],[Intended Entry]]-table2[[#This Row],[SL Price]])</f>
        <v>2.9999999999999702</v>
      </c>
      <c r="AG4" s="21">
        <f>IF(table2[[#This Row],[Buy/Sell]]="BUY",(table2[[#This Row],[Highest Price]]-table2[[#This Row],[Entry Price]])/(table2[[#This Row],[Intended Entry]]-table2[[#This Row],[SL Price]]),(table2[[#This Row],[Entry Price]]-table2[[#This Row],[Lowest Price]])/(table2[[#This Row],[SL Price]]-table2[[#This Row],[Intended Entry]]))</f>
        <v>1.5333333333333294</v>
      </c>
      <c r="AH4" s="21">
        <f>IF(table2[[#This Row],[Buy/Sell]]="BUY",(table2[[#This Row],[Entry Price]]-table2[[#This Row],[Lowest Price]])/(table2[[#This Row],[SL Price]]-table2[[#This Row],[Intended Entry]]),(table2[[#This Row],[Entry Price]]-table2[[#This Row],[Highest Price]])/(table2[[#This Row],[SL Price]]-table2[[#This Row],[Intended Entry]]))</f>
        <v>-1.9666666666666262</v>
      </c>
      <c r="AI4" s="5" t="str">
        <f>IF(table2[[#This Row],[Gain/Loss]]&lt;0, "LOSER", "WINNER")</f>
        <v>LOSER</v>
      </c>
      <c r="AJ4" s="5">
        <f>table2[[#This Row],[Gain/Loss]]-table2[[#This Row],[Comissions]]</f>
        <v>-19.54</v>
      </c>
      <c r="AK4" s="4">
        <f>table2[[#This Row],[Exit Time]]-table2[[#This Row],[Entry Time]]</f>
        <v>1.4583333333333337E-2</v>
      </c>
      <c r="AL4" s="5">
        <f>IF(table2[[#This Row],[Price Before BE]]=FALSE,"FALSE",( table2[[#This Row],[Price Before BE]]-table2[[#This Row],[Entry Price]])/(table2[[#This Row],[Intended Entry]]-table2[[#This Row],[SL Price]]))</f>
        <v>1.5333333333333294</v>
      </c>
      <c r="AM4" s="21">
        <f>IF(table2[[#This Row],[Percent Gain]]&lt;&gt;FALSE,ROUND((table2[[#This Row],[Percent Gain]]-table2[[#This Row],[Entry Price]])/(table2[[#This Row],[Intended Entry]]-table2[[#This Row],[SL Price]]),4), "FALSE")</f>
        <v>-36.133299999999998</v>
      </c>
      <c r="AN4">
        <f>TABLE1[[#This Row],[Net Gain/Loss]]+AN3</f>
        <v>-4.93</v>
      </c>
      <c r="AO4" s="5">
        <f>(IF(table2[[#This Row],[Buy/Sell]]="BUY",(table2[[#This Row],[Entry Price]]-table2[[#This Row],[SL Price]])/(table2[[#This Row],[Intended Entry]]-table2[[#This Row],[SL Price]]),(table2[[#This Row],[SL Price]]-table2[[#This Row],[Entry Price]])/(table2[[#This Row],[SL Price]]-table2[[#This Row],[Intended Entry]])))-1</f>
        <v>-3.3333333333344206E-2</v>
      </c>
      <c r="AP4" s="5">
        <f>-(IF(AND(table2[[#This Row],[Buy/Sell]]="BUY",table2[[#This Row],[TP Hit]]=TRUE),(table2[[#This Row],[Exit Price]]-table2[[#This Row],[TP Price]])/(table2[[#This Row],[Entry Price]]-table2[[#This Row],[SL Price]]),IF(AND(table2[[#This Row],[Buy/Sell]]="BUY",table2[[#This Row],[TP Hit]]=FALSE),(table2[[#This Row],[Exit Price]]-table2[[#This Row],[SL Price]])/(table2[[#This Row],[Intended Entry]]-table2[[#This Row],[SL Price]]),IF(AND(table2[[#This Row],[Buy/Sell]]="SELL",table2[[#This Row],[TP Hit]]=TRUE),(table2[[#This Row],[Exit Price]]-table2[[#This Row],[TP Price]])/(table2[[#This Row],[Entry Price]]-table2[[#This Row],[SL Price]]),IF(AND(table2[[#This Row],[Buy/Sell]]="SELL",table2[[#This Row],[TP Hit]]=FALSE),(table2[[#This Row],[Exit Price]]-table2[[#This Row],[SL Price]])/(table2[[#This Row],[Entry Price]]-table2[[#This Row],[SL Price]]),0)))))</f>
        <v>1</v>
      </c>
      <c r="AQ4" s="21">
        <f>table2[[#This Row],[Missed RRR on Entry]]+table2[[#This Row],[Missed RRR on Exit]]</f>
        <v>0.96666666666665579</v>
      </c>
      <c r="AR4" s="21">
        <f>ROUND((table2[[#This Row],[Potential Price]]-table2[[#This Row],[Entry Price]])/(table2[[#This Row],[Intended Entry]]-table2[[#This Row],[SL Price]]),4)</f>
        <v>1.5333000000000001</v>
      </c>
      <c r="AS4" s="21">
        <f>ROUND((table2[[#This Row],[Potential Price]]-table2[[#This Row],[Intended Entry]])/(table2[[#This Row],[Intended Entry]]-table2[[#This Row],[SL Price]]),4)</f>
        <v>1.5</v>
      </c>
      <c r="AT4" s="5">
        <f>ROUND((table2[[#This Row],[Exit Price]]-table2[[#This Row],[Entry Price]])/(table2[[#This Row],[Intended Entry]]-table2[[#This Row],[SL Price]]),4)</f>
        <v>-1.9333</v>
      </c>
      <c r="AU4" s="21">
        <f>IF(OR(AND(table2[[#This Row],[RRR Before BE]]&gt;1,table2[[#This Row],[RRR Before BE]]&lt;&gt;"FALSE",table2[[#This Row],[RRR Before BE]]&lt;3)),0-table2[[#This Row],[Missed RRR]],IF(OR(AND((table2[[#This Row],[TP Hit]])=TRUE,(table2[[#This Row],[RRR Before BE]])="FALSE"),AND((table2[[#This Row],[TP Hit]])=TRUE,(table2[[#This Row],[RRR Before BE]])&lt;table2[[#This Row],[RRR Realized]])),table2[[#This Row],[RRR Realized]], table2[[#This Row],[RRR Realized]]))</f>
        <v>-0.96666666666665579</v>
      </c>
      <c r="AV4" s="5">
        <f>IF(OR(AND(table2[[#This Row],[RRR Before BE]]&gt;1.5,table2[[#This Row],[RRR Before BE]]&lt;&gt;"FALSE",table2[[#This Row],[RRR Before BE]]&lt;3)),0-table2[[#This Row],[Missed RRR]],IF(OR(AND((table2[[#This Row],[TP Hit]])=TRUE,(table2[[#This Row],[RRR Before BE]])="FALSE"),AND((table2[[#This Row],[TP Hit]])=TRUE,(table2[[#This Row],[RRR Before BE]])&lt;table2[[#This Row],[RRR Realized]])),table2[[#This Row],[RRR Realized]], table2[[#This Row],[RRR Realized]]))</f>
        <v>-0.96666666666665579</v>
      </c>
      <c r="AW4" s="5">
        <f>IF(table2[[#This Row],[Hard RRR Potential]]&gt;=4, 4-table2[[#This Row],[Missed RRR]], IF(AND( table2[[#This Row],[Hard RRR Potential]]&lt;4, table2[[#This Row],[RRR Realized]]&gt;0,table2[[#This Row],[TP Hit]]=FALSE),table2[[#This Row],[RRR Closing Price]], IF(AND(table2[[#This Row],[TP Hit]]=TRUE,table2[[#This Row],[Hard RRR Potential]]&gt;=3, (table2[[#This Row],[Time]])&gt;0.22), table2[[#This Row],[RRR Closing Price]],-1-(table2[[#This Row],[Missed RRR]]))))</f>
        <v>-1.9666666666666557</v>
      </c>
      <c r="AX4" s="5">
        <f>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-0.96666666666665579</v>
      </c>
      <c r="AY4" s="5">
        <f>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Potential]]&gt;1,table2[[#This Row],[RRR Before BE]]="FALSE"),table2[[#This Row],[RRR Closing Price]], table2[[#This Row],[RRR Realized]]))))</f>
        <v>-0.96666666666665579</v>
      </c>
      <c r="AZ4" s="5">
        <f>IF(OR(AND(table2[[#This Row],[Hard RRR Potential]]&gt;=4,table2[[#This Row],[RRR Before BE]]&gt;=4),AND(table2[[#This Row],[RRR Before BE]]="FALSE",table2[[#This Row],[Hard RRR Potential]]&gt;=4),AND(table2[[#This Row],[Hard RRR Potential]]&gt;=4,table2[[#This Row],[RRR Before BE]]&lt;=3),AND(table2[[#This Row],[RRR Before BE]]="FALSE",table2[[#This Row],[Hard RRR Potential]]&gt;=4)), 4-table2[[#This Row],[Missed RRR]], IF(AND(table2[[#This Row],[RRR Before BE]]&lt;&gt;"FALSE",table2[[#This Row],[RRR Before BE]]&gt;3), 0-table2[[#This Row],[Missed RRR]], IF(AND(table2[[#This Row],[Hard RRR Potential]]&lt;4,table2[[#This Row],[Hard RRR Potential]]&gt;1,OR(table2[[#This Row],[RRR Before BE]]="FALSE",table2[[#This Row],[RRR Before BE]]&lt;3), table2[[#This Row],[RRR Closing Price]]&lt;&gt;"FALSE"),table2[[#This Row],[RRR Closing Price]], table2[[#This Row],[RRR Realized]])))</f>
        <v>-36.133299999999998</v>
      </c>
      <c r="BA4" s="5">
        <f>IF(table2[[#This Row],[Hard RRR Potential]]&gt;=5, 5-table2[[#This Row],[Missed RRR]], IF(AND( table2[[#This Row],[Hard RRR Potential]]&lt;5, table2[[#This Row],[RRR Realized]]&gt;0,table2[[#This Row],[TP Hit]]=FALSE),table2[[#This Row],[RRR Closing Price]], IF(AND(table2[[#This Row],[TP Hit]]=TRUE,table2[[#This Row],[Hard RRR Potential]]&gt;=3), table2[[#This Row],[RRR Closing Price]], table2[[#This Row],[RRR Realized]])))</f>
        <v>-1.9333</v>
      </c>
      <c r="BB4" s="5">
        <f>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Potential]]&gt;1,table2[[#This Row],[RRR Before BE]]="FALSE"),table2[[#This Row],[RRR Closing Price]], table2[[#This Row],[RRR Realized]]))))</f>
        <v>-0.96666666666665579</v>
      </c>
      <c r="BD4" s="5">
        <f>IF(AND((table2[[#This Row],[Back to BE]])=TRUE,(table2[[#This Row],[Price Behaviour]])="Fast Reversal"), 0-(table2[[#This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-0.96666666666665579</v>
      </c>
      <c r="BE4" s="5">
        <f>IF(AND((table2[[#This Row],[Hard RRR Potential]])&gt;=1,(table2[[#This Row],[Price Behaviour]])="Fast Reversal"), 1-(table2[[#This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-0.96666666666665579</v>
      </c>
      <c r="BF4" s="5">
        <f>IF(AND((table2[[#This Row],[Hard RRR Potential]])&gt;=1.5,(table2[[#This Row],[Price Behaviour]])="Fast Reversal"), 1.5-(table2[[#This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-0.96666666666665579</v>
      </c>
      <c r="BG4" s="5">
        <f>IF(AND((table2[[#This Row],[Hard RRR Potential]])&gt;=2,(table2[[#This Row],[Price Behaviour]])="Fast Reversal"), 2-(table2[[#This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-0.96666666666665579</v>
      </c>
      <c r="BH4" s="5">
        <f>IF(AND((table2[[#This Row],[Back to BE]])="True",(table2[[#This Row],[Price Behaviour]])="Fast Reversal"), 0-(table2[[#This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-0.96666666666665579</v>
      </c>
      <c r="BI4" s="5">
        <f>IF(AND((table2[[#This Row],[Hard RRR Potential]])&gt;=1,(table2[[#This Row],[Price Behaviour]])="Fast Reversal"), 1-(table2[[#This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-0.96666666666665579</v>
      </c>
      <c r="BJ4" s="5">
        <f>IF(AND((table2[[#This Row],[Hard RRR Potential]])&gt;=1.5,(table2[[#This Row],[Price Behaviour]])="Fast Reversal"), 1.5-(table2[[#This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-0.96666666666665579</v>
      </c>
      <c r="BK4" s="5">
        <f>IF(AND((table2[[#This Row],[Hard RRR Potential]])&gt;=2,(table2[[#This Row],[Price Behaviour]])="Fast Reversal"), 2-(table2[[#This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-0.96666666666665579</v>
      </c>
      <c r="BL4" s="5">
        <f>IF((table2[[#This Row],[Pattern SL]])&lt;&gt;FALSE,((table2[[#This Row],[Pattern SL]])-(table2[[#This Row],[Entry Price]]))/((table2[[#This Row],[Intended Entry]])-(table2[[#This Row],[SL Price]])),IF(OR(AND(table2[[#This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-0.96666666666665579</v>
      </c>
      <c r="BM4" s="5">
        <f>IF((table2[[#This Row],[Pattern SL]])&lt;&gt;FALSE,((table2[[#This Row],[Pattern SL]])-(table2[[#This Row],[Entry Price]]))/((table2[[#This Row],[Intended Entry]])-(table2[[#This Row],[SL Price]])),IF(OR(AND(table2[[#This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-0.96666666666665579</v>
      </c>
      <c r="BO4">
        <f>IF(AND((TABLE1[[#This Row],[Back to BE]])=TRUE,(TABLE1[[#This Row],[Price Behaviour]])="Fast Reversal"), 0-(TABLE1[[#This Row],[Missed RRR on Entry]]),IF(OR(AND(TABLE1[[#This Row],[Hard RRR Potential]]&gt;=3,TABLE1[[#This Row],[Hard RRR Before BE]]&gt;=3),AND(TABLE1[[#This Row],[Hard RRR Before BE]]="FALSE",TABLE1[[#This Row],[Hard RRR Potential]]&gt;=3)), 3-TABLE1[[#This Row],[Missed RRR]], IF(AND(TABLE1[[#This Row],[Hard RRR Before BE]]="FALSE",TABLE1[[#This Row],[RRR Realized]]&gt;0),TABLE1[[#This Row],[RRR Realized]], IF(AND(TABLE1[[#This Row],[Hard RRR Before BE]]&lt;&gt;"FALSE",TABLE1[[#This Row],[Hard RRR Before BE]]&gt;1), 0-TABLE1[[#This Row],[Missed RRR]], IF(AND(TABLE1[[#This Row],[Hard RRR Potential]]&lt;3,TABLE1[[#This Row],[Hard RRR Potential]]&gt;1,TABLE1[[#This Row],[Hard RRR Before BE]]="FALSE"),TABLE1[[#This Row],[RRR Closing Price]], TABLE1[[#This Row],[RRR Realized]])))))</f>
        <v>-0.80000000000001248</v>
      </c>
      <c r="BP4">
        <f>IF(AND((TABLE1[[#This Row],[Hard RRR Potential]])&gt;=1,(TABLE1[[#This Row],[Price Behaviour]])="Fast Reversal"), 1-(TABLE1[[#This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f>
        <v>1.1999999999999964</v>
      </c>
      <c r="BQ4">
        <f>IF(AND((TABLE1[[#This Row],[Hard RRR Potential]])&gt;=1.5,(TABLE1[[#This Row],[Price Behaviour]])="Fast Reversal"), 1.5-(TABLE1[[#This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f>
        <v>-0.80000000000001248</v>
      </c>
      <c r="BR4">
        <f>IF(AND((TABLE1[[#This Row],[Hard RRR Potential]])&gt;=2,(TABLE1[[#This Row],[Price Behaviour]])="Fast Reversal"), 2-(TABLE1[[#This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f>
        <v>-0.80000000000001248</v>
      </c>
      <c r="BS4">
        <f>IF(AND((TABLE1[[#This Row],[Back to BE]])="True",(TABLE1[[#This Row],[Price Behaviour]])="Fast Reversal"), 0-(TABLE1[[#This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-1.8</v>
      </c>
      <c r="BT4">
        <f>IF(AND((TABLE1[[#This Row],[Hard RRR Potential]])&gt;=1,(TABLE1[[#This Row],[Price Behaviour]])="Fast Reversal"), 1-(TABLE1[[#This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1.1999999999999964</v>
      </c>
      <c r="BU4">
        <f>IF(AND((TABLE1[[#This Row],[Hard RRR Potential]])&gt;=1.5,(TABLE1[[#This Row],[Price Behaviour]])="Fast Reversal"), 1.5-(TABLE1[[#This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-1.8</v>
      </c>
      <c r="BV4">
        <f>IF(AND((TABLE1[[#This Row],[Hard RRR Potential]])&gt;=2,(TABLE1[[#This Row],[Price Behaviour]])="Fast Reversal"), 2-(TABLE1[[#This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-1.8</v>
      </c>
      <c r="BW4">
        <f>IF((TABLE1[[#This Row],[Pattern SL]])&lt;&gt;FALSE,((TABLE1[[#This Row],[Pattern SL]])-(TABLE1[[#This Row],[Entry Price]]))/((TABLE1[[#This Row],[Intended Entry]])-(TABLE1[[#This Row],[SL Price]])),IF(OR(AND(TABLE1[[#This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f>
        <v>-0.80000000000001248</v>
      </c>
      <c r="BX4">
        <f>IF((TABLE1[[#This Row],[Pattern SL]])&lt;&gt;FALSE,((TABLE1[[#This Row],[Pattern SL]])-(TABLE1[[#This Row],[Entry Price]]))/((TABLE1[[#This Row],[Intended Entry]])-(TABLE1[[#This Row],[SL Price]])),IF(OR(AND(TABLE1[[#This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-1.8</v>
      </c>
    </row>
    <row r="5" spans="1:76" x14ac:dyDescent="0.25">
      <c r="A5" t="s">
        <v>240</v>
      </c>
      <c r="B5">
        <v>4</v>
      </c>
      <c r="C5" s="12">
        <v>43489</v>
      </c>
      <c r="D5" s="69">
        <v>0.45208333333333334</v>
      </c>
      <c r="E5" s="69">
        <v>0.4604166666666667</v>
      </c>
      <c r="F5" s="56" t="s">
        <v>234</v>
      </c>
      <c r="G5" s="56" t="s">
        <v>23</v>
      </c>
      <c r="H5">
        <v>200</v>
      </c>
      <c r="I5">
        <v>10.61</v>
      </c>
      <c r="J5">
        <v>10.66</v>
      </c>
      <c r="K5">
        <v>10.46</v>
      </c>
      <c r="L5">
        <v>10.61</v>
      </c>
      <c r="M5">
        <v>10.71</v>
      </c>
      <c r="N5">
        <v>10.71</v>
      </c>
      <c r="O5">
        <v>10.6</v>
      </c>
      <c r="P5">
        <v>10.6</v>
      </c>
      <c r="Q5">
        <v>10.6</v>
      </c>
      <c r="R5" s="57" t="b">
        <v>0</v>
      </c>
      <c r="S5">
        <v>12.75</v>
      </c>
      <c r="T5">
        <v>2.0499999999999998</v>
      </c>
      <c r="U5" s="56" t="b">
        <v>0</v>
      </c>
      <c r="V5" t="s">
        <v>31</v>
      </c>
      <c r="Y5">
        <v>-20</v>
      </c>
      <c r="Z5" t="s">
        <v>25</v>
      </c>
      <c r="AA5" t="s">
        <v>30</v>
      </c>
      <c r="AB5" t="s">
        <v>40</v>
      </c>
      <c r="AD5" s="57" t="s">
        <v>163</v>
      </c>
      <c r="AE5" s="3" t="s">
        <v>241</v>
      </c>
      <c r="AF5" s="5">
        <f>(table2[[#This Row],[TP Price]]-table2[[#This Row],[Intended Entry]])/(table2[[#This Row],[Intended Entry]]-table2[[#This Row],[SL Price]])</f>
        <v>2.9999999999999289</v>
      </c>
      <c r="AG5" s="21">
        <f>IF(table2[[#This Row],[Buy/Sell]]="BUY",(table2[[#This Row],[Highest Price]]-table2[[#This Row],[Entry Price]])/(table2[[#This Row],[Intended Entry]]-table2[[#This Row],[SL Price]]),(table2[[#This Row],[Entry Price]]-table2[[#This Row],[Lowest Price]])/(table2[[#This Row],[SL Price]]-table2[[#This Row],[Intended Entry]]))</f>
        <v>0.19999999999999291</v>
      </c>
      <c r="AH5" s="21">
        <f>IF(table2[[#This Row],[Buy/Sell]]="BUY",(table2[[#This Row],[Entry Price]]-table2[[#This Row],[Lowest Price]])/(table2[[#This Row],[SL Price]]-table2[[#This Row],[Intended Entry]]),(table2[[#This Row],[Entry Price]]-table2[[#This Row],[Highest Price]])/(table2[[#This Row],[SL Price]]-table2[[#This Row],[Intended Entry]]))</f>
        <v>-2</v>
      </c>
      <c r="AI5" s="5" t="str">
        <f>IF(table2[[#This Row],[Gain/Loss]]&lt;0, "LOSER", "WINNER")</f>
        <v>LOSER</v>
      </c>
      <c r="AJ5" s="5">
        <f>table2[[#This Row],[Gain/Loss]]-table2[[#This Row],[Comissions]]</f>
        <v>-22.05</v>
      </c>
      <c r="AK5" s="4">
        <f>table2[[#This Row],[Exit Time]]-table2[[#This Row],[Entry Time]]</f>
        <v>8.3333333333333592E-3</v>
      </c>
      <c r="AL5" s="5">
        <f>IF(table2[[#This Row],[Price Before BE]]=FALSE,"FALSE",( table2[[#This Row],[Price Before BE]]-table2[[#This Row],[Entry Price]])/(table2[[#This Row],[Intended Entry]]-table2[[#This Row],[SL Price]]))</f>
        <v>0.19999999999999291</v>
      </c>
      <c r="AM5" s="21">
        <f>IF(table2[[#This Row],[Percent Gain]]&lt;&gt;FALSE,ROUND((table2[[#This Row],[Percent Gain]]-table2[[#This Row],[Entry Price]])/(table2[[#This Row],[Intended Entry]]-table2[[#This Row],[SL Price]]),4), "FALSE")</f>
        <v>-42.8</v>
      </c>
      <c r="AN5">
        <f>TABLE1[[#This Row],[Net Gain/Loss]]+AN4</f>
        <v>-46.9</v>
      </c>
      <c r="AO5" s="5">
        <f>(IF(table2[[#This Row],[Buy/Sell]]="BUY",(table2[[#This Row],[Entry Price]]-table2[[#This Row],[SL Price]])/(table2[[#This Row],[Intended Entry]]-table2[[#This Row],[SL Price]]),(table2[[#This Row],[SL Price]]-table2[[#This Row],[Entry Price]])/(table2[[#This Row],[SL Price]]-table2[[#This Row],[Intended Entry]])))-1</f>
        <v>0</v>
      </c>
      <c r="AP5" s="5">
        <f>-(IF(AND(table2[[#This Row],[Buy/Sell]]="BUY",table2[[#This Row],[TP Hit]]=TRUE),(table2[[#This Row],[Exit Price]]-table2[[#This Row],[TP Price]])/(table2[[#This Row],[Entry Price]]-table2[[#This Row],[SL Price]]),IF(AND(table2[[#This Row],[Buy/Sell]]="BUY",table2[[#This Row],[TP Hit]]=FALSE),(table2[[#This Row],[Exit Price]]-table2[[#This Row],[SL Price]])/(table2[[#This Row],[Intended Entry]]-table2[[#This Row],[SL Price]]),IF(AND(table2[[#This Row],[Buy/Sell]]="SELL",table2[[#This Row],[TP Hit]]=TRUE),(table2[[#This Row],[Exit Price]]-table2[[#This Row],[TP Price]])/(table2[[#This Row],[Entry Price]]-table2[[#This Row],[SL Price]]),IF(AND(table2[[#This Row],[Buy/Sell]]="SELL",table2[[#This Row],[TP Hit]]=FALSE),(table2[[#This Row],[Exit Price]]-table2[[#This Row],[SL Price]])/(table2[[#This Row],[Entry Price]]-table2[[#This Row],[SL Price]]),0)))))</f>
        <v>1</v>
      </c>
      <c r="AQ5" s="21">
        <f>table2[[#This Row],[Missed RRR on Entry]]+table2[[#This Row],[Missed RRR on Exit]]</f>
        <v>1</v>
      </c>
      <c r="AR5" s="21">
        <f>ROUND((table2[[#This Row],[Potential Price]]-table2[[#This Row],[Entry Price]])/(table2[[#This Row],[Intended Entry]]-table2[[#This Row],[SL Price]]),4)</f>
        <v>0.2</v>
      </c>
      <c r="AS5" s="21">
        <f>ROUND((table2[[#This Row],[Potential Price]]-table2[[#This Row],[Intended Entry]])/(table2[[#This Row],[Intended Entry]]-table2[[#This Row],[SL Price]]),4)</f>
        <v>0.2</v>
      </c>
      <c r="AT5" s="5">
        <f>ROUND((table2[[#This Row],[Exit Price]]-table2[[#This Row],[Entry Price]])/(table2[[#This Row],[Intended Entry]]-table2[[#This Row],[SL Price]]),4)</f>
        <v>-2</v>
      </c>
      <c r="AU5" s="21">
        <f>IF(OR(AND(table2[[#This Row],[RRR Before BE]]&gt;1,table2[[#This Row],[RRR Before BE]]&lt;&gt;"FALSE",table2[[#This Row],[RRR Before BE]]&lt;3)),0-table2[[#This Row],[Missed RRR]],IF(OR(AND((table2[[#This Row],[TP Hit]])=TRUE,(table2[[#This Row],[RRR Before BE]])="FALSE"),AND((table2[[#This Row],[TP Hit]])=TRUE,(table2[[#This Row],[RRR Before BE]])&lt;table2[[#This Row],[RRR Realized]])),table2[[#This Row],[RRR Realized]], table2[[#This Row],[RRR Realized]]))</f>
        <v>-2</v>
      </c>
      <c r="AV5" s="5">
        <f>IF(OR(AND(table2[[#This Row],[RRR Before BE]]&gt;1.5,table2[[#This Row],[RRR Before BE]]&lt;&gt;"FALSE",table2[[#This Row],[RRR Before BE]]&lt;3)),0-table2[[#This Row],[Missed RRR]],IF(OR(AND((table2[[#This Row],[TP Hit]])=TRUE,(table2[[#This Row],[RRR Before BE]])="FALSE"),AND((table2[[#This Row],[TP Hit]])=TRUE,(table2[[#This Row],[RRR Before BE]])&lt;table2[[#This Row],[RRR Realized]])),table2[[#This Row],[RRR Realized]], table2[[#This Row],[RRR Realized]]))</f>
        <v>-2</v>
      </c>
      <c r="AW5" s="5">
        <f>IF(table2[[#This Row],[Hard RRR Potential]]&gt;=4, 4-table2[[#This Row],[Missed RRR]], IF(AND( table2[[#This Row],[Hard RRR Potential]]&lt;4, table2[[#This Row],[RRR Realized]]&gt;0,table2[[#This Row],[TP Hit]]=FALSE),table2[[#This Row],[RRR Closing Price]], IF(AND(table2[[#This Row],[TP Hit]]=TRUE,table2[[#This Row],[Hard RRR Potential]]&gt;=3, (table2[[#This Row],[Time]])&gt;0.22), table2[[#This Row],[RRR Closing Price]],-1-(table2[[#This Row],[Missed RRR]]))))</f>
        <v>-2</v>
      </c>
      <c r="AX5" s="5">
        <f>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-2</v>
      </c>
      <c r="AY5" s="5">
        <f>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Potential]]&gt;1,table2[[#This Row],[RRR Before BE]]="FALSE"),table2[[#This Row],[RRR Closing Price]], table2[[#This Row],[RRR Realized]]))))</f>
        <v>-2</v>
      </c>
      <c r="AZ5" s="5">
        <f>IF(OR(AND(table2[[#This Row],[Hard RRR Potential]]&gt;=4,table2[[#This Row],[RRR Before BE]]&gt;=4),AND(table2[[#This Row],[RRR Before BE]]="FALSE",table2[[#This Row],[Hard RRR Potential]]&gt;=4),AND(table2[[#This Row],[Hard RRR Potential]]&gt;=4,table2[[#This Row],[RRR Before BE]]&lt;=3),AND(table2[[#This Row],[RRR Before BE]]="FALSE",table2[[#This Row],[Hard RRR Potential]]&gt;=4)), 4-table2[[#This Row],[Missed RRR]], IF(AND(table2[[#This Row],[RRR Before BE]]&lt;&gt;"FALSE",table2[[#This Row],[RRR Before BE]]&gt;3), 0-table2[[#This Row],[Missed RRR]], IF(AND(table2[[#This Row],[Hard RRR Potential]]&lt;4,table2[[#This Row],[Hard RRR Potential]]&gt;1,OR(table2[[#This Row],[RRR Before BE]]="FALSE",table2[[#This Row],[RRR Before BE]]&lt;3), table2[[#This Row],[RRR Closing Price]]&lt;&gt;"FALSE"),table2[[#This Row],[RRR Closing Price]], table2[[#This Row],[RRR Realized]])))</f>
        <v>-2</v>
      </c>
      <c r="BA5" s="5">
        <f>IF(table2[[#This Row],[Hard RRR Potential]]&gt;=5, 5-table2[[#This Row],[Missed RRR]], IF(AND( table2[[#This Row],[Hard RRR Potential]]&lt;5, table2[[#This Row],[RRR Realized]]&gt;0,table2[[#This Row],[TP Hit]]=FALSE),table2[[#This Row],[RRR Closing Price]], IF(AND(table2[[#This Row],[TP Hit]]=TRUE,table2[[#This Row],[Hard RRR Potential]]&gt;=3), table2[[#This Row],[RRR Closing Price]], table2[[#This Row],[RRR Realized]])))</f>
        <v>-2</v>
      </c>
      <c r="BB5" s="5">
        <f>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Potential]]&gt;1,table2[[#This Row],[RRR Before BE]]="FALSE"),table2[[#This Row],[RRR Closing Price]], table2[[#This Row],[RRR Realized]]))))</f>
        <v>-2</v>
      </c>
      <c r="BD5" s="5">
        <f>IF(AND((table2[[#This Row],[Back to BE]])=TRUE,(table2[[#This Row],[Price Behaviour]])="Fast Reversal"), 0-(table2[[#This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-2</v>
      </c>
      <c r="BE5" s="5">
        <f>IF(AND((table2[[#This Row],[Hard RRR Potential]])&gt;=1,(table2[[#This Row],[Price Behaviour]])="Fast Reversal"), 1-(table2[[#This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-2</v>
      </c>
      <c r="BF5" s="5">
        <f>IF(AND((table2[[#This Row],[Hard RRR Potential]])&gt;=1.5,(table2[[#This Row],[Price Behaviour]])="Fast Reversal"), 1.5-(table2[[#This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-2</v>
      </c>
      <c r="BG5" s="5">
        <f>IF(AND((table2[[#This Row],[Hard RRR Potential]])&gt;=2,(table2[[#This Row],[Price Behaviour]])="Fast Reversal"), 2-(table2[[#This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-2</v>
      </c>
      <c r="BH5" s="5">
        <f>IF(AND((table2[[#This Row],[Back to BE]])="True",(table2[[#This Row],[Price Behaviour]])="Fast Reversal"), 0-(table2[[#This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-2</v>
      </c>
      <c r="BI5" s="5">
        <f>IF(AND((table2[[#This Row],[Hard RRR Potential]])&gt;=1,(table2[[#This Row],[Price Behaviour]])="Fast Reversal"), 1-(table2[[#This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-2</v>
      </c>
      <c r="BJ5" s="5">
        <f>IF(AND((table2[[#This Row],[Hard RRR Potential]])&gt;=1.5,(table2[[#This Row],[Price Behaviour]])="Fast Reversal"), 1.5-(table2[[#This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-2</v>
      </c>
      <c r="BK5" s="5">
        <f>IF(AND((table2[[#This Row],[Hard RRR Potential]])&gt;=2,(table2[[#This Row],[Price Behaviour]])="Fast Reversal"), 2-(table2[[#This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-2</v>
      </c>
      <c r="BL5" s="5">
        <f>IF((table2[[#This Row],[Pattern SL]])&lt;&gt;FALSE,((table2[[#This Row],[Pattern SL]])-(table2[[#This Row],[Entry Price]]))/((table2[[#This Row],[Intended Entry]])-(table2[[#This Row],[SL Price]])),IF(OR(AND(table2[[#This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-2</v>
      </c>
      <c r="BM5" s="5">
        <f>IF((table2[[#This Row],[Pattern SL]])&lt;&gt;FALSE,((table2[[#This Row],[Pattern SL]])-(table2[[#This Row],[Entry Price]]))/((table2[[#This Row],[Intended Entry]])-(table2[[#This Row],[SL Price]])),IF(OR(AND(table2[[#This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-2</v>
      </c>
      <c r="BO5">
        <f>IF(AND((TABLE1[[#This Row],[Back to BE]])=TRUE,(TABLE1[[#This Row],[Price Behaviour]])="Fast Reversal"), 0-(TABLE1[[#This Row],[Missed RRR on Entry]]),IF(OR(AND(TABLE1[[#This Row],[Hard RRR Potential]]&gt;=3,TABLE1[[#This Row],[Hard RRR Before BE]]&gt;=3),AND(TABLE1[[#This Row],[Hard RRR Before BE]]="FALSE",TABLE1[[#This Row],[Hard RRR Potential]]&gt;=3)), 3-TABLE1[[#This Row],[Missed RRR]], IF(AND(TABLE1[[#This Row],[Hard RRR Before BE]]="FALSE",TABLE1[[#This Row],[RRR Realized]]&gt;0),TABLE1[[#This Row],[RRR Realized]], IF(AND(TABLE1[[#This Row],[Hard RRR Before BE]]&lt;&gt;"FALSE",TABLE1[[#This Row],[Hard RRR Before BE]]&gt;1), 0-TABLE1[[#This Row],[Missed RRR]], IF(AND(TABLE1[[#This Row],[Hard RRR Potential]]&lt;3,TABLE1[[#This Row],[Hard RRR Potential]]&gt;1,TABLE1[[#This Row],[Hard RRR Before BE]]="FALSE"),TABLE1[[#This Row],[RRR Closing Price]], TABLE1[[#This Row],[RRR Realized]])))))</f>
        <v>-1.9666999999999999</v>
      </c>
      <c r="BP5">
        <f>IF(AND((TABLE1[[#This Row],[Hard RRR Potential]])&gt;=1,(TABLE1[[#This Row],[Price Behaviour]])="Fast Reversal"), 1-(TABLE1[[#This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f>
        <v>-1.9666999999999999</v>
      </c>
      <c r="BQ5">
        <f>IF(AND((TABLE1[[#This Row],[Hard RRR Potential]])&gt;=1.5,(TABLE1[[#This Row],[Price Behaviour]])="Fast Reversal"), 1.5-(TABLE1[[#This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f>
        <v>-1.9666999999999999</v>
      </c>
      <c r="BR5">
        <f>IF(AND((TABLE1[[#This Row],[Hard RRR Potential]])&gt;=2,(TABLE1[[#This Row],[Price Behaviour]])="Fast Reversal"), 2-(TABLE1[[#This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f>
        <v>-1.9666999999999999</v>
      </c>
      <c r="BS5">
        <f>IF(AND((TABLE1[[#This Row],[Back to BE]])="True",(TABLE1[[#This Row],[Price Behaviour]])="Fast Reversal"), 0-(TABLE1[[#This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-1.9666999999999999</v>
      </c>
      <c r="BT5">
        <f>IF(AND((TABLE1[[#This Row],[Hard RRR Potential]])&gt;=1,(TABLE1[[#This Row],[Price Behaviour]])="Fast Reversal"), 1-(TABLE1[[#This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-1.9666999999999999</v>
      </c>
      <c r="BU5">
        <f>IF(AND((TABLE1[[#This Row],[Hard RRR Potential]])&gt;=1.5,(TABLE1[[#This Row],[Price Behaviour]])="Fast Reversal"), 1.5-(TABLE1[[#This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-1.9666999999999999</v>
      </c>
      <c r="BV5">
        <f>IF(AND((TABLE1[[#This Row],[Hard RRR Potential]])&gt;=2,(TABLE1[[#This Row],[Price Behaviour]])="Fast Reversal"), 2-(TABLE1[[#This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-1.9666999999999999</v>
      </c>
      <c r="BW5">
        <f>IF((TABLE1[[#This Row],[Pattern SL]])&lt;&gt;FALSE,((TABLE1[[#This Row],[Pattern SL]])-(TABLE1[[#This Row],[Entry Price]]))/((TABLE1[[#This Row],[Intended Entry]])-(TABLE1[[#This Row],[SL Price]])),IF(OR(AND(TABLE1[[#This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f>
        <v>-1.9666999999999999</v>
      </c>
      <c r="BX5">
        <f>IF((TABLE1[[#This Row],[Pattern SL]])&lt;&gt;FALSE,((TABLE1[[#This Row],[Pattern SL]])-(TABLE1[[#This Row],[Entry Price]]))/((TABLE1[[#This Row],[Intended Entry]])-(TABLE1[[#This Row],[SL Price]])),IF(OR(AND(TABLE1[[#This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-1.9666999999999999</v>
      </c>
    </row>
    <row r="6" spans="1:76" x14ac:dyDescent="0.25">
      <c r="A6" t="s">
        <v>240</v>
      </c>
      <c r="B6">
        <v>5</v>
      </c>
      <c r="C6" s="12">
        <v>43489</v>
      </c>
      <c r="D6" s="69">
        <v>0.49444444444444446</v>
      </c>
      <c r="E6" s="69">
        <v>0.63680555555555551</v>
      </c>
      <c r="F6" s="56" t="s">
        <v>234</v>
      </c>
      <c r="G6" s="56" t="s">
        <v>23</v>
      </c>
      <c r="H6">
        <v>150</v>
      </c>
      <c r="I6">
        <v>10.58</v>
      </c>
      <c r="J6">
        <v>10.64</v>
      </c>
      <c r="K6">
        <v>10.4</v>
      </c>
      <c r="L6">
        <v>10.583</v>
      </c>
      <c r="M6">
        <v>10.64</v>
      </c>
      <c r="N6">
        <v>10.64</v>
      </c>
      <c r="O6">
        <v>10.43</v>
      </c>
      <c r="P6">
        <v>10.43</v>
      </c>
      <c r="Q6">
        <v>10.43</v>
      </c>
      <c r="R6">
        <v>10.56</v>
      </c>
      <c r="S6">
        <v>12.75</v>
      </c>
      <c r="T6">
        <v>2.04</v>
      </c>
      <c r="U6" t="b">
        <v>0</v>
      </c>
      <c r="V6" t="s">
        <v>31</v>
      </c>
      <c r="Y6">
        <v>-8.59</v>
      </c>
      <c r="Z6" t="s">
        <v>28</v>
      </c>
      <c r="AA6" t="s">
        <v>29</v>
      </c>
      <c r="AB6" t="s">
        <v>40</v>
      </c>
      <c r="AD6" s="57" t="s">
        <v>163</v>
      </c>
      <c r="AE6" s="3" t="s">
        <v>241</v>
      </c>
      <c r="AF6" s="5">
        <f>(table2[[#This Row],[TP Price]]-table2[[#This Row],[Intended Entry]])/(table2[[#This Row],[Intended Entry]]-table2[[#This Row],[SL Price]])</f>
        <v>2.9999999999999702</v>
      </c>
      <c r="AG6" s="21">
        <f>IF(table2[[#This Row],[Buy/Sell]]="BUY",(table2[[#This Row],[Highest Price]]-table2[[#This Row],[Entry Price]])/(table2[[#This Row],[Intended Entry]]-table2[[#This Row],[SL Price]]),(table2[[#This Row],[Entry Price]]-table2[[#This Row],[Lowest Price]])/(table2[[#This Row],[SL Price]]-table2[[#This Row],[Intended Entry]]))</f>
        <v>2.5499999999999865</v>
      </c>
      <c r="AH6" s="21">
        <f>IF(table2[[#This Row],[Buy/Sell]]="BUY",(table2[[#This Row],[Entry Price]]-table2[[#This Row],[Lowest Price]])/(table2[[#This Row],[SL Price]]-table2[[#This Row],[Intended Entry]]),(table2[[#This Row],[Entry Price]]-table2[[#This Row],[Highest Price]])/(table2[[#This Row],[SL Price]]-table2[[#This Row],[Intended Entry]]))</f>
        <v>-0.94999999999999851</v>
      </c>
      <c r="AI6" s="5" t="str">
        <f>IF(table2[[#This Row],[Gain/Loss]]&lt;0, "LOSER", "WINNER")</f>
        <v>LOSER</v>
      </c>
      <c r="AJ6" s="5">
        <f>table2[[#This Row],[Gain/Loss]]-table2[[#This Row],[Comissions]]</f>
        <v>-10.629999999999999</v>
      </c>
      <c r="AK6" s="4">
        <f>table2[[#This Row],[Exit Time]]-table2[[#This Row],[Entry Time]]</f>
        <v>0.14236111111111105</v>
      </c>
      <c r="AL6" s="5">
        <f>IF(table2[[#This Row],[Price Before BE]]=FALSE,"FALSE",( table2[[#This Row],[Price Before BE]]-table2[[#This Row],[Entry Price]])/(table2[[#This Row],[Intended Entry]]-table2[[#This Row],[SL Price]]))</f>
        <v>2.5499999999999865</v>
      </c>
      <c r="AM6" s="21">
        <f>IF(table2[[#This Row],[Percent Gain]]&lt;&gt;FALSE,ROUND((table2[[#This Row],[Percent Gain]]-table2[[#This Row],[Entry Price]])/(table2[[#This Row],[Intended Entry]]-table2[[#This Row],[SL Price]]),4), "FALSE")</f>
        <v>-36.116700000000002</v>
      </c>
      <c r="AN6">
        <f>TABLE1[[#This Row],[Net Gain/Loss]]+AN5</f>
        <v>9.7000000000000028</v>
      </c>
      <c r="AO6" s="5">
        <f>(IF(table2[[#This Row],[Buy/Sell]]="BUY",(table2[[#This Row],[Entry Price]]-table2[[#This Row],[SL Price]])/(table2[[#This Row],[Intended Entry]]-table2[[#This Row],[SL Price]]),(table2[[#This Row],[SL Price]]-table2[[#This Row],[Entry Price]])/(table2[[#This Row],[SL Price]]-table2[[#This Row],[Intended Entry]])))-1</f>
        <v>-5.0000000000001488E-2</v>
      </c>
      <c r="AP6" s="5">
        <f>-(IF(AND(table2[[#This Row],[Buy/Sell]]="BUY",table2[[#This Row],[TP Hit]]=TRUE),(table2[[#This Row],[Exit Price]]-table2[[#This Row],[TP Price]])/(table2[[#This Row],[Entry Price]]-table2[[#This Row],[SL Price]]),IF(AND(table2[[#This Row],[Buy/Sell]]="BUY",table2[[#This Row],[TP Hit]]=FALSE),(table2[[#This Row],[Exit Price]]-table2[[#This Row],[SL Price]])/(table2[[#This Row],[Intended Entry]]-table2[[#This Row],[SL Price]]),IF(AND(table2[[#This Row],[Buy/Sell]]="SELL",table2[[#This Row],[TP Hit]]=TRUE),(table2[[#This Row],[Exit Price]]-table2[[#This Row],[TP Price]])/(table2[[#This Row],[Entry Price]]-table2[[#This Row],[SL Price]]),IF(AND(table2[[#This Row],[Buy/Sell]]="SELL",table2[[#This Row],[TP Hit]]=FALSE),(table2[[#This Row],[Exit Price]]-table2[[#This Row],[SL Price]])/(table2[[#This Row],[Entry Price]]-table2[[#This Row],[SL Price]]),0)))))</f>
        <v>0</v>
      </c>
      <c r="AQ6" s="21">
        <f>table2[[#This Row],[Missed RRR on Entry]]+table2[[#This Row],[Missed RRR on Exit]]</f>
        <v>-5.0000000000001488E-2</v>
      </c>
      <c r="AR6" s="21">
        <f>ROUND((table2[[#This Row],[Potential Price]]-table2[[#This Row],[Entry Price]])/(table2[[#This Row],[Intended Entry]]-table2[[#This Row],[SL Price]]),4)</f>
        <v>2.5499999999999998</v>
      </c>
      <c r="AS6" s="21">
        <f>ROUND((table2[[#This Row],[Potential Price]]-table2[[#This Row],[Intended Entry]])/(table2[[#This Row],[Intended Entry]]-table2[[#This Row],[SL Price]]),4)</f>
        <v>2.5</v>
      </c>
      <c r="AT6" s="5">
        <f>ROUND((table2[[#This Row],[Exit Price]]-table2[[#This Row],[Entry Price]])/(table2[[#This Row],[Intended Entry]]-table2[[#This Row],[SL Price]]),4)</f>
        <v>-0.95</v>
      </c>
      <c r="AU6" s="21">
        <f>IF(OR(AND(table2[[#This Row],[RRR Before BE]]&gt;1,table2[[#This Row],[RRR Before BE]]&lt;&gt;"FALSE",table2[[#This Row],[RRR Before BE]]&lt;3)),0-table2[[#This Row],[Missed RRR]],IF(OR(AND((table2[[#This Row],[TP Hit]])=TRUE,(table2[[#This Row],[RRR Before BE]])="FALSE"),AND((table2[[#This Row],[TP Hit]])=TRUE,(table2[[#This Row],[RRR Before BE]])&lt;table2[[#This Row],[RRR Realized]])),table2[[#This Row],[RRR Realized]], table2[[#This Row],[RRR Realized]]))</f>
        <v>5.0000000000001488E-2</v>
      </c>
      <c r="AV6" s="5">
        <f>IF(OR(AND(table2[[#This Row],[RRR Before BE]]&gt;1.5,table2[[#This Row],[RRR Before BE]]&lt;&gt;"FALSE",table2[[#This Row],[RRR Before BE]]&lt;3)),0-table2[[#This Row],[Missed RRR]],IF(OR(AND((table2[[#This Row],[TP Hit]])=TRUE,(table2[[#This Row],[RRR Before BE]])="FALSE"),AND((table2[[#This Row],[TP Hit]])=TRUE,(table2[[#This Row],[RRR Before BE]])&lt;table2[[#This Row],[RRR Realized]])),table2[[#This Row],[RRR Realized]], table2[[#This Row],[RRR Realized]]))</f>
        <v>5.0000000000001488E-2</v>
      </c>
      <c r="AW6" s="5">
        <f>IF(table2[[#This Row],[Hard RRR Potential]]&gt;=4, 4-table2[[#This Row],[Missed RRR]], IF(AND( table2[[#This Row],[Hard RRR Potential]]&lt;4, table2[[#This Row],[RRR Realized]]&gt;0,table2[[#This Row],[TP Hit]]=FALSE),table2[[#This Row],[RRR Closing Price]], IF(AND(table2[[#This Row],[TP Hit]]=TRUE,table2[[#This Row],[Hard RRR Potential]]&gt;=3, (table2[[#This Row],[Time]])&gt;0.22), table2[[#This Row],[RRR Closing Price]],-1-(table2[[#This Row],[Missed RRR]]))))</f>
        <v>-0.94999999999999851</v>
      </c>
      <c r="AX6" s="5">
        <f>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5.0000000000001488E-2</v>
      </c>
      <c r="AY6" s="5">
        <f>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Potential]]&gt;1,table2[[#This Row],[RRR Before BE]]="FALSE"),table2[[#This Row],[RRR Closing Price]], table2[[#This Row],[RRR Realized]]))))</f>
        <v>5.0000000000001488E-2</v>
      </c>
      <c r="AZ6" s="5">
        <f>IF(OR(AND(table2[[#This Row],[Hard RRR Potential]]&gt;=4,table2[[#This Row],[RRR Before BE]]&gt;=4),AND(table2[[#This Row],[RRR Before BE]]="FALSE",table2[[#This Row],[Hard RRR Potential]]&gt;=4),AND(table2[[#This Row],[Hard RRR Potential]]&gt;=4,table2[[#This Row],[RRR Before BE]]&lt;=3),AND(table2[[#This Row],[RRR Before BE]]="FALSE",table2[[#This Row],[Hard RRR Potential]]&gt;=4)), 4-table2[[#This Row],[Missed RRR]], IF(AND(table2[[#This Row],[RRR Before BE]]&lt;&gt;"FALSE",table2[[#This Row],[RRR Before BE]]&gt;3), 0-table2[[#This Row],[Missed RRR]], IF(AND(table2[[#This Row],[Hard RRR Potential]]&lt;4,table2[[#This Row],[Hard RRR Potential]]&gt;1,OR(table2[[#This Row],[RRR Before BE]]="FALSE",table2[[#This Row],[RRR Before BE]]&lt;3), table2[[#This Row],[RRR Closing Price]]&lt;&gt;"FALSE"),table2[[#This Row],[RRR Closing Price]], table2[[#This Row],[RRR Realized]])))</f>
        <v>-36.116700000000002</v>
      </c>
      <c r="BA6" s="5">
        <f>IF(table2[[#This Row],[Hard RRR Potential]]&gt;=5, 5-table2[[#This Row],[Missed RRR]], IF(AND( table2[[#This Row],[Hard RRR Potential]]&lt;5, table2[[#This Row],[RRR Realized]]&gt;0,table2[[#This Row],[TP Hit]]=FALSE),table2[[#This Row],[RRR Closing Price]], IF(AND(table2[[#This Row],[TP Hit]]=TRUE,table2[[#This Row],[Hard RRR Potential]]&gt;=3), table2[[#This Row],[RRR Closing Price]], table2[[#This Row],[RRR Realized]])))</f>
        <v>-0.95</v>
      </c>
      <c r="BB6" s="5">
        <f>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Potential]]&gt;1,table2[[#This Row],[RRR Before BE]]="FALSE"),table2[[#This Row],[RRR Closing Price]], table2[[#This Row],[RRR Realized]]))))</f>
        <v>5.0000000000001488E-2</v>
      </c>
      <c r="BD6" s="5">
        <f>IF(AND((table2[[#This Row],[Back to BE]])=TRUE,(table2[[#This Row],[Price Behaviour]])="Fast Reversal"), 0-(table2[[#This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5.0000000000001488E-2</v>
      </c>
      <c r="BE6" s="5">
        <f>IF(AND((table2[[#This Row],[Hard RRR Potential]])&gt;=1,(table2[[#This Row],[Price Behaviour]])="Fast Reversal"), 1-(table2[[#This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5.0000000000001488E-2</v>
      </c>
      <c r="BF6" s="5">
        <f>IF(AND((table2[[#This Row],[Hard RRR Potential]])&gt;=1.5,(table2[[#This Row],[Price Behaviour]])="Fast Reversal"), 1.5-(table2[[#This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5.0000000000001488E-2</v>
      </c>
      <c r="BG6" s="5">
        <f>IF(AND((table2[[#This Row],[Hard RRR Potential]])&gt;=2,(table2[[#This Row],[Price Behaviour]])="Fast Reversal"), 2-(table2[[#This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5.0000000000001488E-2</v>
      </c>
      <c r="BH6" s="5">
        <f>IF(AND((table2[[#This Row],[Back to BE]])="True",(table2[[#This Row],[Price Behaviour]])="Fast Reversal"), 0-(table2[[#This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5.0000000000001488E-2</v>
      </c>
      <c r="BI6" s="5">
        <f>IF(AND((table2[[#This Row],[Hard RRR Potential]])&gt;=1,(table2[[#This Row],[Price Behaviour]])="Fast Reversal"), 1-(table2[[#This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5.0000000000001488E-2</v>
      </c>
      <c r="BJ6" s="5">
        <f>IF(AND((table2[[#This Row],[Hard RRR Potential]])&gt;=1.5,(table2[[#This Row],[Price Behaviour]])="Fast Reversal"), 1.5-(table2[[#This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5.0000000000001488E-2</v>
      </c>
      <c r="BK6" s="5">
        <f>IF(AND((table2[[#This Row],[Hard RRR Potential]])&gt;=2,(table2[[#This Row],[Price Behaviour]])="Fast Reversal"), 2-(table2[[#This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5.0000000000001488E-2</v>
      </c>
      <c r="BL6" s="5">
        <f>IF((table2[[#This Row],[Pattern SL]])&lt;&gt;FALSE,((table2[[#This Row],[Pattern SL]])-(table2[[#This Row],[Entry Price]]))/((table2[[#This Row],[Intended Entry]])-(table2[[#This Row],[SL Price]])),IF(OR(AND(table2[[#This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0.38333333333332492</v>
      </c>
      <c r="BM6" s="5">
        <f>IF((table2[[#This Row],[Pattern SL]])&lt;&gt;FALSE,((table2[[#This Row],[Pattern SL]])-(table2[[#This Row],[Entry Price]]))/((table2[[#This Row],[Intended Entry]])-(table2[[#This Row],[SL Price]])),IF(OR(AND(table2[[#This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0.38333333333332492</v>
      </c>
      <c r="BO6">
        <f>IF(AND((TABLE1[[#This Row],[Back to BE]])=TRUE,(TABLE1[[#This Row],[Price Behaviour]])="Fast Reversal"), 0-(TABLE1[[#This Row],[Missed RRR on Entry]]),IF(OR(AND(TABLE1[[#This Row],[Hard RRR Potential]]&gt;=3,TABLE1[[#This Row],[Hard RRR Before BE]]&gt;=3),AND(TABLE1[[#This Row],[Hard RRR Before BE]]="FALSE",TABLE1[[#This Row],[Hard RRR Potential]]&gt;=3)), 3-TABLE1[[#This Row],[Missed RRR]], IF(AND(TABLE1[[#This Row],[Hard RRR Before BE]]="FALSE",TABLE1[[#This Row],[RRR Realized]]&gt;0),TABLE1[[#This Row],[RRR Realized]], IF(AND(TABLE1[[#This Row],[Hard RRR Before BE]]&lt;&gt;"FALSE",TABLE1[[#This Row],[Hard RRR Before BE]]&gt;1), 0-TABLE1[[#This Row],[Missed RRR]], IF(AND(TABLE1[[#This Row],[Hard RRR Potential]]&lt;3,TABLE1[[#This Row],[Hard RRR Potential]]&gt;1,TABLE1[[#This Row],[Hard RRR Before BE]]="FALSE"),TABLE1[[#This Row],[RRR Closing Price]], TABLE1[[#This Row],[RRR Realized]])))))</f>
        <v>3</v>
      </c>
      <c r="BP6">
        <f>IF(AND((TABLE1[[#This Row],[Hard RRR Potential]])&gt;=1,(TABLE1[[#This Row],[Price Behaviour]])="Fast Reversal"), 1-(TABLE1[[#This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f>
        <v>4</v>
      </c>
      <c r="BQ6">
        <f>IF(AND((TABLE1[[#This Row],[Hard RRR Potential]])&gt;=1.5,(TABLE1[[#This Row],[Price Behaviour]])="Fast Reversal"), 1.5-(TABLE1[[#This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f>
        <v>4</v>
      </c>
      <c r="BR6">
        <f>IF(AND((TABLE1[[#This Row],[Hard RRR Potential]])&gt;=2,(TABLE1[[#This Row],[Price Behaviour]])="Fast Reversal"), 2-(TABLE1[[#This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f>
        <v>4</v>
      </c>
      <c r="BS6">
        <f>IF(AND((TABLE1[[#This Row],[Back to BE]])="True",(TABLE1[[#This Row],[Price Behaviour]])="Fast Reversal"), 0-(TABLE1[[#This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4</v>
      </c>
      <c r="BT6">
        <f>IF(AND((TABLE1[[#This Row],[Hard RRR Potential]])&gt;=1,(TABLE1[[#This Row],[Price Behaviour]])="Fast Reversal"), 1-(TABLE1[[#This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4</v>
      </c>
      <c r="BU6">
        <f>IF(AND((TABLE1[[#This Row],[Hard RRR Potential]])&gt;=1.5,(TABLE1[[#This Row],[Price Behaviour]])="Fast Reversal"), 1.5-(TABLE1[[#This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4</v>
      </c>
      <c r="BV6">
        <f>IF(AND((TABLE1[[#This Row],[Hard RRR Potential]])&gt;=2,(TABLE1[[#This Row],[Price Behaviour]])="Fast Reversal"), 2-(TABLE1[[#This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4</v>
      </c>
      <c r="BW6">
        <f>IF((TABLE1[[#This Row],[Pattern SL]])&lt;&gt;FALSE,((TABLE1[[#This Row],[Pattern SL]])-(TABLE1[[#This Row],[Entry Price]]))/((TABLE1[[#This Row],[Intended Entry]])-(TABLE1[[#This Row],[SL Price]])),IF(OR(AND(TABLE1[[#This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f>
        <v>4</v>
      </c>
      <c r="BX6">
        <f>IF((TABLE1[[#This Row],[Pattern SL]])&lt;&gt;FALSE,((TABLE1[[#This Row],[Pattern SL]])-(TABLE1[[#This Row],[Entry Price]]))/((TABLE1[[#This Row],[Intended Entry]])-(TABLE1[[#This Row],[SL Price]])),IF(OR(AND(TABLE1[[#This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4</v>
      </c>
    </row>
    <row r="7" spans="1:76" x14ac:dyDescent="0.25">
      <c r="A7" t="s">
        <v>251</v>
      </c>
      <c r="B7">
        <v>5</v>
      </c>
      <c r="C7" s="12">
        <v>43494</v>
      </c>
      <c r="D7" s="69">
        <v>0.4465277777777778</v>
      </c>
      <c r="E7" s="69">
        <v>0.47847222222222219</v>
      </c>
      <c r="F7" s="56" t="s">
        <v>234</v>
      </c>
      <c r="G7" s="56" t="s">
        <v>23</v>
      </c>
      <c r="H7">
        <v>500</v>
      </c>
      <c r="I7">
        <v>1.2</v>
      </c>
      <c r="J7">
        <v>1.25</v>
      </c>
      <c r="K7">
        <v>1.05</v>
      </c>
      <c r="L7">
        <v>1.2</v>
      </c>
      <c r="M7">
        <v>1.25</v>
      </c>
      <c r="N7">
        <v>1.25</v>
      </c>
      <c r="O7">
        <v>1.1599999999999999</v>
      </c>
      <c r="P7">
        <v>1.1599999999999999</v>
      </c>
      <c r="Q7">
        <v>1.1599999999999999</v>
      </c>
      <c r="R7" s="57" t="b">
        <v>0</v>
      </c>
      <c r="S7">
        <v>44</v>
      </c>
      <c r="T7">
        <v>4.5</v>
      </c>
      <c r="U7" t="b">
        <v>0</v>
      </c>
      <c r="V7" t="s">
        <v>31</v>
      </c>
      <c r="W7" t="b">
        <v>1</v>
      </c>
      <c r="X7" t="s">
        <v>252</v>
      </c>
      <c r="Y7">
        <v>-34.06</v>
      </c>
      <c r="Z7" t="s">
        <v>25</v>
      </c>
      <c r="AA7" t="s">
        <v>29</v>
      </c>
      <c r="AB7" t="s">
        <v>34</v>
      </c>
      <c r="AD7" t="s">
        <v>166</v>
      </c>
      <c r="AE7" s="3" t="s">
        <v>253</v>
      </c>
      <c r="AF7" s="5">
        <f>(table2[[#This Row],[TP Price]]-table2[[#This Row],[Intended Entry]])/(table2[[#This Row],[Intended Entry]]-table2[[#This Row],[SL Price]])</f>
        <v>2.9999999999999956</v>
      </c>
      <c r="AG7" s="21">
        <f>IF(table2[[#This Row],[Buy/Sell]]="BUY",(table2[[#This Row],[Highest Price]]-table2[[#This Row],[Entry Price]])/(table2[[#This Row],[Intended Entry]]-table2[[#This Row],[SL Price]]),(table2[[#This Row],[Entry Price]]-table2[[#This Row],[Lowest Price]])/(table2[[#This Row],[SL Price]]-table2[[#This Row],[Intended Entry]]))</f>
        <v>0.8</v>
      </c>
      <c r="AH7" s="21">
        <f>IF(table2[[#This Row],[Buy/Sell]]="BUY",(table2[[#This Row],[Entry Price]]-table2[[#This Row],[Lowest Price]])/(table2[[#This Row],[SL Price]]-table2[[#This Row],[Intended Entry]]),(table2[[#This Row],[Entry Price]]-table2[[#This Row],[Highest Price]])/(table2[[#This Row],[SL Price]]-table2[[#This Row],[Intended Entry]]))</f>
        <v>-1</v>
      </c>
      <c r="AI7" s="5" t="str">
        <f>IF(table2[[#This Row],[Gain/Loss]]&lt;0, "LOSER", "WINNER")</f>
        <v>LOSER</v>
      </c>
      <c r="AJ7" s="5">
        <f>table2[[#This Row],[Gain/Loss]]-table2[[#This Row],[Comissions]]</f>
        <v>-38.56</v>
      </c>
      <c r="AK7" s="4">
        <f>table2[[#This Row],[Exit Time]]-table2[[#This Row],[Entry Time]]</f>
        <v>3.1944444444444386E-2</v>
      </c>
      <c r="AL7" s="5">
        <f>IF(table2[[#This Row],[Price Before BE]]=FALSE,"FALSE",( table2[[#This Row],[Price Before BE]]-table2[[#This Row],[Entry Price]])/(table2[[#This Row],[Intended Entry]]-table2[[#This Row],[SL Price]]))</f>
        <v>0.8</v>
      </c>
      <c r="AM7" s="21">
        <f>IF(table2[[#This Row],[Percent Gain]]&lt;&gt;FALSE,ROUND((table2[[#This Row],[Percent Gain]]-table2[[#This Row],[Entry Price]])/(table2[[#This Row],[Intended Entry]]-table2[[#This Row],[SL Price]]),4), "FALSE")</f>
        <v>-856</v>
      </c>
      <c r="AN7">
        <f>TABLE1[[#This Row],[Net Gain/Loss]]+AN6</f>
        <v>64.63</v>
      </c>
      <c r="AO7" s="5">
        <f>(IF(table2[[#This Row],[Buy/Sell]]="BUY",(table2[[#This Row],[Entry Price]]-table2[[#This Row],[SL Price]])/(table2[[#This Row],[Intended Entry]]-table2[[#This Row],[SL Price]]),(table2[[#This Row],[SL Price]]-table2[[#This Row],[Entry Price]])/(table2[[#This Row],[SL Price]]-table2[[#This Row],[Intended Entry]])))-1</f>
        <v>0</v>
      </c>
      <c r="AP7" s="5">
        <f>-(IF(AND(table2[[#This Row],[Buy/Sell]]="BUY",table2[[#This Row],[TP Hit]]=TRUE),(table2[[#This Row],[Exit Price]]-table2[[#This Row],[TP Price]])/(table2[[#This Row],[Entry Price]]-table2[[#This Row],[SL Price]]),IF(AND(table2[[#This Row],[Buy/Sell]]="BUY",table2[[#This Row],[TP Hit]]=FALSE),(table2[[#This Row],[Exit Price]]-table2[[#This Row],[SL Price]])/(table2[[#This Row],[Intended Entry]]-table2[[#This Row],[SL Price]]),IF(AND(table2[[#This Row],[Buy/Sell]]="SELL",table2[[#This Row],[TP Hit]]=TRUE),(table2[[#This Row],[Exit Price]]-table2[[#This Row],[TP Price]])/(table2[[#This Row],[Entry Price]]-table2[[#This Row],[SL Price]]),IF(AND(table2[[#This Row],[Buy/Sell]]="SELL",table2[[#This Row],[TP Hit]]=FALSE),(table2[[#This Row],[Exit Price]]-table2[[#This Row],[SL Price]])/(table2[[#This Row],[Entry Price]]-table2[[#This Row],[SL Price]]),0)))))</f>
        <v>0</v>
      </c>
      <c r="AQ7" s="21">
        <f>table2[[#This Row],[Missed RRR on Entry]]+table2[[#This Row],[Missed RRR on Exit]]</f>
        <v>0</v>
      </c>
      <c r="AR7" s="21">
        <f>ROUND((table2[[#This Row],[Potential Price]]-table2[[#This Row],[Entry Price]])/(table2[[#This Row],[Intended Entry]]-table2[[#This Row],[SL Price]]),4)</f>
        <v>0.8</v>
      </c>
      <c r="AS7" s="21">
        <f>ROUND((table2[[#This Row],[Potential Price]]-table2[[#This Row],[Intended Entry]])/(table2[[#This Row],[Intended Entry]]-table2[[#This Row],[SL Price]]),4)</f>
        <v>0.8</v>
      </c>
      <c r="AT7" s="5">
        <f>ROUND((table2[[#This Row],[Exit Price]]-table2[[#This Row],[Entry Price]])/(table2[[#This Row],[Intended Entry]]-table2[[#This Row],[SL Price]]),4)</f>
        <v>-1</v>
      </c>
      <c r="AU7" s="21">
        <f>IF(OR(AND(table2[[#This Row],[RRR Before BE]]&gt;1,table2[[#This Row],[RRR Before BE]]&lt;&gt;"FALSE",table2[[#This Row],[RRR Before BE]]&lt;3)),0-table2[[#This Row],[Missed RRR]],IF(OR(AND((table2[[#This Row],[TP Hit]])=TRUE,(table2[[#This Row],[RRR Before BE]])="FALSE"),AND((table2[[#This Row],[TP Hit]])=TRUE,(table2[[#This Row],[RRR Before BE]])&lt;table2[[#This Row],[RRR Realized]])),table2[[#This Row],[RRR Realized]], table2[[#This Row],[RRR Realized]]))</f>
        <v>-1</v>
      </c>
      <c r="AV7" s="5">
        <f>IF(OR(AND(table2[[#This Row],[RRR Before BE]]&gt;1.5,table2[[#This Row],[RRR Before BE]]&lt;&gt;"FALSE",table2[[#This Row],[RRR Before BE]]&lt;3)),0-table2[[#This Row],[Missed RRR]],IF(OR(AND((table2[[#This Row],[TP Hit]])=TRUE,(table2[[#This Row],[RRR Before BE]])="FALSE"),AND((table2[[#This Row],[TP Hit]])=TRUE,(table2[[#This Row],[RRR Before BE]])&lt;table2[[#This Row],[RRR Realized]])),table2[[#This Row],[RRR Realized]], table2[[#This Row],[RRR Realized]]))</f>
        <v>-1</v>
      </c>
      <c r="AW7" s="5">
        <f>IF(table2[[#This Row],[Hard RRR Potential]]&gt;=4, 4-table2[[#This Row],[Missed RRR]], IF(AND( table2[[#This Row],[Hard RRR Potential]]&lt;4, table2[[#This Row],[RRR Realized]]&gt;0,table2[[#This Row],[TP Hit]]=FALSE),table2[[#This Row],[RRR Closing Price]], IF(AND(table2[[#This Row],[TP Hit]]=TRUE,table2[[#This Row],[Hard RRR Potential]]&gt;=3, (table2[[#This Row],[Time]])&gt;0.22), table2[[#This Row],[RRR Closing Price]],-1-(table2[[#This Row],[Missed RRR]]))))</f>
        <v>-1</v>
      </c>
      <c r="AX7" s="5">
        <f>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-1</v>
      </c>
      <c r="AY7" s="5">
        <f>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Potential]]&gt;1,table2[[#This Row],[RRR Before BE]]="FALSE"),table2[[#This Row],[RRR Closing Price]], table2[[#This Row],[RRR Realized]]))))</f>
        <v>-1</v>
      </c>
      <c r="AZ7" s="5">
        <f>IF(OR(AND(table2[[#This Row],[Hard RRR Potential]]&gt;=4,table2[[#This Row],[RRR Before BE]]&gt;=4),AND(table2[[#This Row],[RRR Before BE]]="FALSE",table2[[#This Row],[Hard RRR Potential]]&gt;=4),AND(table2[[#This Row],[Hard RRR Potential]]&gt;=4,table2[[#This Row],[RRR Before BE]]&lt;=3),AND(table2[[#This Row],[RRR Before BE]]="FALSE",table2[[#This Row],[Hard RRR Potential]]&gt;=4)), 4-table2[[#This Row],[Missed RRR]], IF(AND(table2[[#This Row],[RRR Before BE]]&lt;&gt;"FALSE",table2[[#This Row],[RRR Before BE]]&gt;3), 0-table2[[#This Row],[Missed RRR]], IF(AND(table2[[#This Row],[Hard RRR Potential]]&lt;4,table2[[#This Row],[Hard RRR Potential]]&gt;1,OR(table2[[#This Row],[RRR Before BE]]="FALSE",table2[[#This Row],[RRR Before BE]]&lt;3), table2[[#This Row],[RRR Closing Price]]&lt;&gt;"FALSE"),table2[[#This Row],[RRR Closing Price]], table2[[#This Row],[RRR Realized]])))</f>
        <v>-1</v>
      </c>
      <c r="BA7" s="5">
        <f>IF(table2[[#This Row],[Hard RRR Potential]]&gt;=5, 5-table2[[#This Row],[Missed RRR]], IF(AND( table2[[#This Row],[Hard RRR Potential]]&lt;5, table2[[#This Row],[RRR Realized]]&gt;0,table2[[#This Row],[TP Hit]]=FALSE),table2[[#This Row],[RRR Closing Price]], IF(AND(table2[[#This Row],[TP Hit]]=TRUE,table2[[#This Row],[Hard RRR Potential]]&gt;=3), table2[[#This Row],[RRR Closing Price]], table2[[#This Row],[RRR Realized]])))</f>
        <v>-1</v>
      </c>
      <c r="BB7" s="5">
        <f>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Potential]]&gt;1,table2[[#This Row],[RRR Before BE]]="FALSE"),table2[[#This Row],[RRR Closing Price]], table2[[#This Row],[RRR Realized]]))))</f>
        <v>-1</v>
      </c>
      <c r="BD7" s="5">
        <f>IF(AND((table2[[#This Row],[Back to BE]])=TRUE,(table2[[#This Row],[Price Behaviour]])="Fast Reversal"), 0-(table2[[#This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0</v>
      </c>
      <c r="BE7" s="5">
        <f>IF(AND((table2[[#This Row],[Hard RRR Potential]])&gt;=1,(table2[[#This Row],[Price Behaviour]])="Fast Reversal"), 1-(table2[[#This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-1</v>
      </c>
      <c r="BF7" s="5">
        <f>IF(AND((table2[[#This Row],[Hard RRR Potential]])&gt;=1.5,(table2[[#This Row],[Price Behaviour]])="Fast Reversal"), 1.5-(table2[[#This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-1</v>
      </c>
      <c r="BG7" s="5">
        <f>IF(AND((table2[[#This Row],[Hard RRR Potential]])&gt;=2,(table2[[#This Row],[Price Behaviour]])="Fast Reversal"), 2-(table2[[#This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-1</v>
      </c>
      <c r="BH7" s="5">
        <f>IF(AND((table2[[#This Row],[Back to BE]])="True",(table2[[#This Row],[Price Behaviour]])="Fast Reversal"), 0-(table2[[#This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-1</v>
      </c>
      <c r="BI7" s="5">
        <f>IF(AND((table2[[#This Row],[Hard RRR Potential]])&gt;=1,(table2[[#This Row],[Price Behaviour]])="Fast Reversal"), 1-(table2[[#This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-1</v>
      </c>
      <c r="BJ7" s="5">
        <f>IF(AND((table2[[#This Row],[Hard RRR Potential]])&gt;=1.5,(table2[[#This Row],[Price Behaviour]])="Fast Reversal"), 1.5-(table2[[#This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-1</v>
      </c>
      <c r="BK7" s="5">
        <f>IF(AND((table2[[#This Row],[Hard RRR Potential]])&gt;=2,(table2[[#This Row],[Price Behaviour]])="Fast Reversal"), 2-(table2[[#This Row],[Missed RRR on Entry]]),IF(OR(AND(table2[[#This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-1</v>
      </c>
      <c r="BL7" s="5">
        <f>IF((table2[[#This Row],[Pattern SL]])&lt;&gt;FALSE,((table2[[#This Row],[Pattern SL]])-(table2[[#This Row],[Entry Price]]))/((table2[[#This Row],[Intended Entry]])-(table2[[#This Row],[SL Price]])),IF(OR(AND(table2[[#This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 0-table2[[#This Row],[Missed RRR]], IF(AND(table2[[#This Row],[Hard RRR Potential]]&lt;4,table2[[#This Row],[Hard RRR Potential]]&gt;1,table2[[#This Row],[RRR Before BE]]="FALSE"),table2[[#This Row],[RRR Closing Price]], table2[[#This Row],[RRR Realized]])))))</f>
        <v>-1</v>
      </c>
      <c r="BM7" s="5">
        <f>IF((table2[[#This Row],[Pattern SL]])&lt;&gt;FALSE,((table2[[#This Row],[Pattern SL]])-(table2[[#This Row],[Entry Price]]))/((table2[[#This Row],[Intended Entry]])-(table2[[#This Row],[SL Price]])),IF(OR(AND(table2[[#This Row],[Hard RRR Potential]]&gt;=4,table2[[#This Row],[RRR Before BE]]&gt;=4),AND(table2[[#This Row],[RRR Before BE]]="FALSE",table2[[#This Row],[Hard RRR Potential]]&gt;=4)), 4-table2[[#This Row],[Missed RRR]], IF(AND(table2[[#This Row],[RRR Before BE]]="FALSE",table2[[#This Row],[RRR Realized]]&gt;0),table2[[#This Row],[RRR Realized]], IF(AND(table2[[#This Row],[RRR Before BE]]&lt;&gt;"FALSE",table2[[#This Row],[RRR Before BE]]&gt;1.5), 0-table2[[#This Row],[Missed RRR]], IF(AND(table2[[#This Row],[Hard RRR Potential]]&lt;4,table2[[#This Row],[Hard RRR Potential]]&gt;1.5,table2[[#This Row],[RRR Before BE]]="FALSE"),table2[[#This Row],[RRR Closing Price]], table2[[#This Row],[RRR Realized]])))))</f>
        <v>-1</v>
      </c>
      <c r="BO7">
        <f>IF(AND((TABLE1[[#This Row],[Back to BE]])=TRUE,(TABLE1[[#This Row],[Price Behaviour]])="Fast Reversal"), 0-(TABLE1[[#This Row],[Missed RRR on Entry]]),IF(OR(AND(TABLE1[[#This Row],[Hard RRR Potential]]&gt;=3,TABLE1[[#This Row],[Hard RRR Before BE]]&gt;=3),AND(TABLE1[[#This Row],[Hard RRR Before BE]]="FALSE",TABLE1[[#This Row],[Hard RRR Potential]]&gt;=3)), 3-TABLE1[[#This Row],[Missed RRR]], IF(AND(TABLE1[[#This Row],[Hard RRR Before BE]]="FALSE",TABLE1[[#This Row],[RRR Realized]]&gt;0),TABLE1[[#This Row],[RRR Realized]], IF(AND(TABLE1[[#This Row],[Hard RRR Before BE]]&lt;&gt;"FALSE",TABLE1[[#This Row],[Hard RRR Before BE]]&gt;1), 0-TABLE1[[#This Row],[Missed RRR]], IF(AND(TABLE1[[#This Row],[Hard RRR Potential]]&lt;3,TABLE1[[#This Row],[Hard RRR Potential]]&gt;1,TABLE1[[#This Row],[Hard RRR Before BE]]="FALSE"),TABLE1[[#This Row],[RRR Closing Price]], TABLE1[[#This Row],[RRR Realized]])))))</f>
        <v>3</v>
      </c>
      <c r="BP7">
        <f>IF(AND((TABLE1[[#This Row],[Hard RRR Potential]])&gt;=1,(TABLE1[[#This Row],[Price Behaviour]])="Fast Reversal"), 1-(TABLE1[[#This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f>
        <v>4</v>
      </c>
      <c r="BQ7">
        <f>IF(AND((TABLE1[[#This Row],[Hard RRR Potential]])&gt;=1.5,(TABLE1[[#This Row],[Price Behaviour]])="Fast Reversal"), 1.5-(TABLE1[[#This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f>
        <v>4</v>
      </c>
      <c r="BR7">
        <f>IF(AND((TABLE1[[#This Row],[Hard RRR Potential]])&gt;=2,(TABLE1[[#This Row],[Price Behaviour]])="Fast Reversal"), 2-(TABLE1[[#This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f>
        <v>4</v>
      </c>
      <c r="BS7">
        <f>IF(AND((TABLE1[[#This Row],[Back to BE]])="True",(TABLE1[[#This Row],[Price Behaviour]])="Fast Reversal"), 0-(TABLE1[[#This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4</v>
      </c>
      <c r="BT7">
        <f>IF(AND((TABLE1[[#This Row],[Hard RRR Potential]])&gt;=1,(TABLE1[[#This Row],[Price Behaviour]])="Fast Reversal"), 1-(TABLE1[[#This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4</v>
      </c>
      <c r="BU7">
        <f>IF(AND((TABLE1[[#This Row],[Hard RRR Potential]])&gt;=1.5,(TABLE1[[#This Row],[Price Behaviour]])="Fast Reversal"), 1.5-(TABLE1[[#This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4</v>
      </c>
      <c r="BV7">
        <f>IF(AND((TABLE1[[#This Row],[Hard RRR Potential]])&gt;=2,(TABLE1[[#This Row],[Price Behaviour]])="Fast Reversal"), 2-(TABLE1[[#This Row],[Missed RRR on Entry]]),IF(OR(AND(TABLE1[[#This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4</v>
      </c>
      <c r="BW7">
        <f>IF((TABLE1[[#This Row],[Pattern SL]])&lt;&gt;FALSE,((TABLE1[[#This Row],[Pattern SL]])-(TABLE1[[#This Row],[Entry Price]]))/((TABLE1[[#This Row],[Intended Entry]])-(TABLE1[[#This Row],[SL Price]])),IF(OR(AND(TABLE1[[#This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 0-TABLE1[[#This Row],[Missed RRR]], IF(AND(TABLE1[[#This Row],[Hard RRR Potential]]&lt;4,TABLE1[[#This Row],[Hard RRR Potential]]&gt;1,TABLE1[[#This Row],[Hard RRR Before BE]]="FALSE"),TABLE1[[#This Row],[RRR Closing Price]], TABLE1[[#This Row],[RRR Realized]])))))</f>
        <v>4</v>
      </c>
      <c r="BX7">
        <f>IF((TABLE1[[#This Row],[Pattern SL]])&lt;&gt;FALSE,((TABLE1[[#This Row],[Pattern SL]])-(TABLE1[[#This Row],[Entry Price]]))/((TABLE1[[#This Row],[Intended Entry]])-(TABLE1[[#This Row],[SL Price]])),IF(OR(AND(TABLE1[[#This Row],[Hard RRR Potential]]&gt;=4,TABLE1[[#This Row],[Hard RRR Before BE]]&gt;=4),AND(TABLE1[[#This Row],[Hard RRR Before BE]]="FALSE",TABLE1[[#This Row],[Hard RRR Potential]]&gt;=4)), 4-TABLE1[[#This Row],[Missed RRR]], IF(AND(TABLE1[[#This Row],[Hard RRR Before BE]]="FALSE",TABLE1[[#This Row],[RRR Realized]]&gt;0),TABLE1[[#This Row],[RRR Realized]], IF(AND(TABLE1[[#This Row],[Hard RRR Before BE]]&lt;&gt;"FALSE",TABLE1[[#This Row],[Hard RRR Before BE]]&gt;1.5), 0-TABLE1[[#This Row],[Missed RRR]], IF(AND(TABLE1[[#This Row],[Hard RRR Potential]]&lt;4,TABLE1[[#This Row],[Hard RRR Potential]]&gt;1.5,TABLE1[[#This Row],[Hard RRR Before BE]]="FALSE"),TABLE1[[#This Row],[RRR Closing Price]], TABLE1[[#This Row],[RRR Realized]])))))</f>
        <v>4</v>
      </c>
    </row>
  </sheetData>
  <dataValidations count="2">
    <dataValidation type="time" allowBlank="1" showInputMessage="1" showErrorMessage="1" sqref="D1:E7" xr:uid="{A21C6D52-AF76-4D2A-85BA-0696954BF74A}">
      <formula1>0.395138888888889</formula1>
      <formula2>0.667361111111111</formula2>
    </dataValidation>
    <dataValidation type="textLength" allowBlank="1" showInputMessage="1" showErrorMessage="1" sqref="A1:A7" xr:uid="{C6765744-FA07-4C16-9B10-17E0509947C9}">
      <formula1>2</formula1>
      <formula2>4</formula2>
    </dataValidation>
  </dataValidations>
  <hyperlinks>
    <hyperlink ref="AE2" r:id="rId1" xr:uid="{FF27B62A-6A8F-4FE2-8B8E-BE4542DEBF08}"/>
    <hyperlink ref="AE3" r:id="rId2" xr:uid="{03D45348-4B37-4039-9046-D619181D7776}"/>
    <hyperlink ref="AE4" r:id="rId3" xr:uid="{65758B22-F596-44A1-B198-377B75726772}"/>
    <hyperlink ref="AE5" r:id="rId4" xr:uid="{FAF4E99D-A53D-491C-938E-5C96605AB71F}"/>
    <hyperlink ref="AE6" r:id="rId5" xr:uid="{BDC9B8C1-53BF-47C3-9294-06D107E1665C}"/>
    <hyperlink ref="AE7" r:id="rId6" xr:uid="{50C30F39-666C-4B1C-A9CA-8DD7AA69B92B}"/>
  </hyperlinks>
  <pageMargins left="0.7" right="0.7" top="0.75" bottom="0.75" header="0.3" footer="0.3"/>
  <tableParts count="1">
    <tablePart r:id="rId7"/>
  </tableParts>
  <extLst>
    <ext xmlns:x14="http://schemas.microsoft.com/office/spreadsheetml/2009/9/main" uri="{CCE6A557-97BC-4b89-ADB6-D9C93CAAB3DF}">
      <x14:dataValidations xmlns:xm="http://schemas.microsoft.com/office/excel/2006/main" count="6">
        <x14:dataValidation type="list" allowBlank="1" showInputMessage="1" showErrorMessage="1" xr:uid="{45048925-9DAD-459C-AD8B-675DE2896D97}">
          <x14:formula1>
            <xm:f>Notes!$F$2:$F$6</xm:f>
          </x14:formula1>
          <xm:sqref>Z1:Z7</xm:sqref>
        </x14:dataValidation>
        <x14:dataValidation type="list" allowBlank="1" showInputMessage="1" showErrorMessage="1" xr:uid="{F59805B3-D976-4E9C-BE9E-763E08157725}">
          <x14:formula1>
            <xm:f>Notes!$D$2:$D$3</xm:f>
          </x14:formula1>
          <xm:sqref>G1:G7</xm:sqref>
        </x14:dataValidation>
        <x14:dataValidation type="list" allowBlank="1" showInputMessage="1" showErrorMessage="1" xr:uid="{B048257F-8894-4A4E-9F4B-2AAD405C9210}">
          <x14:formula1>
            <xm:f>Notes!$E$2:$E$3</xm:f>
          </x14:formula1>
          <xm:sqref>U1:U7</xm:sqref>
        </x14:dataValidation>
        <x14:dataValidation type="list" allowBlank="1" showInputMessage="1" showErrorMessage="1" xr:uid="{43EE1854-2556-4292-9A19-23E82DBB76F5}">
          <x14:formula1>
            <xm:f>Notes!$G$2:$G$5</xm:f>
          </x14:formula1>
          <xm:sqref>AA1:AA7</xm:sqref>
        </x14:dataValidation>
        <x14:dataValidation type="list" allowBlank="1" showInputMessage="1" showErrorMessage="1" xr:uid="{53664FFD-4719-4D8F-A26C-DD0CAA90FE79}">
          <x14:formula1>
            <xm:f>Notes!$I$3:$I$18</xm:f>
          </x14:formula1>
          <xm:sqref>AC1:AC7</xm:sqref>
        </x14:dataValidation>
        <x14:dataValidation type="list" allowBlank="1" showInputMessage="1" showErrorMessage="1" xr:uid="{12660C09-90B5-4E78-ACC8-D827CE9AE86A}">
          <x14:formula1>
            <xm:f>Notes!$H$5:$H$11</xm:f>
          </x14:formula1>
          <xm:sqref>AB1:AB7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7D68F-7830-451C-BBF6-94B4B910712B}">
  <dimension ref="A1:N36"/>
  <sheetViews>
    <sheetView workbookViewId="0">
      <selection activeCell="B1" sqref="B1"/>
    </sheetView>
  </sheetViews>
  <sheetFormatPr defaultRowHeight="15" x14ac:dyDescent="0.25"/>
  <cols>
    <col min="1" max="1" width="11.28515625" bestFit="1" customWidth="1"/>
    <col min="2" max="2" width="19" bestFit="1" customWidth="1"/>
    <col min="3" max="3" width="26.7109375" bestFit="1" customWidth="1"/>
    <col min="4" max="4" width="12.85546875" bestFit="1" customWidth="1"/>
    <col min="5" max="5" width="24.5703125" bestFit="1" customWidth="1"/>
    <col min="6" max="6" width="28.28515625" bestFit="1" customWidth="1"/>
    <col min="7" max="7" width="30.5703125" bestFit="1" customWidth="1"/>
    <col min="8" max="8" width="32.140625" bestFit="1" customWidth="1"/>
    <col min="9" max="9" width="23" bestFit="1" customWidth="1"/>
    <col min="10" max="10" width="25.140625" bestFit="1" customWidth="1"/>
    <col min="11" max="11" width="27.28515625" bestFit="1" customWidth="1"/>
    <col min="12" max="12" width="21.140625" bestFit="1" customWidth="1"/>
    <col min="13" max="13" width="23.7109375" bestFit="1" customWidth="1"/>
    <col min="14" max="14" width="25.42578125" bestFit="1" customWidth="1"/>
    <col min="15" max="221" width="32.140625" bestFit="1" customWidth="1"/>
    <col min="222" max="222" width="25.140625" bestFit="1" customWidth="1"/>
    <col min="223" max="223" width="32.7109375" bestFit="1" customWidth="1"/>
    <col min="224" max="224" width="19.140625" bestFit="1" customWidth="1"/>
    <col min="225" max="225" width="30.7109375" bestFit="1" customWidth="1"/>
    <col min="226" max="226" width="34.5703125" bestFit="1" customWidth="1"/>
    <col min="227" max="227" width="36.7109375" bestFit="1" customWidth="1"/>
    <col min="228" max="228" width="38.28515625" bestFit="1" customWidth="1"/>
    <col min="229" max="229" width="29.140625" bestFit="1" customWidth="1"/>
    <col min="230" max="230" width="31.28515625" bestFit="1" customWidth="1"/>
    <col min="231" max="231" width="33.28515625" bestFit="1" customWidth="1"/>
    <col min="232" max="232" width="27.28515625" bestFit="1" customWidth="1"/>
    <col min="233" max="233" width="30" bestFit="1" customWidth="1"/>
    <col min="234" max="234" width="31.5703125" bestFit="1" customWidth="1"/>
  </cols>
  <sheetData>
    <row r="1" spans="1:14" x14ac:dyDescent="0.25">
      <c r="A1" s="18" t="s">
        <v>428</v>
      </c>
      <c r="B1" t="s">
        <v>429</v>
      </c>
    </row>
    <row r="3" spans="1:14" x14ac:dyDescent="0.25">
      <c r="A3" t="s">
        <v>150</v>
      </c>
      <c r="B3" t="s">
        <v>113</v>
      </c>
      <c r="C3" t="s">
        <v>427</v>
      </c>
      <c r="D3" t="s">
        <v>331</v>
      </c>
      <c r="E3" t="s">
        <v>330</v>
      </c>
      <c r="F3" t="s">
        <v>350</v>
      </c>
      <c r="G3" t="s">
        <v>351</v>
      </c>
      <c r="H3" t="s">
        <v>356</v>
      </c>
      <c r="I3" t="s">
        <v>295</v>
      </c>
      <c r="J3" t="s">
        <v>296</v>
      </c>
      <c r="K3" t="s">
        <v>297</v>
      </c>
      <c r="L3" t="s">
        <v>352</v>
      </c>
      <c r="M3" t="s">
        <v>353</v>
      </c>
      <c r="N3" t="s">
        <v>354</v>
      </c>
    </row>
    <row r="4" spans="1:14" x14ac:dyDescent="0.25">
      <c r="A4" s="5">
        <v>26</v>
      </c>
      <c r="B4" s="5">
        <v>16.007499999999997</v>
      </c>
      <c r="C4" s="5">
        <v>28.453119047619058</v>
      </c>
      <c r="D4" s="5">
        <v>35.396419047619048</v>
      </c>
      <c r="E4" s="5">
        <v>32.053119047619056</v>
      </c>
      <c r="F4" s="5">
        <v>38.810704761904788</v>
      </c>
      <c r="G4" s="5">
        <v>34.567404761904783</v>
      </c>
      <c r="H4" s="5">
        <v>30.967404761904785</v>
      </c>
      <c r="I4" s="5">
        <v>45.49330980392164</v>
      </c>
      <c r="J4" s="5">
        <v>35.292166666666724</v>
      </c>
      <c r="K4" s="5">
        <v>31.692166666666736</v>
      </c>
      <c r="L4" s="5">
        <v>32.979752380952377</v>
      </c>
      <c r="M4" s="5">
        <v>32.686452380952389</v>
      </c>
      <c r="N4" s="5">
        <v>29.086452380952391</v>
      </c>
    </row>
    <row r="10" spans="1:14" x14ac:dyDescent="0.25">
      <c r="A10" s="18" t="s">
        <v>97</v>
      </c>
      <c r="B10" t="s">
        <v>150</v>
      </c>
      <c r="C10" t="s">
        <v>147</v>
      </c>
      <c r="D10" t="s">
        <v>149</v>
      </c>
      <c r="F10" s="18" t="s">
        <v>97</v>
      </c>
      <c r="G10" t="s">
        <v>150</v>
      </c>
      <c r="H10" t="s">
        <v>147</v>
      </c>
      <c r="I10" t="s">
        <v>149</v>
      </c>
    </row>
    <row r="11" spans="1:14" x14ac:dyDescent="0.25">
      <c r="A11" s="20" t="s">
        <v>30</v>
      </c>
      <c r="B11" s="5">
        <v>9</v>
      </c>
      <c r="C11" s="5">
        <v>7.1393444444444434</v>
      </c>
      <c r="D11" s="5">
        <v>-1.5990910614440006</v>
      </c>
      <c r="F11" s="20" t="s">
        <v>25</v>
      </c>
      <c r="G11" s="5">
        <v>42</v>
      </c>
      <c r="H11" s="5">
        <v>1.1990595238095243</v>
      </c>
      <c r="I11" s="5">
        <v>-1.9117020763952386</v>
      </c>
    </row>
    <row r="12" spans="1:14" x14ac:dyDescent="0.25">
      <c r="A12" s="35" t="s">
        <v>25</v>
      </c>
      <c r="B12" s="5">
        <v>4</v>
      </c>
      <c r="C12" s="5">
        <v>2.5499999999999998</v>
      </c>
      <c r="D12" s="5">
        <v>-1.7833333333333363</v>
      </c>
      <c r="F12" s="35" t="s">
        <v>30</v>
      </c>
      <c r="G12" s="5">
        <v>4</v>
      </c>
      <c r="H12" s="5">
        <v>2.5499999999999998</v>
      </c>
      <c r="I12" s="5">
        <v>-1.7833333333333363</v>
      </c>
    </row>
    <row r="13" spans="1:14" x14ac:dyDescent="0.25">
      <c r="A13" s="35" t="s">
        <v>28</v>
      </c>
      <c r="B13" s="5">
        <v>5</v>
      </c>
      <c r="C13" s="5">
        <v>10.81082</v>
      </c>
      <c r="D13" s="5">
        <v>-1.4516972439325324</v>
      </c>
      <c r="F13" s="35" t="s">
        <v>29</v>
      </c>
      <c r="G13" s="5">
        <v>6</v>
      </c>
      <c r="H13" s="5">
        <v>1.2181333333333333</v>
      </c>
      <c r="I13" s="5">
        <v>-1.9077424214769045</v>
      </c>
    </row>
    <row r="14" spans="1:14" x14ac:dyDescent="0.25">
      <c r="A14" s="20" t="s">
        <v>29</v>
      </c>
      <c r="B14" s="5">
        <v>42</v>
      </c>
      <c r="C14" s="5">
        <v>5.7949976190476189</v>
      </c>
      <c r="D14" s="5">
        <v>-0.95446284820116833</v>
      </c>
      <c r="F14" s="35" t="s">
        <v>31</v>
      </c>
      <c r="G14" s="5">
        <v>7</v>
      </c>
      <c r="H14" s="5">
        <v>2.7770285714285712</v>
      </c>
      <c r="I14" s="5">
        <v>-1.6191316526610666</v>
      </c>
    </row>
    <row r="15" spans="1:14" x14ac:dyDescent="0.25">
      <c r="A15" s="35" t="s">
        <v>25</v>
      </c>
      <c r="B15" s="5">
        <v>6</v>
      </c>
      <c r="C15" s="5">
        <v>1.2181333333333333</v>
      </c>
      <c r="D15" s="5">
        <v>-1.9077424214769045</v>
      </c>
      <c r="F15" s="35" t="s">
        <v>32</v>
      </c>
      <c r="G15" s="5">
        <v>25</v>
      </c>
      <c r="H15" s="5">
        <v>0.53650000000000009</v>
      </c>
      <c r="I15" s="5">
        <v>-2.0151111111111111</v>
      </c>
    </row>
    <row r="16" spans="1:14" x14ac:dyDescent="0.25">
      <c r="A16" s="35" t="s">
        <v>28</v>
      </c>
      <c r="B16" s="5">
        <v>8</v>
      </c>
      <c r="C16" s="5">
        <v>3.5750125000000001</v>
      </c>
      <c r="D16" s="5">
        <v>-1.5829166666666663</v>
      </c>
      <c r="F16" s="20" t="s">
        <v>28</v>
      </c>
      <c r="G16" s="5">
        <v>18</v>
      </c>
      <c r="H16" s="5">
        <v>5.4956055555555547</v>
      </c>
      <c r="I16" s="5">
        <v>-1.5289899751664435</v>
      </c>
    </row>
    <row r="17" spans="1:9" x14ac:dyDescent="0.25">
      <c r="A17" s="35" t="s">
        <v>26</v>
      </c>
      <c r="B17" s="5">
        <v>26</v>
      </c>
      <c r="C17" s="5">
        <v>7.4749115384615372</v>
      </c>
      <c r="D17" s="5">
        <v>-0.59555070880465333</v>
      </c>
      <c r="F17" s="35" t="s">
        <v>30</v>
      </c>
      <c r="G17" s="5">
        <v>5</v>
      </c>
      <c r="H17" s="5">
        <v>10.81082</v>
      </c>
      <c r="I17" s="5">
        <v>-1.4516972439325324</v>
      </c>
    </row>
    <row r="18" spans="1:9" x14ac:dyDescent="0.25">
      <c r="A18" s="35" t="s">
        <v>27</v>
      </c>
      <c r="B18" s="5">
        <v>2</v>
      </c>
      <c r="C18" s="5">
        <v>6.5666499999999992</v>
      </c>
      <c r="D18" s="5">
        <v>-0.24666666666666687</v>
      </c>
      <c r="F18" s="35" t="s">
        <v>29</v>
      </c>
      <c r="G18" s="5">
        <v>8</v>
      </c>
      <c r="H18" s="5">
        <v>3.5750125000000001</v>
      </c>
      <c r="I18" s="5">
        <v>-1.5829166666666663</v>
      </c>
    </row>
    <row r="19" spans="1:9" x14ac:dyDescent="0.25">
      <c r="A19" s="20" t="s">
        <v>31</v>
      </c>
      <c r="B19" s="5">
        <v>15</v>
      </c>
      <c r="C19" s="5">
        <v>3.6670733333333332</v>
      </c>
      <c r="D19" s="5">
        <v>-1.3941611007097154</v>
      </c>
      <c r="F19" s="35" t="s">
        <v>31</v>
      </c>
      <c r="G19" s="5">
        <v>3</v>
      </c>
      <c r="H19" s="5">
        <v>4.4333333333333327</v>
      </c>
      <c r="I19" s="5">
        <v>-1.3166666666666638</v>
      </c>
    </row>
    <row r="20" spans="1:9" x14ac:dyDescent="0.25">
      <c r="A20" s="35" t="s">
        <v>25</v>
      </c>
      <c r="B20" s="5">
        <v>7</v>
      </c>
      <c r="C20" s="5">
        <v>2.7770285714285712</v>
      </c>
      <c r="D20" s="5">
        <v>-1.6191316526610666</v>
      </c>
      <c r="F20" s="35" t="s">
        <v>32</v>
      </c>
      <c r="G20" s="5">
        <v>2</v>
      </c>
      <c r="H20" s="5">
        <v>1.4833500000000002</v>
      </c>
      <c r="I20" s="5">
        <v>-1.8249999999999993</v>
      </c>
    </row>
    <row r="21" spans="1:9" x14ac:dyDescent="0.25">
      <c r="A21" s="35" t="s">
        <v>28</v>
      </c>
      <c r="B21" s="5">
        <v>3</v>
      </c>
      <c r="C21" s="5">
        <v>4.4333333333333327</v>
      </c>
      <c r="D21" s="5">
        <v>-1.3166666666666638</v>
      </c>
      <c r="F21" s="20" t="s">
        <v>26</v>
      </c>
      <c r="G21" s="5">
        <v>32</v>
      </c>
      <c r="H21" s="5">
        <v>6.8421218749999992</v>
      </c>
      <c r="I21" s="5">
        <v>-0.74310875117518527</v>
      </c>
    </row>
    <row r="22" spans="1:9" x14ac:dyDescent="0.25">
      <c r="A22" s="35" t="s">
        <v>26</v>
      </c>
      <c r="B22" s="5">
        <v>5</v>
      </c>
      <c r="C22" s="5">
        <v>4.4533800000000001</v>
      </c>
      <c r="D22" s="5">
        <v>-1.1256989884036543</v>
      </c>
      <c r="F22" s="35" t="s">
        <v>29</v>
      </c>
      <c r="G22" s="5">
        <v>26</v>
      </c>
      <c r="H22" s="5">
        <v>7.4749115384615372</v>
      </c>
      <c r="I22" s="5">
        <v>-0.59555070880465333</v>
      </c>
    </row>
    <row r="23" spans="1:9" x14ac:dyDescent="0.25">
      <c r="A23" s="20" t="s">
        <v>32</v>
      </c>
      <c r="B23" s="5">
        <v>30</v>
      </c>
      <c r="C23" s="5">
        <v>0.69041666666666679</v>
      </c>
      <c r="D23" s="5">
        <v>-2.0248148148148148</v>
      </c>
      <c r="F23" s="35" t="s">
        <v>31</v>
      </c>
      <c r="G23" s="5">
        <v>5</v>
      </c>
      <c r="H23" s="5">
        <v>4.4533800000000001</v>
      </c>
      <c r="I23" s="5">
        <v>-1.1256989884036543</v>
      </c>
    </row>
    <row r="24" spans="1:9" x14ac:dyDescent="0.25">
      <c r="A24" s="35" t="s">
        <v>25</v>
      </c>
      <c r="B24" s="5">
        <v>25</v>
      </c>
      <c r="C24" s="5">
        <v>0.53650000000000009</v>
      </c>
      <c r="D24" s="5">
        <v>-2.0151111111111111</v>
      </c>
      <c r="F24" s="35" t="s">
        <v>32</v>
      </c>
      <c r="G24" s="5">
        <v>1</v>
      </c>
      <c r="H24" s="5">
        <v>2.3332999999999999</v>
      </c>
      <c r="I24" s="5">
        <v>-2.6666666666666665</v>
      </c>
    </row>
    <row r="25" spans="1:9" x14ac:dyDescent="0.25">
      <c r="A25" s="35" t="s">
        <v>28</v>
      </c>
      <c r="B25" s="5">
        <v>2</v>
      </c>
      <c r="C25" s="5">
        <v>1.4833500000000002</v>
      </c>
      <c r="D25" s="5">
        <v>-1.8249999999999993</v>
      </c>
      <c r="F25" s="20" t="s">
        <v>155</v>
      </c>
      <c r="G25" s="5">
        <v>2</v>
      </c>
      <c r="H25" s="5">
        <v>1</v>
      </c>
      <c r="I25" s="5">
        <v>-2.024999999999999</v>
      </c>
    </row>
    <row r="26" spans="1:9" ht="13.9" customHeight="1" x14ac:dyDescent="0.25">
      <c r="A26" s="35" t="s">
        <v>26</v>
      </c>
      <c r="B26" s="5">
        <v>1</v>
      </c>
      <c r="C26" s="5">
        <v>2.3332999999999999</v>
      </c>
      <c r="D26" s="5">
        <v>-2.6666666666666665</v>
      </c>
      <c r="F26" s="35" t="s">
        <v>32</v>
      </c>
      <c r="G26" s="5">
        <v>2</v>
      </c>
      <c r="H26" s="5">
        <v>1</v>
      </c>
      <c r="I26" s="5">
        <v>-2.024999999999999</v>
      </c>
    </row>
    <row r="27" spans="1:9" x14ac:dyDescent="0.25">
      <c r="A27" s="35" t="s">
        <v>155</v>
      </c>
      <c r="B27" s="5">
        <v>2</v>
      </c>
      <c r="C27" s="5">
        <v>1</v>
      </c>
      <c r="D27" s="5">
        <v>-2.024999999999999</v>
      </c>
      <c r="F27" s="20" t="s">
        <v>27</v>
      </c>
      <c r="G27" s="5">
        <v>2</v>
      </c>
      <c r="H27" s="5">
        <v>6.5666499999999992</v>
      </c>
      <c r="I27" s="5">
        <v>-0.24666666666666687</v>
      </c>
    </row>
    <row r="28" spans="1:9" x14ac:dyDescent="0.25">
      <c r="A28" s="20" t="s">
        <v>98</v>
      </c>
      <c r="B28" s="5">
        <v>96</v>
      </c>
      <c r="C28" s="5">
        <v>3.9933604166666665</v>
      </c>
      <c r="D28" s="5">
        <v>-1.418084584713909</v>
      </c>
      <c r="F28" s="35" t="s">
        <v>29</v>
      </c>
      <c r="G28" s="5">
        <v>2</v>
      </c>
      <c r="H28" s="5">
        <v>6.5666499999999992</v>
      </c>
      <c r="I28" s="5">
        <v>-0.24666666666666687</v>
      </c>
    </row>
    <row r="29" spans="1:9" x14ac:dyDescent="0.25">
      <c r="F29" s="20" t="s">
        <v>98</v>
      </c>
      <c r="G29" s="5">
        <v>96</v>
      </c>
      <c r="H29" s="5">
        <v>3.9933604166666665</v>
      </c>
      <c r="I29" s="5">
        <v>-1.4180845847139087</v>
      </c>
    </row>
    <row r="33" spans="1:6" x14ac:dyDescent="0.25">
      <c r="A33" s="18" t="s">
        <v>97</v>
      </c>
      <c r="B33" t="s">
        <v>150</v>
      </c>
      <c r="C33" t="s">
        <v>192</v>
      </c>
      <c r="D33" t="s">
        <v>193</v>
      </c>
      <c r="E33" t="s">
        <v>149</v>
      </c>
      <c r="F33" t="s">
        <v>147</v>
      </c>
    </row>
    <row r="34" spans="1:6" x14ac:dyDescent="0.25">
      <c r="A34" s="20" t="s">
        <v>190</v>
      </c>
      <c r="B34" s="5">
        <v>61</v>
      </c>
      <c r="C34" s="1">
        <v>1.3114754098360649E-2</v>
      </c>
      <c r="D34" s="5">
        <v>1.0795267833348057</v>
      </c>
      <c r="E34" s="5">
        <v>-1.8504039343078036</v>
      </c>
      <c r="F34" s="5">
        <v>1.0763540983606559</v>
      </c>
    </row>
    <row r="35" spans="1:6" x14ac:dyDescent="0.25">
      <c r="A35" s="20" t="s">
        <v>191</v>
      </c>
      <c r="B35" s="5">
        <v>35</v>
      </c>
      <c r="C35" s="1">
        <v>1.7222222222222215E-2</v>
      </c>
      <c r="D35" s="5">
        <v>2.9870522017994499</v>
      </c>
      <c r="E35" s="5">
        <v>-0.6646137182788352</v>
      </c>
      <c r="F35" s="5">
        <v>9.0772857142857131</v>
      </c>
    </row>
    <row r="36" spans="1:6" x14ac:dyDescent="0.25">
      <c r="A36" s="20" t="s">
        <v>98</v>
      </c>
      <c r="B36" s="5">
        <v>96</v>
      </c>
      <c r="C36" s="1">
        <v>1.4612268518518523E-2</v>
      </c>
      <c r="D36" s="5">
        <v>1.7749787588167074</v>
      </c>
      <c r="E36" s="5">
        <v>-1.4180845847139085</v>
      </c>
      <c r="F36" s="5">
        <v>3.9933604166666665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87184-6E4C-4529-977E-18B873E565B4}">
  <dimension ref="A1"/>
  <sheetViews>
    <sheetView workbookViewId="0">
      <selection activeCell="C28" sqref="C28"/>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3B6D6-1FCF-41AB-9E26-B5200A6B5484}">
  <sheetPr codeName="Worksheet______3"/>
  <dimension ref="A1:AP377"/>
  <sheetViews>
    <sheetView topLeftCell="A28" zoomScaleNormal="100" workbookViewId="0">
      <selection activeCell="A48" sqref="A48"/>
    </sheetView>
  </sheetViews>
  <sheetFormatPr defaultRowHeight="15" x14ac:dyDescent="0.25"/>
  <cols>
    <col min="1" max="1" width="22.140625" bestFit="1" customWidth="1"/>
    <col min="16" max="16" width="10.5703125" bestFit="1" customWidth="1"/>
    <col min="17" max="17" width="10.5703125" customWidth="1"/>
    <col min="18" max="23" width="10.5703125" bestFit="1" customWidth="1"/>
    <col min="26" max="26" width="11.7109375" bestFit="1" customWidth="1"/>
    <col min="27" max="27" width="16.28515625" bestFit="1" customWidth="1"/>
    <col min="28" max="28" width="21.42578125" bestFit="1" customWidth="1"/>
    <col min="38" max="38" width="11.7109375" bestFit="1" customWidth="1"/>
    <col min="39" max="39" width="26.85546875" bestFit="1" customWidth="1"/>
    <col min="40" max="83" width="12.5703125" bestFit="1" customWidth="1"/>
    <col min="84" max="84" width="8.5703125" bestFit="1" customWidth="1"/>
  </cols>
  <sheetData>
    <row r="1" spans="1:42" x14ac:dyDescent="0.25">
      <c r="A1" t="s">
        <v>59</v>
      </c>
      <c r="B1" t="s">
        <v>59</v>
      </c>
      <c r="C1" t="s">
        <v>18</v>
      </c>
      <c r="D1" t="s">
        <v>20</v>
      </c>
      <c r="E1" t="s">
        <v>21</v>
      </c>
      <c r="F1" t="s">
        <v>24</v>
      </c>
      <c r="G1" t="s">
        <v>16</v>
      </c>
      <c r="H1" t="s">
        <v>33</v>
      </c>
      <c r="I1" t="s">
        <v>15</v>
      </c>
      <c r="J1" t="s">
        <v>167</v>
      </c>
      <c r="K1" t="s">
        <v>154</v>
      </c>
      <c r="L1" t="s">
        <v>79</v>
      </c>
      <c r="M1" t="s">
        <v>93</v>
      </c>
      <c r="O1" t="s">
        <v>64</v>
      </c>
      <c r="P1" t="s">
        <v>2</v>
      </c>
      <c r="R1" t="s">
        <v>64</v>
      </c>
    </row>
    <row r="2" spans="1:42" ht="15.75" thickBot="1" x14ac:dyDescent="0.3">
      <c r="A2" s="1" t="s">
        <v>61</v>
      </c>
      <c r="B2" s="1" t="s">
        <v>60</v>
      </c>
      <c r="C2" t="s">
        <v>19</v>
      </c>
      <c r="D2" t="s">
        <v>22</v>
      </c>
      <c r="E2" t="b">
        <v>0</v>
      </c>
      <c r="F2" t="s">
        <v>25</v>
      </c>
      <c r="G2" t="s">
        <v>29</v>
      </c>
      <c r="H2" t="s">
        <v>73</v>
      </c>
      <c r="I2" t="s">
        <v>63</v>
      </c>
      <c r="J2" t="s">
        <v>163</v>
      </c>
      <c r="K2" t="s">
        <v>87</v>
      </c>
      <c r="L2" t="s">
        <v>80</v>
      </c>
      <c r="M2" t="b">
        <v>1</v>
      </c>
      <c r="O2" t="str">
        <f>"=WINNER"</f>
        <v>=WINNER</v>
      </c>
      <c r="P2" s="36">
        <f ca="1">TODAY()</f>
        <v>44183</v>
      </c>
    </row>
    <row r="3" spans="1:42" x14ac:dyDescent="0.25">
      <c r="A3" s="1"/>
      <c r="C3" t="s">
        <v>153</v>
      </c>
      <c r="D3" t="s">
        <v>23</v>
      </c>
      <c r="E3" t="b">
        <v>1</v>
      </c>
      <c r="F3" t="s">
        <v>26</v>
      </c>
      <c r="G3" t="s">
        <v>30</v>
      </c>
      <c r="H3" t="s">
        <v>74</v>
      </c>
      <c r="I3" t="s">
        <v>42</v>
      </c>
      <c r="J3" t="s">
        <v>166</v>
      </c>
      <c r="K3" t="s">
        <v>157</v>
      </c>
      <c r="L3" t="s">
        <v>81</v>
      </c>
      <c r="M3" t="b">
        <v>0</v>
      </c>
      <c r="P3" s="12"/>
      <c r="AO3" s="80"/>
      <c r="AP3" s="80"/>
    </row>
    <row r="4" spans="1:42" x14ac:dyDescent="0.25">
      <c r="A4" s="1"/>
      <c r="F4" t="s">
        <v>27</v>
      </c>
      <c r="G4" t="s">
        <v>31</v>
      </c>
      <c r="H4" t="s">
        <v>41</v>
      </c>
      <c r="I4" t="s">
        <v>43</v>
      </c>
      <c r="J4" t="s">
        <v>168</v>
      </c>
      <c r="K4" t="s">
        <v>158</v>
      </c>
      <c r="L4" t="s">
        <v>82</v>
      </c>
      <c r="O4" t="s">
        <v>64</v>
      </c>
      <c r="P4" s="12" t="s">
        <v>2</v>
      </c>
      <c r="Q4" s="12" t="s">
        <v>2</v>
      </c>
      <c r="R4" s="12" t="s">
        <v>2</v>
      </c>
      <c r="S4" s="12" t="s">
        <v>2</v>
      </c>
      <c r="T4" s="12" t="s">
        <v>2</v>
      </c>
      <c r="U4" s="12" t="s">
        <v>2</v>
      </c>
      <c r="V4" s="12" t="s">
        <v>2</v>
      </c>
      <c r="W4" s="12"/>
      <c r="Z4" s="18" t="s">
        <v>97</v>
      </c>
      <c r="AA4" t="s">
        <v>99</v>
      </c>
      <c r="AC4" t="s">
        <v>100</v>
      </c>
      <c r="AD4" t="str">
        <f>"=WINNER"</f>
        <v>=WINNER</v>
      </c>
      <c r="AE4" s="12">
        <f ca="1">TODAY()</f>
        <v>44183</v>
      </c>
      <c r="AF4" s="12"/>
      <c r="AO4" s="78"/>
      <c r="AP4" s="78"/>
    </row>
    <row r="5" spans="1:42" x14ac:dyDescent="0.25">
      <c r="A5" s="1"/>
      <c r="F5" t="s">
        <v>28</v>
      </c>
      <c r="G5" t="s">
        <v>32</v>
      </c>
      <c r="H5" t="s">
        <v>34</v>
      </c>
      <c r="I5" t="s">
        <v>44</v>
      </c>
      <c r="J5" t="s">
        <v>169</v>
      </c>
      <c r="K5" t="s">
        <v>156</v>
      </c>
      <c r="N5" t="s">
        <v>100</v>
      </c>
      <c r="O5" t="str">
        <f>"=WINNER"</f>
        <v>=WINNER</v>
      </c>
      <c r="P5" s="12">
        <f ca="1">TODAY()</f>
        <v>44183</v>
      </c>
      <c r="Q5" s="12"/>
      <c r="Z5" s="20">
        <v>1</v>
      </c>
      <c r="AA5" s="5">
        <v>51.96</v>
      </c>
      <c r="AC5" t="s">
        <v>101</v>
      </c>
      <c r="AD5" t="str">
        <f t="shared" ref="AD5:AD10" si="0">"=WINNER"</f>
        <v>=WINNER</v>
      </c>
      <c r="AE5" s="12">
        <f t="shared" ref="AE5:AE10" ca="1" si="1">TODAY()</f>
        <v>44183</v>
      </c>
      <c r="AF5" s="12">
        <f t="shared" ref="AF5:AF10" ca="1" si="2">TODAY()-1</f>
        <v>44182</v>
      </c>
      <c r="AO5" s="78"/>
      <c r="AP5" s="78"/>
    </row>
    <row r="6" spans="1:42" x14ac:dyDescent="0.25">
      <c r="A6" s="1"/>
      <c r="F6" t="s">
        <v>155</v>
      </c>
      <c r="H6" t="s">
        <v>35</v>
      </c>
      <c r="I6" t="s">
        <v>45</v>
      </c>
      <c r="K6" t="s">
        <v>159</v>
      </c>
      <c r="O6" t="s">
        <v>64</v>
      </c>
      <c r="P6" s="12" t="s">
        <v>2</v>
      </c>
      <c r="Q6" s="12" t="s">
        <v>2</v>
      </c>
      <c r="R6" s="12" t="s">
        <v>2</v>
      </c>
      <c r="S6" s="12" t="s">
        <v>2</v>
      </c>
      <c r="T6" s="12" t="s">
        <v>2</v>
      </c>
      <c r="U6" s="12" t="s">
        <v>2</v>
      </c>
      <c r="V6" s="12" t="s">
        <v>2</v>
      </c>
      <c r="Z6" s="20">
        <v>2</v>
      </c>
      <c r="AA6" s="5">
        <v>111.84</v>
      </c>
      <c r="AC6" t="s">
        <v>102</v>
      </c>
      <c r="AD6" t="str">
        <f t="shared" si="0"/>
        <v>=WINNER</v>
      </c>
      <c r="AE6" s="12">
        <f t="shared" ca="1" si="1"/>
        <v>44183</v>
      </c>
      <c r="AF6" s="12">
        <f t="shared" ca="1" si="2"/>
        <v>44182</v>
      </c>
      <c r="AG6" s="12">
        <f ca="1">TODAY()-2</f>
        <v>44181</v>
      </c>
      <c r="AO6" s="78"/>
      <c r="AP6" s="78"/>
    </row>
    <row r="7" spans="1:42" x14ac:dyDescent="0.25">
      <c r="A7" s="1"/>
      <c r="H7" t="s">
        <v>36</v>
      </c>
      <c r="I7" t="s">
        <v>46</v>
      </c>
      <c r="N7" t="s">
        <v>101</v>
      </c>
      <c r="O7" t="str">
        <f>"=WINNER"</f>
        <v>=WINNER</v>
      </c>
      <c r="P7" s="12">
        <f ca="1">TODAY()</f>
        <v>44183</v>
      </c>
      <c r="Q7" s="12">
        <f ca="1">TODAY()-1</f>
        <v>44182</v>
      </c>
      <c r="R7" s="12"/>
      <c r="Z7" s="20">
        <v>3</v>
      </c>
      <c r="AA7" s="5">
        <v>67.28</v>
      </c>
      <c r="AC7" t="s">
        <v>103</v>
      </c>
      <c r="AD7" t="str">
        <f t="shared" si="0"/>
        <v>=WINNER</v>
      </c>
      <c r="AE7" s="12">
        <f t="shared" ca="1" si="1"/>
        <v>44183</v>
      </c>
      <c r="AF7" s="12">
        <f t="shared" ca="1" si="2"/>
        <v>44182</v>
      </c>
      <c r="AG7" s="12">
        <f ca="1">TODAY()-2</f>
        <v>44181</v>
      </c>
      <c r="AH7" s="12">
        <f ca="1">TODAY()-3</f>
        <v>44180</v>
      </c>
      <c r="AO7" s="78"/>
      <c r="AP7" s="78"/>
    </row>
    <row r="8" spans="1:42" x14ac:dyDescent="0.25">
      <c r="A8" s="1"/>
      <c r="H8" t="s">
        <v>37</v>
      </c>
      <c r="I8" t="s">
        <v>47</v>
      </c>
      <c r="O8" t="s">
        <v>64</v>
      </c>
      <c r="P8" s="12" t="s">
        <v>2</v>
      </c>
      <c r="Q8" s="12" t="s">
        <v>2</v>
      </c>
      <c r="R8" s="12" t="s">
        <v>2</v>
      </c>
      <c r="S8" s="12" t="s">
        <v>2</v>
      </c>
      <c r="T8" s="12" t="s">
        <v>2</v>
      </c>
      <c r="U8" s="12" t="s">
        <v>2</v>
      </c>
      <c r="V8" s="12" t="s">
        <v>2</v>
      </c>
      <c r="Z8" s="20">
        <v>4</v>
      </c>
      <c r="AA8" s="5">
        <v>25.310000000000002</v>
      </c>
      <c r="AC8" t="s">
        <v>104</v>
      </c>
      <c r="AD8" t="str">
        <f t="shared" si="0"/>
        <v>=WINNER</v>
      </c>
      <c r="AE8" s="12">
        <f t="shared" ca="1" si="1"/>
        <v>44183</v>
      </c>
      <c r="AF8" s="12">
        <f t="shared" ca="1" si="2"/>
        <v>44182</v>
      </c>
      <c r="AG8" s="12">
        <f ca="1">TODAY()-2</f>
        <v>44181</v>
      </c>
      <c r="AH8" s="12">
        <f ca="1">TODAY()-3</f>
        <v>44180</v>
      </c>
      <c r="AI8" s="12">
        <f ca="1">TODAY()-4</f>
        <v>44179</v>
      </c>
      <c r="AO8" s="78"/>
      <c r="AP8" s="78"/>
    </row>
    <row r="9" spans="1:42" x14ac:dyDescent="0.25">
      <c r="A9" s="1"/>
      <c r="H9" t="s">
        <v>38</v>
      </c>
      <c r="I9" t="s">
        <v>48</v>
      </c>
      <c r="N9" t="s">
        <v>102</v>
      </c>
      <c r="O9" t="str">
        <f>"=WINNER"</f>
        <v>=WINNER</v>
      </c>
      <c r="P9" s="12">
        <f ca="1">TODAY()</f>
        <v>44183</v>
      </c>
      <c r="Q9" s="12">
        <f ca="1">TODAY()-1</f>
        <v>44182</v>
      </c>
      <c r="R9" s="12">
        <f ca="1">TODAY()-2</f>
        <v>44181</v>
      </c>
      <c r="S9" s="12"/>
      <c r="T9" s="12"/>
      <c r="Z9" s="20">
        <v>5</v>
      </c>
      <c r="AA9" s="5">
        <v>81.91</v>
      </c>
      <c r="AC9" t="s">
        <v>105</v>
      </c>
      <c r="AD9" t="str">
        <f t="shared" si="0"/>
        <v>=WINNER</v>
      </c>
      <c r="AE9" s="12">
        <f t="shared" ca="1" si="1"/>
        <v>44183</v>
      </c>
      <c r="AF9" s="12">
        <f t="shared" ca="1" si="2"/>
        <v>44182</v>
      </c>
      <c r="AG9" s="12">
        <f ca="1">TODAY()-2</f>
        <v>44181</v>
      </c>
      <c r="AH9" s="12">
        <f ca="1">TODAY()-3</f>
        <v>44180</v>
      </c>
      <c r="AI9" s="12">
        <f ca="1">TODAY()-4</f>
        <v>44179</v>
      </c>
      <c r="AJ9" s="12">
        <f ca="1">TODAY()-5</f>
        <v>44178</v>
      </c>
      <c r="AO9" s="78"/>
      <c r="AP9" s="78"/>
    </row>
    <row r="10" spans="1:42" x14ac:dyDescent="0.25">
      <c r="H10" t="s">
        <v>39</v>
      </c>
      <c r="I10" t="s">
        <v>49</v>
      </c>
      <c r="O10" t="s">
        <v>64</v>
      </c>
      <c r="P10" s="12" t="s">
        <v>2</v>
      </c>
      <c r="Q10" s="12" t="s">
        <v>2</v>
      </c>
      <c r="R10" s="12" t="s">
        <v>2</v>
      </c>
      <c r="S10" s="12" t="s">
        <v>2</v>
      </c>
      <c r="T10" s="12" t="s">
        <v>2</v>
      </c>
      <c r="U10" s="12" t="s">
        <v>2</v>
      </c>
      <c r="V10" s="12" t="s">
        <v>2</v>
      </c>
      <c r="Z10" s="20">
        <v>6</v>
      </c>
      <c r="AA10" s="5">
        <v>136.84</v>
      </c>
      <c r="AC10" t="s">
        <v>106</v>
      </c>
      <c r="AD10" t="str">
        <f t="shared" si="0"/>
        <v>=WINNER</v>
      </c>
      <c r="AE10" s="12">
        <f t="shared" ca="1" si="1"/>
        <v>44183</v>
      </c>
      <c r="AF10" s="12">
        <f t="shared" ca="1" si="2"/>
        <v>44182</v>
      </c>
      <c r="AG10" s="12">
        <f ca="1">TODAY()-2</f>
        <v>44181</v>
      </c>
      <c r="AH10" s="12">
        <f ca="1">TODAY()-3</f>
        <v>44180</v>
      </c>
      <c r="AI10" s="12">
        <f ca="1">TODAY()-4</f>
        <v>44179</v>
      </c>
      <c r="AJ10" s="12">
        <f ca="1">TODAY()-5</f>
        <v>44178</v>
      </c>
      <c r="AK10" s="12">
        <f ca="1">TODAY()-6</f>
        <v>44177</v>
      </c>
      <c r="AO10" s="78"/>
      <c r="AP10" s="78"/>
    </row>
    <row r="11" spans="1:42" x14ac:dyDescent="0.25">
      <c r="H11" t="s">
        <v>40</v>
      </c>
      <c r="I11" t="s">
        <v>50</v>
      </c>
      <c r="N11" t="s">
        <v>103</v>
      </c>
      <c r="O11" t="str">
        <f>"=WINNER"</f>
        <v>=WINNER</v>
      </c>
      <c r="P11" s="12">
        <f ca="1">TODAY()</f>
        <v>44183</v>
      </c>
      <c r="Q11" s="12">
        <f ca="1">TODAY()-1</f>
        <v>44182</v>
      </c>
      <c r="R11" s="12">
        <f ca="1">TODAY()-2</f>
        <v>44181</v>
      </c>
      <c r="S11" s="12">
        <f ca="1">TODAY()-3</f>
        <v>44180</v>
      </c>
      <c r="T11" s="12"/>
      <c r="U11" s="12"/>
      <c r="V11" s="12"/>
      <c r="W11" s="12"/>
      <c r="Z11" s="20">
        <v>7</v>
      </c>
      <c r="AA11" s="5">
        <v>181.78</v>
      </c>
      <c r="AO11" s="78"/>
      <c r="AP11" s="78"/>
    </row>
    <row r="12" spans="1:42" x14ac:dyDescent="0.25">
      <c r="I12" t="s">
        <v>51</v>
      </c>
      <c r="O12" t="s">
        <v>64</v>
      </c>
      <c r="P12" s="12" t="s">
        <v>2</v>
      </c>
      <c r="Q12" s="12" t="s">
        <v>2</v>
      </c>
      <c r="R12" s="12" t="s">
        <v>2</v>
      </c>
      <c r="S12" s="12" t="s">
        <v>2</v>
      </c>
      <c r="T12" s="12" t="s">
        <v>2</v>
      </c>
      <c r="U12" s="12" t="s">
        <v>2</v>
      </c>
      <c r="V12" s="12" t="s">
        <v>2</v>
      </c>
      <c r="Z12" s="20">
        <v>8</v>
      </c>
      <c r="AA12" s="5">
        <v>146.76</v>
      </c>
      <c r="AO12" s="78"/>
      <c r="AP12" s="78"/>
    </row>
    <row r="13" spans="1:42" x14ac:dyDescent="0.25">
      <c r="I13" t="s">
        <v>52</v>
      </c>
      <c r="N13" t="s">
        <v>104</v>
      </c>
      <c r="O13" t="str">
        <f>"=WINNER"</f>
        <v>=WINNER</v>
      </c>
      <c r="P13" s="12">
        <f ca="1">TODAY()</f>
        <v>44183</v>
      </c>
      <c r="Q13" s="12">
        <f ca="1">TODAY()-1</f>
        <v>44182</v>
      </c>
      <c r="R13" s="12">
        <f ca="1">TODAY()-2</f>
        <v>44181</v>
      </c>
      <c r="S13" s="12">
        <f ca="1">TODAY()-3</f>
        <v>44180</v>
      </c>
      <c r="T13" s="12">
        <f ca="1">TODAY()-4</f>
        <v>44179</v>
      </c>
      <c r="Z13" s="20">
        <v>9</v>
      </c>
      <c r="AA13" s="5">
        <v>126.16999999999999</v>
      </c>
      <c r="AO13" s="78"/>
      <c r="AP13" s="78"/>
    </row>
    <row r="14" spans="1:42" x14ac:dyDescent="0.25">
      <c r="I14" t="s">
        <v>53</v>
      </c>
      <c r="O14" t="s">
        <v>64</v>
      </c>
      <c r="P14" s="12" t="s">
        <v>2</v>
      </c>
      <c r="Q14" s="12" t="s">
        <v>2</v>
      </c>
      <c r="R14" s="12" t="s">
        <v>2</v>
      </c>
      <c r="S14" s="12" t="s">
        <v>2</v>
      </c>
      <c r="T14" s="12" t="s">
        <v>2</v>
      </c>
      <c r="U14" s="12" t="s">
        <v>2</v>
      </c>
      <c r="V14" s="12" t="s">
        <v>2</v>
      </c>
      <c r="Z14" s="20">
        <v>10</v>
      </c>
      <c r="AA14" s="5">
        <v>80.389999999999986</v>
      </c>
      <c r="AO14" s="78"/>
      <c r="AP14" s="78"/>
    </row>
    <row r="15" spans="1:42" x14ac:dyDescent="0.25">
      <c r="I15" t="s">
        <v>54</v>
      </c>
      <c r="N15" t="s">
        <v>105</v>
      </c>
      <c r="O15" t="str">
        <f>"=WINNER"</f>
        <v>=WINNER</v>
      </c>
      <c r="P15" s="12">
        <f ca="1">TODAY()</f>
        <v>44183</v>
      </c>
      <c r="Q15" s="12">
        <f ca="1">TODAY()-1</f>
        <v>44182</v>
      </c>
      <c r="R15" s="12">
        <f ca="1">TODAY()-2</f>
        <v>44181</v>
      </c>
      <c r="S15" s="12">
        <f ca="1">TODAY()-3</f>
        <v>44180</v>
      </c>
      <c r="T15" s="12">
        <f ca="1">TODAY()-4</f>
        <v>44179</v>
      </c>
      <c r="U15" s="12">
        <f ca="1">TODAY()-5</f>
        <v>44178</v>
      </c>
      <c r="Z15" s="20">
        <v>11</v>
      </c>
      <c r="AA15" s="5">
        <v>34.529999999999987</v>
      </c>
      <c r="AO15" s="78"/>
      <c r="AP15" s="78"/>
    </row>
    <row r="16" spans="1:42" x14ac:dyDescent="0.25">
      <c r="I16" t="s">
        <v>55</v>
      </c>
      <c r="O16" t="s">
        <v>64</v>
      </c>
      <c r="P16" s="12" t="s">
        <v>2</v>
      </c>
      <c r="Q16" s="12" t="s">
        <v>2</v>
      </c>
      <c r="R16" s="12" t="s">
        <v>2</v>
      </c>
      <c r="S16" s="12" t="s">
        <v>2</v>
      </c>
      <c r="T16" s="12" t="s">
        <v>2</v>
      </c>
      <c r="U16" s="12" t="s">
        <v>2</v>
      </c>
      <c r="V16" s="12" t="s">
        <v>2</v>
      </c>
      <c r="Z16" s="20">
        <v>12</v>
      </c>
      <c r="AA16" s="5">
        <v>-10.38000000000001</v>
      </c>
      <c r="AO16" s="78"/>
      <c r="AP16" s="78"/>
    </row>
    <row r="17" spans="1:42" x14ac:dyDescent="0.25">
      <c r="I17" t="s">
        <v>56</v>
      </c>
      <c r="N17" t="s">
        <v>106</v>
      </c>
      <c r="O17" t="str">
        <f>"=WINNER"</f>
        <v>=WINNER</v>
      </c>
      <c r="P17" s="12" t="str">
        <f>"=TODAY()"</f>
        <v>=TODAY()</v>
      </c>
      <c r="Q17" s="12">
        <f ca="1">TODAY()-1</f>
        <v>44182</v>
      </c>
      <c r="R17" s="12">
        <f ca="1">TODAY()-2</f>
        <v>44181</v>
      </c>
      <c r="S17" s="12" t="str">
        <f>"=(TODAY()-3)"</f>
        <v>=(TODAY()-3)</v>
      </c>
      <c r="T17" s="12">
        <f ca="1">TODAY()-4</f>
        <v>44179</v>
      </c>
      <c r="U17" s="12">
        <f ca="1">TODAY()-5</f>
        <v>44178</v>
      </c>
      <c r="V17" s="12">
        <f ca="1">TODAY()-6</f>
        <v>44177</v>
      </c>
      <c r="Z17" s="20">
        <v>13</v>
      </c>
      <c r="AA17" s="5">
        <v>-45.190000000000012</v>
      </c>
      <c r="AB17" s="12" t="s">
        <v>2</v>
      </c>
      <c r="AC17" s="12" t="s">
        <v>2</v>
      </c>
      <c r="AD17" s="12" t="s">
        <v>2</v>
      </c>
      <c r="AE17" s="12" t="s">
        <v>2</v>
      </c>
      <c r="AF17" s="12" t="s">
        <v>2</v>
      </c>
      <c r="AG17" s="12" t="s">
        <v>2</v>
      </c>
      <c r="AH17" s="12" t="s">
        <v>2</v>
      </c>
      <c r="AO17" s="78"/>
      <c r="AP17" s="78"/>
    </row>
    <row r="18" spans="1:42" ht="15.75" thickBot="1" x14ac:dyDescent="0.3">
      <c r="I18" t="s">
        <v>92</v>
      </c>
      <c r="S18" s="12" t="s">
        <v>2</v>
      </c>
      <c r="Z18" s="20">
        <v>14</v>
      </c>
      <c r="AA18" s="5">
        <v>-61.820000000000007</v>
      </c>
      <c r="AB18" s="12">
        <f ca="1">TODAY()</f>
        <v>44183</v>
      </c>
      <c r="AC18" s="12"/>
      <c r="AO18" s="79"/>
      <c r="AP18" s="79"/>
    </row>
    <row r="19" spans="1:42" x14ac:dyDescent="0.25">
      <c r="S19" s="12" t="str">
        <f ca="1">CONCATENATE("=",S21)</f>
        <v>=44180</v>
      </c>
      <c r="Z19" s="20">
        <v>15</v>
      </c>
      <c r="AA19" s="5">
        <v>-99.52000000000001</v>
      </c>
    </row>
    <row r="20" spans="1:42" x14ac:dyDescent="0.25">
      <c r="S20" s="12" t="s">
        <v>107</v>
      </c>
      <c r="Z20" s="20">
        <v>16</v>
      </c>
      <c r="AA20" s="5">
        <v>-148.04000000000002</v>
      </c>
    </row>
    <row r="21" spans="1:42" x14ac:dyDescent="0.25">
      <c r="A21" t="s">
        <v>77</v>
      </c>
      <c r="S21" s="12">
        <f ca="1">TODAY()-3</f>
        <v>44180</v>
      </c>
      <c r="Z21" s="20">
        <v>17</v>
      </c>
      <c r="AA21" s="5">
        <v>-173.76000000000002</v>
      </c>
    </row>
    <row r="22" spans="1:42" x14ac:dyDescent="0.25">
      <c r="A22" t="s">
        <v>119</v>
      </c>
      <c r="Z22" s="20">
        <v>18</v>
      </c>
      <c r="AA22" s="5">
        <v>-196.91000000000003</v>
      </c>
    </row>
    <row r="23" spans="1:42" x14ac:dyDescent="0.25">
      <c r="A23" t="s">
        <v>78</v>
      </c>
      <c r="Z23" s="20">
        <v>19</v>
      </c>
      <c r="AA23" s="5">
        <v>-208.12000000000003</v>
      </c>
      <c r="AN23" t="str">
        <f t="shared" ref="AN23:AN69" si="3">IF(AND(AL22&gt;0, AL22&lt;1000000), AM22,"")</f>
        <v/>
      </c>
    </row>
    <row r="24" spans="1:42" x14ac:dyDescent="0.25">
      <c r="A24" t="s">
        <v>160</v>
      </c>
      <c r="Z24" s="20">
        <v>20</v>
      </c>
      <c r="AA24" s="5">
        <v>-228.39000000000004</v>
      </c>
      <c r="AN24" t="str">
        <f t="shared" si="3"/>
        <v/>
      </c>
    </row>
    <row r="25" spans="1:42" x14ac:dyDescent="0.25">
      <c r="A25" t="s">
        <v>165</v>
      </c>
      <c r="Z25" s="20">
        <v>21</v>
      </c>
      <c r="AA25" s="5">
        <v>-241.25400000000005</v>
      </c>
      <c r="AN25" t="str">
        <f t="shared" si="3"/>
        <v/>
      </c>
    </row>
    <row r="26" spans="1:42" x14ac:dyDescent="0.25">
      <c r="Z26" s="20">
        <v>22</v>
      </c>
      <c r="AA26" s="5">
        <v>-196.29400000000004</v>
      </c>
      <c r="AN26" t="str">
        <f t="shared" si="3"/>
        <v/>
      </c>
    </row>
    <row r="27" spans="1:42" x14ac:dyDescent="0.25">
      <c r="A27" t="s">
        <v>120</v>
      </c>
      <c r="Z27" s="20">
        <v>23</v>
      </c>
      <c r="AA27" s="5">
        <v>-223.90400000000005</v>
      </c>
      <c r="AN27" t="str">
        <f t="shared" si="3"/>
        <v/>
      </c>
    </row>
    <row r="28" spans="1:42" x14ac:dyDescent="0.25">
      <c r="A28" t="s">
        <v>126</v>
      </c>
      <c r="Z28" s="20">
        <v>24</v>
      </c>
      <c r="AA28" s="5">
        <v>-241.36400000000006</v>
      </c>
      <c r="AN28" t="str">
        <f t="shared" si="3"/>
        <v/>
      </c>
    </row>
    <row r="29" spans="1:42" x14ac:dyDescent="0.25">
      <c r="A29" t="s">
        <v>127</v>
      </c>
      <c r="Z29" s="20">
        <v>25</v>
      </c>
      <c r="AA29" s="5">
        <v>-255.40400000000005</v>
      </c>
      <c r="AN29" t="str">
        <f t="shared" si="3"/>
        <v/>
      </c>
    </row>
    <row r="30" spans="1:42" x14ac:dyDescent="0.25">
      <c r="A30" t="s">
        <v>128</v>
      </c>
      <c r="Z30" s="20">
        <v>26</v>
      </c>
      <c r="AA30" s="5">
        <v>-240.25400000000005</v>
      </c>
      <c r="AN30" t="str">
        <f t="shared" si="3"/>
        <v/>
      </c>
    </row>
    <row r="31" spans="1:42" x14ac:dyDescent="0.25">
      <c r="A31" t="s">
        <v>129</v>
      </c>
      <c r="Z31" s="20">
        <v>27</v>
      </c>
      <c r="AA31" s="5">
        <v>-260.99400000000003</v>
      </c>
      <c r="AN31" t="str">
        <f t="shared" si="3"/>
        <v/>
      </c>
    </row>
    <row r="32" spans="1:42" x14ac:dyDescent="0.25">
      <c r="A32" t="s">
        <v>134</v>
      </c>
      <c r="Z32" s="20">
        <v>28</v>
      </c>
      <c r="AA32" s="5">
        <v>-239.16400000000004</v>
      </c>
      <c r="AN32" t="str">
        <f t="shared" si="3"/>
        <v/>
      </c>
    </row>
    <row r="33" spans="1:40" x14ac:dyDescent="0.25">
      <c r="A33" t="s">
        <v>133</v>
      </c>
      <c r="Z33" s="20">
        <v>29</v>
      </c>
      <c r="AA33" s="5">
        <v>-265.09400000000005</v>
      </c>
      <c r="AN33" t="str">
        <f t="shared" si="3"/>
        <v/>
      </c>
    </row>
    <row r="34" spans="1:40" x14ac:dyDescent="0.25">
      <c r="A34" t="s">
        <v>135</v>
      </c>
      <c r="Z34" s="20">
        <v>30</v>
      </c>
      <c r="AA34" s="5">
        <v>-288.72400000000005</v>
      </c>
      <c r="AN34" t="str">
        <f t="shared" si="3"/>
        <v/>
      </c>
    </row>
    <row r="35" spans="1:40" x14ac:dyDescent="0.25">
      <c r="Z35" s="20">
        <v>31</v>
      </c>
      <c r="AA35" s="5">
        <v>-306.80400000000003</v>
      </c>
      <c r="AN35" t="str">
        <f t="shared" si="3"/>
        <v/>
      </c>
    </row>
    <row r="36" spans="1:40" x14ac:dyDescent="0.25">
      <c r="Z36" s="20">
        <v>32</v>
      </c>
      <c r="AA36" s="5">
        <v>-278.83400000000006</v>
      </c>
      <c r="AN36" t="str">
        <f t="shared" si="3"/>
        <v/>
      </c>
    </row>
    <row r="37" spans="1:40" x14ac:dyDescent="0.25">
      <c r="Z37" s="20">
        <v>33</v>
      </c>
      <c r="AA37" s="5">
        <v>-251.37400000000005</v>
      </c>
      <c r="AN37" t="str">
        <f t="shared" si="3"/>
        <v/>
      </c>
    </row>
    <row r="38" spans="1:40" x14ac:dyDescent="0.25">
      <c r="A38" t="s">
        <v>177</v>
      </c>
      <c r="Z38" s="20">
        <v>34</v>
      </c>
      <c r="AA38" s="5">
        <v>-268.91400000000004</v>
      </c>
      <c r="AN38" t="str">
        <f t="shared" si="3"/>
        <v/>
      </c>
    </row>
    <row r="39" spans="1:40" x14ac:dyDescent="0.25">
      <c r="A39" t="s">
        <v>178</v>
      </c>
      <c r="Z39" s="20">
        <v>35</v>
      </c>
      <c r="AA39" s="5">
        <v>-285.96400000000006</v>
      </c>
      <c r="AN39" t="str">
        <f t="shared" si="3"/>
        <v/>
      </c>
    </row>
    <row r="40" spans="1:40" x14ac:dyDescent="0.25">
      <c r="A40" t="s">
        <v>180</v>
      </c>
      <c r="Z40" s="20">
        <v>36</v>
      </c>
      <c r="AA40" s="5">
        <v>-307.98400000000004</v>
      </c>
      <c r="AN40" t="str">
        <f t="shared" si="3"/>
        <v/>
      </c>
    </row>
    <row r="41" spans="1:40" x14ac:dyDescent="0.25">
      <c r="A41" t="s">
        <v>189</v>
      </c>
      <c r="Z41" s="20">
        <v>37</v>
      </c>
      <c r="AA41" s="5">
        <v>-329.79400000000004</v>
      </c>
      <c r="AN41" t="str">
        <f t="shared" si="3"/>
        <v/>
      </c>
    </row>
    <row r="42" spans="1:40" x14ac:dyDescent="0.25">
      <c r="A42" t="s">
        <v>287</v>
      </c>
      <c r="Z42" s="20">
        <v>38</v>
      </c>
      <c r="AA42" s="5">
        <v>-346.76400000000001</v>
      </c>
      <c r="AN42" t="str">
        <f t="shared" si="3"/>
        <v/>
      </c>
    </row>
    <row r="43" spans="1:40" x14ac:dyDescent="0.25">
      <c r="Z43" s="20">
        <v>39</v>
      </c>
      <c r="AA43" s="5">
        <v>-362.80400000000003</v>
      </c>
      <c r="AN43" t="str">
        <f t="shared" si="3"/>
        <v/>
      </c>
    </row>
    <row r="44" spans="1:40" x14ac:dyDescent="0.25">
      <c r="Z44" s="20">
        <v>40</v>
      </c>
      <c r="AA44" s="5">
        <v>-338.85400000000004</v>
      </c>
      <c r="AN44" t="str">
        <f t="shared" si="3"/>
        <v/>
      </c>
    </row>
    <row r="45" spans="1:40" x14ac:dyDescent="0.25">
      <c r="Z45" s="20">
        <v>41</v>
      </c>
      <c r="AA45" s="5">
        <v>-353.42400000000004</v>
      </c>
      <c r="AN45" t="str">
        <f t="shared" si="3"/>
        <v/>
      </c>
    </row>
    <row r="46" spans="1:40" x14ac:dyDescent="0.25">
      <c r="A46" t="s">
        <v>314</v>
      </c>
      <c r="Z46" s="20">
        <v>42</v>
      </c>
      <c r="AA46" s="5">
        <v>-334.88400000000001</v>
      </c>
      <c r="AN46" t="str">
        <f t="shared" si="3"/>
        <v/>
      </c>
    </row>
    <row r="47" spans="1:40" x14ac:dyDescent="0.25">
      <c r="A47" t="s">
        <v>315</v>
      </c>
      <c r="Z47" s="20">
        <v>43</v>
      </c>
      <c r="AA47" s="5">
        <v>-356.154</v>
      </c>
      <c r="AN47" t="str">
        <f t="shared" si="3"/>
        <v/>
      </c>
    </row>
    <row r="48" spans="1:40" x14ac:dyDescent="0.25">
      <c r="Z48" s="20">
        <v>44</v>
      </c>
      <c r="AA48" s="5">
        <v>-370.024</v>
      </c>
      <c r="AN48" t="str">
        <f t="shared" si="3"/>
        <v/>
      </c>
    </row>
    <row r="49" spans="26:40" x14ac:dyDescent="0.25">
      <c r="Z49" s="20">
        <v>45</v>
      </c>
      <c r="AA49" s="5">
        <v>-346.06400000000002</v>
      </c>
      <c r="AN49" t="str">
        <f t="shared" si="3"/>
        <v/>
      </c>
    </row>
    <row r="50" spans="26:40" x14ac:dyDescent="0.25">
      <c r="Z50" s="20">
        <v>46</v>
      </c>
      <c r="AA50" s="5">
        <v>-320.09400000000005</v>
      </c>
      <c r="AN50" t="str">
        <f t="shared" si="3"/>
        <v/>
      </c>
    </row>
    <row r="51" spans="26:40" x14ac:dyDescent="0.25">
      <c r="Z51" s="20">
        <v>47</v>
      </c>
      <c r="AA51" s="5">
        <v>-334.01400000000007</v>
      </c>
      <c r="AN51" t="str">
        <f t="shared" si="3"/>
        <v/>
      </c>
    </row>
    <row r="52" spans="26:40" x14ac:dyDescent="0.25">
      <c r="Z52" s="20">
        <v>48</v>
      </c>
      <c r="AA52" s="5">
        <v>-347.37400000000008</v>
      </c>
      <c r="AN52" t="str">
        <f t="shared" si="3"/>
        <v/>
      </c>
    </row>
    <row r="53" spans="26:40" x14ac:dyDescent="0.25">
      <c r="Z53" s="20">
        <v>49</v>
      </c>
      <c r="AA53" s="5">
        <v>-363.63400000000007</v>
      </c>
      <c r="AN53" t="str">
        <f t="shared" si="3"/>
        <v/>
      </c>
    </row>
    <row r="54" spans="26:40" x14ac:dyDescent="0.25">
      <c r="Z54" s="20">
        <v>50</v>
      </c>
      <c r="AA54" s="5">
        <v>-374.94400000000007</v>
      </c>
      <c r="AN54" t="str">
        <f t="shared" si="3"/>
        <v/>
      </c>
    </row>
    <row r="55" spans="26:40" x14ac:dyDescent="0.25">
      <c r="Z55" s="20">
        <v>51</v>
      </c>
      <c r="AA55" s="5">
        <v>-352.01400000000007</v>
      </c>
      <c r="AN55" t="str">
        <f t="shared" si="3"/>
        <v/>
      </c>
    </row>
    <row r="56" spans="26:40" x14ac:dyDescent="0.25">
      <c r="Z56" s="20">
        <v>52</v>
      </c>
      <c r="AA56" s="5">
        <v>-376.68400000000008</v>
      </c>
      <c r="AN56" t="str">
        <f t="shared" si="3"/>
        <v/>
      </c>
    </row>
    <row r="57" spans="26:40" x14ac:dyDescent="0.25">
      <c r="Z57" s="20">
        <v>53</v>
      </c>
      <c r="AA57" s="5">
        <v>-351.0440000000001</v>
      </c>
      <c r="AN57" t="str">
        <f t="shared" si="3"/>
        <v/>
      </c>
    </row>
    <row r="58" spans="26:40" x14ac:dyDescent="0.25">
      <c r="Z58" s="20">
        <v>54</v>
      </c>
      <c r="AA58" s="5">
        <v>-324.06400000000008</v>
      </c>
      <c r="AN58" t="str">
        <f t="shared" si="3"/>
        <v/>
      </c>
    </row>
    <row r="59" spans="26:40" x14ac:dyDescent="0.25">
      <c r="Z59" s="20">
        <v>55</v>
      </c>
      <c r="AA59" s="5">
        <v>-349.17400000000009</v>
      </c>
      <c r="AN59" t="str">
        <f t="shared" si="3"/>
        <v/>
      </c>
    </row>
    <row r="60" spans="26:40" x14ac:dyDescent="0.25">
      <c r="Z60" s="20">
        <v>56</v>
      </c>
      <c r="AA60" s="5">
        <v>-321.20400000000006</v>
      </c>
      <c r="AN60" t="str">
        <f t="shared" si="3"/>
        <v/>
      </c>
    </row>
    <row r="61" spans="26:40" x14ac:dyDescent="0.25">
      <c r="Z61" s="20">
        <v>57</v>
      </c>
      <c r="AA61" s="5">
        <v>-296.78400000000005</v>
      </c>
      <c r="AN61" t="str">
        <f t="shared" si="3"/>
        <v/>
      </c>
    </row>
    <row r="62" spans="26:40" x14ac:dyDescent="0.25">
      <c r="Z62" s="20">
        <v>58</v>
      </c>
      <c r="AA62" s="5">
        <v>-319.78400000000005</v>
      </c>
      <c r="AN62" t="str">
        <f t="shared" si="3"/>
        <v/>
      </c>
    </row>
    <row r="63" spans="26:40" x14ac:dyDescent="0.25">
      <c r="Z63" s="20">
        <v>59</v>
      </c>
      <c r="AA63" s="5">
        <v>-343.78400000000005</v>
      </c>
      <c r="AN63" t="str">
        <f t="shared" si="3"/>
        <v/>
      </c>
    </row>
    <row r="64" spans="26:40" x14ac:dyDescent="0.25">
      <c r="Z64" s="20">
        <v>60</v>
      </c>
      <c r="AA64" s="5">
        <v>-315.94400000000007</v>
      </c>
      <c r="AN64" t="str">
        <f t="shared" si="3"/>
        <v/>
      </c>
    </row>
    <row r="65" spans="26:40" x14ac:dyDescent="0.25">
      <c r="Z65" s="20">
        <v>61</v>
      </c>
      <c r="AA65" s="5">
        <v>-291.94400000000007</v>
      </c>
      <c r="AN65" t="str">
        <f t="shared" si="3"/>
        <v/>
      </c>
    </row>
    <row r="66" spans="26:40" x14ac:dyDescent="0.25">
      <c r="Z66" s="20">
        <v>62</v>
      </c>
      <c r="AA66" s="5">
        <v>-314.4140000000001</v>
      </c>
      <c r="AN66" t="str">
        <f t="shared" si="3"/>
        <v/>
      </c>
    </row>
    <row r="67" spans="26:40" x14ac:dyDescent="0.25">
      <c r="Z67" s="20">
        <v>63</v>
      </c>
      <c r="AA67" s="5">
        <v>-284.93400000000008</v>
      </c>
      <c r="AN67" t="str">
        <f t="shared" si="3"/>
        <v/>
      </c>
    </row>
    <row r="68" spans="26:40" x14ac:dyDescent="0.25">
      <c r="Z68" s="20">
        <v>64</v>
      </c>
      <c r="AA68" s="5">
        <v>-295.52400000000006</v>
      </c>
      <c r="AN68" t="str">
        <f t="shared" si="3"/>
        <v/>
      </c>
    </row>
    <row r="69" spans="26:40" x14ac:dyDescent="0.25">
      <c r="Z69" s="20">
        <v>65</v>
      </c>
      <c r="AA69" s="5">
        <v>-267.54400000000004</v>
      </c>
      <c r="AN69" t="str">
        <f t="shared" si="3"/>
        <v/>
      </c>
    </row>
    <row r="70" spans="26:40" x14ac:dyDescent="0.25">
      <c r="Z70" s="20">
        <v>66</v>
      </c>
      <c r="AA70" s="5">
        <v>-290.58400000000006</v>
      </c>
      <c r="AN70" t="str">
        <f t="shared" ref="AN70:AN133" si="4">IF(AND(AL69&gt;0, AL69&lt;1000000), AM69,"")</f>
        <v/>
      </c>
    </row>
    <row r="71" spans="26:40" x14ac:dyDescent="0.25">
      <c r="Z71" s="20">
        <v>67</v>
      </c>
      <c r="AA71" s="5">
        <v>-310.04400000000004</v>
      </c>
      <c r="AN71" t="str">
        <f t="shared" si="4"/>
        <v/>
      </c>
    </row>
    <row r="72" spans="26:40" x14ac:dyDescent="0.25">
      <c r="Z72" s="20">
        <v>68</v>
      </c>
      <c r="AA72" s="5">
        <v>-331.33400000000006</v>
      </c>
      <c r="AN72" t="str">
        <f t="shared" si="4"/>
        <v/>
      </c>
    </row>
    <row r="73" spans="26:40" x14ac:dyDescent="0.25">
      <c r="Z73" s="20">
        <v>69</v>
      </c>
      <c r="AA73" s="5">
        <v>-355.95400000000006</v>
      </c>
      <c r="AN73" t="str">
        <f t="shared" si="4"/>
        <v/>
      </c>
    </row>
    <row r="74" spans="26:40" x14ac:dyDescent="0.25">
      <c r="Z74" s="20">
        <v>70</v>
      </c>
      <c r="AA74" s="5">
        <v>-330.25400000000008</v>
      </c>
      <c r="AN74" t="str">
        <f t="shared" si="4"/>
        <v/>
      </c>
    </row>
    <row r="75" spans="26:40" x14ac:dyDescent="0.25">
      <c r="Z75" s="20">
        <v>71</v>
      </c>
      <c r="AA75" s="5">
        <v>-305.17400000000009</v>
      </c>
      <c r="AN75" t="str">
        <f t="shared" si="4"/>
        <v/>
      </c>
    </row>
    <row r="76" spans="26:40" x14ac:dyDescent="0.25">
      <c r="Z76" s="20">
        <v>72</v>
      </c>
      <c r="AA76" s="5">
        <v>-331.78400000000011</v>
      </c>
      <c r="AN76" t="str">
        <f t="shared" si="4"/>
        <v/>
      </c>
    </row>
    <row r="77" spans="26:40" x14ac:dyDescent="0.25">
      <c r="Z77" s="20">
        <v>73</v>
      </c>
      <c r="AA77" s="5">
        <v>-356.82400000000013</v>
      </c>
      <c r="AN77" t="str">
        <f t="shared" si="4"/>
        <v/>
      </c>
    </row>
    <row r="78" spans="26:40" x14ac:dyDescent="0.25">
      <c r="Z78" s="20">
        <v>74</v>
      </c>
      <c r="AA78" s="5">
        <v>-377.30400000000014</v>
      </c>
      <c r="AN78" t="str">
        <f t="shared" si="4"/>
        <v/>
      </c>
    </row>
    <row r="79" spans="26:40" x14ac:dyDescent="0.25">
      <c r="Z79" s="20">
        <v>75</v>
      </c>
      <c r="AA79" s="5">
        <v>-354.40400000000017</v>
      </c>
      <c r="AN79" t="str">
        <f t="shared" si="4"/>
        <v/>
      </c>
    </row>
    <row r="80" spans="26:40" x14ac:dyDescent="0.25">
      <c r="Z80" s="20">
        <v>76</v>
      </c>
      <c r="AA80" s="5">
        <v>-375.85400000000016</v>
      </c>
      <c r="AN80" t="str">
        <f t="shared" si="4"/>
        <v/>
      </c>
    </row>
    <row r="81" spans="26:40" x14ac:dyDescent="0.25">
      <c r="Z81" s="20">
        <v>77</v>
      </c>
      <c r="AA81" s="5">
        <v>-404.53400000000016</v>
      </c>
      <c r="AN81" t="str">
        <f t="shared" si="4"/>
        <v/>
      </c>
    </row>
    <row r="82" spans="26:40" x14ac:dyDescent="0.25">
      <c r="Z82" s="20">
        <v>78</v>
      </c>
      <c r="AA82" s="5">
        <v>-424.20400000000018</v>
      </c>
      <c r="AN82" t="str">
        <f t="shared" si="4"/>
        <v/>
      </c>
    </row>
    <row r="83" spans="26:40" x14ac:dyDescent="0.25">
      <c r="Z83" s="20">
        <v>79</v>
      </c>
      <c r="AA83" s="5">
        <v>-437.91400000000016</v>
      </c>
      <c r="AN83" t="str">
        <f t="shared" si="4"/>
        <v/>
      </c>
    </row>
    <row r="84" spans="26:40" x14ac:dyDescent="0.25">
      <c r="Z84" s="20">
        <v>80</v>
      </c>
      <c r="AA84" s="5">
        <v>-458.23400000000015</v>
      </c>
      <c r="AN84" t="str">
        <f t="shared" si="4"/>
        <v/>
      </c>
    </row>
    <row r="85" spans="26:40" x14ac:dyDescent="0.25">
      <c r="Z85" s="20">
        <v>81</v>
      </c>
      <c r="AA85" s="5">
        <v>-433.19400000000013</v>
      </c>
      <c r="AN85" t="str">
        <f t="shared" si="4"/>
        <v/>
      </c>
    </row>
    <row r="86" spans="26:40" x14ac:dyDescent="0.25">
      <c r="Z86" s="20">
        <v>82</v>
      </c>
      <c r="AA86" s="5">
        <v>-405.71400000000011</v>
      </c>
      <c r="AN86" t="str">
        <f t="shared" si="4"/>
        <v/>
      </c>
    </row>
    <row r="87" spans="26:40" x14ac:dyDescent="0.25">
      <c r="Z87" s="20">
        <v>83</v>
      </c>
      <c r="AA87" s="5">
        <v>-432.75400000000013</v>
      </c>
      <c r="AN87" t="str">
        <f t="shared" si="4"/>
        <v/>
      </c>
    </row>
    <row r="88" spans="26:40" x14ac:dyDescent="0.25">
      <c r="Z88" s="20">
        <v>84</v>
      </c>
      <c r="AA88" s="5">
        <v>-405.73400000000015</v>
      </c>
      <c r="AN88" t="str">
        <f t="shared" si="4"/>
        <v/>
      </c>
    </row>
    <row r="89" spans="26:40" x14ac:dyDescent="0.25">
      <c r="Z89" s="20">
        <v>85</v>
      </c>
      <c r="AA89" s="5">
        <v>-432.38400000000013</v>
      </c>
      <c r="AN89" t="str">
        <f t="shared" si="4"/>
        <v/>
      </c>
    </row>
    <row r="90" spans="26:40" x14ac:dyDescent="0.25">
      <c r="Z90" s="20">
        <v>86</v>
      </c>
      <c r="AA90" s="5">
        <v>-454.14400000000012</v>
      </c>
      <c r="AN90" t="str">
        <f t="shared" si="4"/>
        <v/>
      </c>
    </row>
    <row r="91" spans="26:40" x14ac:dyDescent="0.25">
      <c r="Z91" s="20">
        <v>87</v>
      </c>
      <c r="AA91" s="5">
        <v>-477.12400000000014</v>
      </c>
      <c r="AN91" t="str">
        <f t="shared" si="4"/>
        <v/>
      </c>
    </row>
    <row r="92" spans="26:40" x14ac:dyDescent="0.25">
      <c r="Z92" s="20">
        <v>88</v>
      </c>
      <c r="AA92" s="5">
        <v>-498.80400000000014</v>
      </c>
      <c r="AN92" t="str">
        <f t="shared" si="4"/>
        <v/>
      </c>
    </row>
    <row r="93" spans="26:40" x14ac:dyDescent="0.25">
      <c r="Z93" s="20">
        <v>89</v>
      </c>
      <c r="AA93" s="5">
        <v>-470.46400000000017</v>
      </c>
      <c r="AN93" t="str">
        <f t="shared" si="4"/>
        <v/>
      </c>
    </row>
    <row r="94" spans="26:40" x14ac:dyDescent="0.25">
      <c r="Z94" s="20">
        <v>90</v>
      </c>
      <c r="AA94" s="5">
        <v>-491.00400000000019</v>
      </c>
      <c r="AN94" t="str">
        <f t="shared" si="4"/>
        <v/>
      </c>
    </row>
    <row r="95" spans="26:40" x14ac:dyDescent="0.25">
      <c r="Z95" s="20">
        <v>91</v>
      </c>
      <c r="AA95" s="5">
        <v>-463.60400000000021</v>
      </c>
      <c r="AN95" t="str">
        <f t="shared" si="4"/>
        <v/>
      </c>
    </row>
    <row r="96" spans="26:40" x14ac:dyDescent="0.25">
      <c r="Z96" s="20">
        <v>92</v>
      </c>
      <c r="AA96" s="5">
        <v>-442.52400000000023</v>
      </c>
      <c r="AN96" t="str">
        <f t="shared" si="4"/>
        <v/>
      </c>
    </row>
    <row r="97" spans="26:40" x14ac:dyDescent="0.25">
      <c r="Z97" s="20">
        <v>93</v>
      </c>
      <c r="AA97" s="5">
        <v>-415.03400000000022</v>
      </c>
      <c r="AN97" t="str">
        <f t="shared" si="4"/>
        <v/>
      </c>
    </row>
    <row r="98" spans="26:40" x14ac:dyDescent="0.25">
      <c r="Z98" s="20">
        <v>94</v>
      </c>
      <c r="AA98" s="5">
        <v>-392.42400000000021</v>
      </c>
      <c r="AN98" t="str">
        <f t="shared" si="4"/>
        <v/>
      </c>
    </row>
    <row r="99" spans="26:40" x14ac:dyDescent="0.25">
      <c r="Z99" s="20">
        <v>95</v>
      </c>
      <c r="AA99" s="5">
        <v>-362.46400000000023</v>
      </c>
      <c r="AN99" t="str">
        <f t="shared" si="4"/>
        <v/>
      </c>
    </row>
    <row r="100" spans="26:40" x14ac:dyDescent="0.25">
      <c r="Z100" s="20">
        <v>96</v>
      </c>
      <c r="AA100" s="5">
        <v>-372.7440000000002</v>
      </c>
      <c r="AN100" t="str">
        <f t="shared" si="4"/>
        <v/>
      </c>
    </row>
    <row r="101" spans="26:40" x14ac:dyDescent="0.25">
      <c r="Z101" s="20" t="s">
        <v>98</v>
      </c>
      <c r="AA101" s="5">
        <v>-26357.864000000005</v>
      </c>
      <c r="AN101" t="str">
        <f t="shared" si="4"/>
        <v/>
      </c>
    </row>
    <row r="102" spans="26:40" x14ac:dyDescent="0.25">
      <c r="AN102" t="str">
        <f t="shared" si="4"/>
        <v/>
      </c>
    </row>
    <row r="103" spans="26:40" x14ac:dyDescent="0.25">
      <c r="AN103" t="str">
        <f t="shared" si="4"/>
        <v/>
      </c>
    </row>
    <row r="104" spans="26:40" x14ac:dyDescent="0.25">
      <c r="AN104" t="str">
        <f t="shared" si="4"/>
        <v/>
      </c>
    </row>
    <row r="105" spans="26:40" x14ac:dyDescent="0.25">
      <c r="AN105" t="str">
        <f t="shared" si="4"/>
        <v/>
      </c>
    </row>
    <row r="106" spans="26:40" x14ac:dyDescent="0.25">
      <c r="AN106" t="str">
        <f t="shared" si="4"/>
        <v/>
      </c>
    </row>
    <row r="107" spans="26:40" x14ac:dyDescent="0.25">
      <c r="AN107" t="str">
        <f t="shared" si="4"/>
        <v/>
      </c>
    </row>
    <row r="108" spans="26:40" x14ac:dyDescent="0.25">
      <c r="AN108" t="str">
        <f t="shared" si="4"/>
        <v/>
      </c>
    </row>
    <row r="109" spans="26:40" x14ac:dyDescent="0.25">
      <c r="AN109" t="str">
        <f t="shared" si="4"/>
        <v/>
      </c>
    </row>
    <row r="110" spans="26:40" x14ac:dyDescent="0.25">
      <c r="AN110" t="str">
        <f t="shared" si="4"/>
        <v/>
      </c>
    </row>
    <row r="111" spans="26:40" x14ac:dyDescent="0.25">
      <c r="AN111" t="str">
        <f t="shared" si="4"/>
        <v/>
      </c>
    </row>
    <row r="112" spans="26:40" x14ac:dyDescent="0.25">
      <c r="AN112" t="str">
        <f t="shared" si="4"/>
        <v/>
      </c>
    </row>
    <row r="113" spans="40:40" x14ac:dyDescent="0.25">
      <c r="AN113" t="str">
        <f t="shared" si="4"/>
        <v/>
      </c>
    </row>
    <row r="114" spans="40:40" x14ac:dyDescent="0.25">
      <c r="AN114" t="str">
        <f t="shared" si="4"/>
        <v/>
      </c>
    </row>
    <row r="115" spans="40:40" x14ac:dyDescent="0.25">
      <c r="AN115" t="str">
        <f t="shared" si="4"/>
        <v/>
      </c>
    </row>
    <row r="116" spans="40:40" x14ac:dyDescent="0.25">
      <c r="AN116" t="str">
        <f t="shared" si="4"/>
        <v/>
      </c>
    </row>
    <row r="117" spans="40:40" x14ac:dyDescent="0.25">
      <c r="AN117" t="str">
        <f t="shared" si="4"/>
        <v/>
      </c>
    </row>
    <row r="118" spans="40:40" x14ac:dyDescent="0.25">
      <c r="AN118" t="str">
        <f t="shared" si="4"/>
        <v/>
      </c>
    </row>
    <row r="119" spans="40:40" x14ac:dyDescent="0.25">
      <c r="AN119" t="str">
        <f t="shared" si="4"/>
        <v/>
      </c>
    </row>
    <row r="120" spans="40:40" x14ac:dyDescent="0.25">
      <c r="AN120" t="str">
        <f t="shared" si="4"/>
        <v/>
      </c>
    </row>
    <row r="121" spans="40:40" x14ac:dyDescent="0.25">
      <c r="AN121" t="str">
        <f t="shared" si="4"/>
        <v/>
      </c>
    </row>
    <row r="122" spans="40:40" x14ac:dyDescent="0.25">
      <c r="AN122" t="str">
        <f t="shared" si="4"/>
        <v/>
      </c>
    </row>
    <row r="123" spans="40:40" x14ac:dyDescent="0.25">
      <c r="AN123" t="str">
        <f t="shared" si="4"/>
        <v/>
      </c>
    </row>
    <row r="124" spans="40:40" x14ac:dyDescent="0.25">
      <c r="AN124" t="str">
        <f t="shared" si="4"/>
        <v/>
      </c>
    </row>
    <row r="125" spans="40:40" x14ac:dyDescent="0.25">
      <c r="AN125" t="str">
        <f t="shared" si="4"/>
        <v/>
      </c>
    </row>
    <row r="126" spans="40:40" x14ac:dyDescent="0.25">
      <c r="AN126" t="str">
        <f t="shared" si="4"/>
        <v/>
      </c>
    </row>
    <row r="127" spans="40:40" x14ac:dyDescent="0.25">
      <c r="AN127" t="str">
        <f t="shared" si="4"/>
        <v/>
      </c>
    </row>
    <row r="128" spans="40:40" x14ac:dyDescent="0.25">
      <c r="AN128" t="str">
        <f t="shared" si="4"/>
        <v/>
      </c>
    </row>
    <row r="129" spans="40:40" x14ac:dyDescent="0.25">
      <c r="AN129" t="str">
        <f t="shared" si="4"/>
        <v/>
      </c>
    </row>
    <row r="130" spans="40:40" x14ac:dyDescent="0.25">
      <c r="AN130" t="str">
        <f t="shared" si="4"/>
        <v/>
      </c>
    </row>
    <row r="131" spans="40:40" x14ac:dyDescent="0.25">
      <c r="AN131" t="str">
        <f t="shared" si="4"/>
        <v/>
      </c>
    </row>
    <row r="132" spans="40:40" x14ac:dyDescent="0.25">
      <c r="AN132" t="str">
        <f t="shared" si="4"/>
        <v/>
      </c>
    </row>
    <row r="133" spans="40:40" x14ac:dyDescent="0.25">
      <c r="AN133" t="str">
        <f t="shared" si="4"/>
        <v/>
      </c>
    </row>
    <row r="134" spans="40:40" x14ac:dyDescent="0.25">
      <c r="AN134" t="str">
        <f t="shared" ref="AN134:AN197" si="5">IF(AND(AL133&gt;0, AL133&lt;1000000), AM133,"")</f>
        <v/>
      </c>
    </row>
    <row r="135" spans="40:40" x14ac:dyDescent="0.25">
      <c r="AN135" t="str">
        <f t="shared" si="5"/>
        <v/>
      </c>
    </row>
    <row r="136" spans="40:40" x14ac:dyDescent="0.25">
      <c r="AN136" t="str">
        <f t="shared" si="5"/>
        <v/>
      </c>
    </row>
    <row r="137" spans="40:40" x14ac:dyDescent="0.25">
      <c r="AN137" t="str">
        <f t="shared" si="5"/>
        <v/>
      </c>
    </row>
    <row r="138" spans="40:40" x14ac:dyDescent="0.25">
      <c r="AN138" t="str">
        <f t="shared" si="5"/>
        <v/>
      </c>
    </row>
    <row r="139" spans="40:40" x14ac:dyDescent="0.25">
      <c r="AN139" t="str">
        <f t="shared" si="5"/>
        <v/>
      </c>
    </row>
    <row r="140" spans="40:40" x14ac:dyDescent="0.25">
      <c r="AN140" t="str">
        <f t="shared" si="5"/>
        <v/>
      </c>
    </row>
    <row r="141" spans="40:40" x14ac:dyDescent="0.25">
      <c r="AN141" t="str">
        <f t="shared" si="5"/>
        <v/>
      </c>
    </row>
    <row r="142" spans="40:40" x14ac:dyDescent="0.25">
      <c r="AN142" t="str">
        <f t="shared" si="5"/>
        <v/>
      </c>
    </row>
    <row r="143" spans="40:40" x14ac:dyDescent="0.25">
      <c r="AN143" t="str">
        <f t="shared" si="5"/>
        <v/>
      </c>
    </row>
    <row r="144" spans="40:40" x14ac:dyDescent="0.25">
      <c r="AN144" t="str">
        <f t="shared" si="5"/>
        <v/>
      </c>
    </row>
    <row r="145" spans="40:40" x14ac:dyDescent="0.25">
      <c r="AN145" t="str">
        <f t="shared" si="5"/>
        <v/>
      </c>
    </row>
    <row r="146" spans="40:40" x14ac:dyDescent="0.25">
      <c r="AN146" t="str">
        <f t="shared" si="5"/>
        <v/>
      </c>
    </row>
    <row r="147" spans="40:40" x14ac:dyDescent="0.25">
      <c r="AN147" t="str">
        <f t="shared" si="5"/>
        <v/>
      </c>
    </row>
    <row r="148" spans="40:40" x14ac:dyDescent="0.25">
      <c r="AN148" t="str">
        <f t="shared" si="5"/>
        <v/>
      </c>
    </row>
    <row r="149" spans="40:40" x14ac:dyDescent="0.25">
      <c r="AN149" t="str">
        <f t="shared" si="5"/>
        <v/>
      </c>
    </row>
    <row r="150" spans="40:40" x14ac:dyDescent="0.25">
      <c r="AN150" t="str">
        <f t="shared" si="5"/>
        <v/>
      </c>
    </row>
    <row r="151" spans="40:40" x14ac:dyDescent="0.25">
      <c r="AN151" t="str">
        <f t="shared" si="5"/>
        <v/>
      </c>
    </row>
    <row r="152" spans="40:40" x14ac:dyDescent="0.25">
      <c r="AN152" t="str">
        <f t="shared" si="5"/>
        <v/>
      </c>
    </row>
    <row r="153" spans="40:40" x14ac:dyDescent="0.25">
      <c r="AN153" t="str">
        <f t="shared" si="5"/>
        <v/>
      </c>
    </row>
    <row r="154" spans="40:40" x14ac:dyDescent="0.25">
      <c r="AN154" t="str">
        <f t="shared" si="5"/>
        <v/>
      </c>
    </row>
    <row r="155" spans="40:40" x14ac:dyDescent="0.25">
      <c r="AN155" t="str">
        <f t="shared" si="5"/>
        <v/>
      </c>
    </row>
    <row r="156" spans="40:40" x14ac:dyDescent="0.25">
      <c r="AN156" t="str">
        <f t="shared" si="5"/>
        <v/>
      </c>
    </row>
    <row r="157" spans="40:40" x14ac:dyDescent="0.25">
      <c r="AN157" t="str">
        <f t="shared" si="5"/>
        <v/>
      </c>
    </row>
    <row r="158" spans="40:40" x14ac:dyDescent="0.25">
      <c r="AN158" t="str">
        <f t="shared" si="5"/>
        <v/>
      </c>
    </row>
    <row r="159" spans="40:40" x14ac:dyDescent="0.25">
      <c r="AN159" t="str">
        <f t="shared" si="5"/>
        <v/>
      </c>
    </row>
    <row r="160" spans="40:40" x14ac:dyDescent="0.25">
      <c r="AN160" t="str">
        <f t="shared" si="5"/>
        <v/>
      </c>
    </row>
    <row r="161" spans="40:40" x14ac:dyDescent="0.25">
      <c r="AN161" t="str">
        <f t="shared" si="5"/>
        <v/>
      </c>
    </row>
    <row r="162" spans="40:40" x14ac:dyDescent="0.25">
      <c r="AN162" t="str">
        <f t="shared" si="5"/>
        <v/>
      </c>
    </row>
    <row r="163" spans="40:40" x14ac:dyDescent="0.25">
      <c r="AN163" t="str">
        <f t="shared" si="5"/>
        <v/>
      </c>
    </row>
    <row r="164" spans="40:40" x14ac:dyDescent="0.25">
      <c r="AN164" t="str">
        <f t="shared" si="5"/>
        <v/>
      </c>
    </row>
    <row r="165" spans="40:40" x14ac:dyDescent="0.25">
      <c r="AN165" t="str">
        <f t="shared" si="5"/>
        <v/>
      </c>
    </row>
    <row r="166" spans="40:40" x14ac:dyDescent="0.25">
      <c r="AN166" t="str">
        <f t="shared" si="5"/>
        <v/>
      </c>
    </row>
    <row r="167" spans="40:40" x14ac:dyDescent="0.25">
      <c r="AN167" t="str">
        <f t="shared" si="5"/>
        <v/>
      </c>
    </row>
    <row r="168" spans="40:40" x14ac:dyDescent="0.25">
      <c r="AN168" t="str">
        <f t="shared" si="5"/>
        <v/>
      </c>
    </row>
    <row r="169" spans="40:40" x14ac:dyDescent="0.25">
      <c r="AN169" t="str">
        <f t="shared" si="5"/>
        <v/>
      </c>
    </row>
    <row r="170" spans="40:40" x14ac:dyDescent="0.25">
      <c r="AN170" t="str">
        <f t="shared" si="5"/>
        <v/>
      </c>
    </row>
    <row r="171" spans="40:40" x14ac:dyDescent="0.25">
      <c r="AN171" t="str">
        <f t="shared" si="5"/>
        <v/>
      </c>
    </row>
    <row r="172" spans="40:40" x14ac:dyDescent="0.25">
      <c r="AN172" t="str">
        <f t="shared" si="5"/>
        <v/>
      </c>
    </row>
    <row r="173" spans="40:40" x14ac:dyDescent="0.25">
      <c r="AN173" t="str">
        <f t="shared" si="5"/>
        <v/>
      </c>
    </row>
    <row r="174" spans="40:40" x14ac:dyDescent="0.25">
      <c r="AN174" t="str">
        <f t="shared" si="5"/>
        <v/>
      </c>
    </row>
    <row r="175" spans="40:40" x14ac:dyDescent="0.25">
      <c r="AN175" t="str">
        <f t="shared" si="5"/>
        <v/>
      </c>
    </row>
    <row r="176" spans="40:40" x14ac:dyDescent="0.25">
      <c r="AN176" t="str">
        <f t="shared" si="5"/>
        <v/>
      </c>
    </row>
    <row r="177" spans="40:40" x14ac:dyDescent="0.25">
      <c r="AN177" t="str">
        <f t="shared" si="5"/>
        <v/>
      </c>
    </row>
    <row r="178" spans="40:40" x14ac:dyDescent="0.25">
      <c r="AN178" t="str">
        <f t="shared" si="5"/>
        <v/>
      </c>
    </row>
    <row r="179" spans="40:40" x14ac:dyDescent="0.25">
      <c r="AN179" t="str">
        <f t="shared" si="5"/>
        <v/>
      </c>
    </row>
    <row r="180" spans="40:40" x14ac:dyDescent="0.25">
      <c r="AN180" t="str">
        <f t="shared" si="5"/>
        <v/>
      </c>
    </row>
    <row r="181" spans="40:40" x14ac:dyDescent="0.25">
      <c r="AN181" t="str">
        <f t="shared" si="5"/>
        <v/>
      </c>
    </row>
    <row r="182" spans="40:40" x14ac:dyDescent="0.25">
      <c r="AN182" t="str">
        <f t="shared" si="5"/>
        <v/>
      </c>
    </row>
    <row r="183" spans="40:40" x14ac:dyDescent="0.25">
      <c r="AN183" t="str">
        <f t="shared" si="5"/>
        <v/>
      </c>
    </row>
    <row r="184" spans="40:40" x14ac:dyDescent="0.25">
      <c r="AN184" t="str">
        <f t="shared" si="5"/>
        <v/>
      </c>
    </row>
    <row r="185" spans="40:40" x14ac:dyDescent="0.25">
      <c r="AN185" t="str">
        <f t="shared" si="5"/>
        <v/>
      </c>
    </row>
    <row r="186" spans="40:40" x14ac:dyDescent="0.25">
      <c r="AN186" t="str">
        <f t="shared" si="5"/>
        <v/>
      </c>
    </row>
    <row r="187" spans="40:40" x14ac:dyDescent="0.25">
      <c r="AN187" t="str">
        <f t="shared" si="5"/>
        <v/>
      </c>
    </row>
    <row r="188" spans="40:40" x14ac:dyDescent="0.25">
      <c r="AN188" t="str">
        <f t="shared" si="5"/>
        <v/>
      </c>
    </row>
    <row r="189" spans="40:40" x14ac:dyDescent="0.25">
      <c r="AN189" t="str">
        <f t="shared" si="5"/>
        <v/>
      </c>
    </row>
    <row r="190" spans="40:40" x14ac:dyDescent="0.25">
      <c r="AN190" t="str">
        <f t="shared" si="5"/>
        <v/>
      </c>
    </row>
    <row r="191" spans="40:40" x14ac:dyDescent="0.25">
      <c r="AN191" t="str">
        <f t="shared" si="5"/>
        <v/>
      </c>
    </row>
    <row r="192" spans="40:40" x14ac:dyDescent="0.25">
      <c r="AN192" t="str">
        <f t="shared" si="5"/>
        <v/>
      </c>
    </row>
    <row r="193" spans="40:40" x14ac:dyDescent="0.25">
      <c r="AN193" t="str">
        <f t="shared" si="5"/>
        <v/>
      </c>
    </row>
    <row r="194" spans="40:40" x14ac:dyDescent="0.25">
      <c r="AN194" t="str">
        <f t="shared" si="5"/>
        <v/>
      </c>
    </row>
    <row r="195" spans="40:40" x14ac:dyDescent="0.25">
      <c r="AN195" t="str">
        <f t="shared" si="5"/>
        <v/>
      </c>
    </row>
    <row r="196" spans="40:40" x14ac:dyDescent="0.25">
      <c r="AN196" t="str">
        <f t="shared" si="5"/>
        <v/>
      </c>
    </row>
    <row r="197" spans="40:40" x14ac:dyDescent="0.25">
      <c r="AN197" t="str">
        <f t="shared" si="5"/>
        <v/>
      </c>
    </row>
    <row r="198" spans="40:40" x14ac:dyDescent="0.25">
      <c r="AN198" t="str">
        <f t="shared" ref="AN198:AN261" si="6">IF(AND(AL197&gt;0, AL197&lt;1000000), AM197,"")</f>
        <v/>
      </c>
    </row>
    <row r="199" spans="40:40" x14ac:dyDescent="0.25">
      <c r="AN199" t="str">
        <f t="shared" si="6"/>
        <v/>
      </c>
    </row>
    <row r="200" spans="40:40" x14ac:dyDescent="0.25">
      <c r="AN200" t="str">
        <f t="shared" si="6"/>
        <v/>
      </c>
    </row>
    <row r="201" spans="40:40" x14ac:dyDescent="0.25">
      <c r="AN201" t="str">
        <f t="shared" si="6"/>
        <v/>
      </c>
    </row>
    <row r="202" spans="40:40" x14ac:dyDescent="0.25">
      <c r="AN202" t="str">
        <f t="shared" si="6"/>
        <v/>
      </c>
    </row>
    <row r="203" spans="40:40" x14ac:dyDescent="0.25">
      <c r="AN203" t="str">
        <f t="shared" si="6"/>
        <v/>
      </c>
    </row>
    <row r="204" spans="40:40" x14ac:dyDescent="0.25">
      <c r="AN204" t="str">
        <f t="shared" si="6"/>
        <v/>
      </c>
    </row>
    <row r="205" spans="40:40" x14ac:dyDescent="0.25">
      <c r="AN205" t="str">
        <f t="shared" si="6"/>
        <v/>
      </c>
    </row>
    <row r="206" spans="40:40" x14ac:dyDescent="0.25">
      <c r="AN206" t="str">
        <f t="shared" si="6"/>
        <v/>
      </c>
    </row>
    <row r="207" spans="40:40" x14ac:dyDescent="0.25">
      <c r="AN207" t="str">
        <f t="shared" si="6"/>
        <v/>
      </c>
    </row>
    <row r="208" spans="40:40" x14ac:dyDescent="0.25">
      <c r="AN208" t="str">
        <f t="shared" si="6"/>
        <v/>
      </c>
    </row>
    <row r="209" spans="40:40" x14ac:dyDescent="0.25">
      <c r="AN209" t="str">
        <f t="shared" si="6"/>
        <v/>
      </c>
    </row>
    <row r="210" spans="40:40" x14ac:dyDescent="0.25">
      <c r="AN210" t="str">
        <f t="shared" si="6"/>
        <v/>
      </c>
    </row>
    <row r="211" spans="40:40" x14ac:dyDescent="0.25">
      <c r="AN211" t="str">
        <f t="shared" si="6"/>
        <v/>
      </c>
    </row>
    <row r="212" spans="40:40" x14ac:dyDescent="0.25">
      <c r="AN212" t="str">
        <f t="shared" si="6"/>
        <v/>
      </c>
    </row>
    <row r="213" spans="40:40" x14ac:dyDescent="0.25">
      <c r="AN213" t="str">
        <f t="shared" si="6"/>
        <v/>
      </c>
    </row>
    <row r="214" spans="40:40" x14ac:dyDescent="0.25">
      <c r="AN214" t="str">
        <f t="shared" si="6"/>
        <v/>
      </c>
    </row>
    <row r="215" spans="40:40" x14ac:dyDescent="0.25">
      <c r="AN215" t="str">
        <f t="shared" si="6"/>
        <v/>
      </c>
    </row>
    <row r="216" spans="40:40" x14ac:dyDescent="0.25">
      <c r="AN216" t="str">
        <f t="shared" si="6"/>
        <v/>
      </c>
    </row>
    <row r="217" spans="40:40" x14ac:dyDescent="0.25">
      <c r="AN217" t="str">
        <f t="shared" si="6"/>
        <v/>
      </c>
    </row>
    <row r="218" spans="40:40" x14ac:dyDescent="0.25">
      <c r="AN218" t="str">
        <f t="shared" si="6"/>
        <v/>
      </c>
    </row>
    <row r="219" spans="40:40" x14ac:dyDescent="0.25">
      <c r="AN219" t="str">
        <f t="shared" si="6"/>
        <v/>
      </c>
    </row>
    <row r="220" spans="40:40" x14ac:dyDescent="0.25">
      <c r="AN220" t="str">
        <f t="shared" si="6"/>
        <v/>
      </c>
    </row>
    <row r="221" spans="40:40" x14ac:dyDescent="0.25">
      <c r="AN221" t="str">
        <f t="shared" si="6"/>
        <v/>
      </c>
    </row>
    <row r="222" spans="40:40" x14ac:dyDescent="0.25">
      <c r="AN222" t="str">
        <f t="shared" si="6"/>
        <v/>
      </c>
    </row>
    <row r="223" spans="40:40" x14ac:dyDescent="0.25">
      <c r="AN223" t="str">
        <f t="shared" si="6"/>
        <v/>
      </c>
    </row>
    <row r="224" spans="40:40" x14ac:dyDescent="0.25">
      <c r="AN224" t="str">
        <f t="shared" si="6"/>
        <v/>
      </c>
    </row>
    <row r="225" spans="40:40" x14ac:dyDescent="0.25">
      <c r="AN225" t="str">
        <f t="shared" si="6"/>
        <v/>
      </c>
    </row>
    <row r="226" spans="40:40" x14ac:dyDescent="0.25">
      <c r="AN226" t="str">
        <f t="shared" si="6"/>
        <v/>
      </c>
    </row>
    <row r="227" spans="40:40" x14ac:dyDescent="0.25">
      <c r="AN227" t="str">
        <f t="shared" si="6"/>
        <v/>
      </c>
    </row>
    <row r="228" spans="40:40" x14ac:dyDescent="0.25">
      <c r="AN228" t="str">
        <f t="shared" si="6"/>
        <v/>
      </c>
    </row>
    <row r="229" spans="40:40" x14ac:dyDescent="0.25">
      <c r="AN229" t="str">
        <f t="shared" si="6"/>
        <v/>
      </c>
    </row>
    <row r="230" spans="40:40" x14ac:dyDescent="0.25">
      <c r="AN230" t="str">
        <f t="shared" si="6"/>
        <v/>
      </c>
    </row>
    <row r="231" spans="40:40" x14ac:dyDescent="0.25">
      <c r="AN231" t="str">
        <f t="shared" si="6"/>
        <v/>
      </c>
    </row>
    <row r="232" spans="40:40" x14ac:dyDescent="0.25">
      <c r="AN232" t="str">
        <f t="shared" si="6"/>
        <v/>
      </c>
    </row>
    <row r="233" spans="40:40" x14ac:dyDescent="0.25">
      <c r="AN233" t="str">
        <f t="shared" si="6"/>
        <v/>
      </c>
    </row>
    <row r="234" spans="40:40" x14ac:dyDescent="0.25">
      <c r="AN234" t="str">
        <f t="shared" si="6"/>
        <v/>
      </c>
    </row>
    <row r="235" spans="40:40" x14ac:dyDescent="0.25">
      <c r="AN235" t="str">
        <f t="shared" si="6"/>
        <v/>
      </c>
    </row>
    <row r="236" spans="40:40" x14ac:dyDescent="0.25">
      <c r="AN236" t="str">
        <f t="shared" si="6"/>
        <v/>
      </c>
    </row>
    <row r="237" spans="40:40" x14ac:dyDescent="0.25">
      <c r="AN237" t="str">
        <f t="shared" si="6"/>
        <v/>
      </c>
    </row>
    <row r="238" spans="40:40" x14ac:dyDescent="0.25">
      <c r="AN238" t="str">
        <f t="shared" si="6"/>
        <v/>
      </c>
    </row>
    <row r="239" spans="40:40" x14ac:dyDescent="0.25">
      <c r="AN239" t="str">
        <f t="shared" si="6"/>
        <v/>
      </c>
    </row>
    <row r="240" spans="40:40" x14ac:dyDescent="0.25">
      <c r="AN240" t="str">
        <f t="shared" si="6"/>
        <v/>
      </c>
    </row>
    <row r="241" spans="40:40" x14ac:dyDescent="0.25">
      <c r="AN241" t="str">
        <f t="shared" si="6"/>
        <v/>
      </c>
    </row>
    <row r="242" spans="40:40" x14ac:dyDescent="0.25">
      <c r="AN242" t="str">
        <f t="shared" si="6"/>
        <v/>
      </c>
    </row>
    <row r="243" spans="40:40" x14ac:dyDescent="0.25">
      <c r="AN243" t="str">
        <f t="shared" si="6"/>
        <v/>
      </c>
    </row>
    <row r="244" spans="40:40" x14ac:dyDescent="0.25">
      <c r="AN244" t="str">
        <f t="shared" si="6"/>
        <v/>
      </c>
    </row>
    <row r="245" spans="40:40" x14ac:dyDescent="0.25">
      <c r="AN245" t="str">
        <f t="shared" si="6"/>
        <v/>
      </c>
    </row>
    <row r="246" spans="40:40" x14ac:dyDescent="0.25">
      <c r="AN246" t="str">
        <f t="shared" si="6"/>
        <v/>
      </c>
    </row>
    <row r="247" spans="40:40" x14ac:dyDescent="0.25">
      <c r="AN247" t="str">
        <f t="shared" si="6"/>
        <v/>
      </c>
    </row>
    <row r="248" spans="40:40" x14ac:dyDescent="0.25">
      <c r="AN248" t="str">
        <f t="shared" si="6"/>
        <v/>
      </c>
    </row>
    <row r="249" spans="40:40" x14ac:dyDescent="0.25">
      <c r="AN249" t="str">
        <f t="shared" si="6"/>
        <v/>
      </c>
    </row>
    <row r="250" spans="40:40" x14ac:dyDescent="0.25">
      <c r="AN250" t="str">
        <f t="shared" si="6"/>
        <v/>
      </c>
    </row>
    <row r="251" spans="40:40" x14ac:dyDescent="0.25">
      <c r="AN251" t="str">
        <f t="shared" si="6"/>
        <v/>
      </c>
    </row>
    <row r="252" spans="40:40" x14ac:dyDescent="0.25">
      <c r="AN252" t="str">
        <f t="shared" si="6"/>
        <v/>
      </c>
    </row>
    <row r="253" spans="40:40" x14ac:dyDescent="0.25">
      <c r="AN253" t="str">
        <f t="shared" si="6"/>
        <v/>
      </c>
    </row>
    <row r="254" spans="40:40" x14ac:dyDescent="0.25">
      <c r="AN254" t="str">
        <f t="shared" si="6"/>
        <v/>
      </c>
    </row>
    <row r="255" spans="40:40" x14ac:dyDescent="0.25">
      <c r="AN255" t="str">
        <f t="shared" si="6"/>
        <v/>
      </c>
    </row>
    <row r="256" spans="40:40" x14ac:dyDescent="0.25">
      <c r="AN256" t="str">
        <f t="shared" si="6"/>
        <v/>
      </c>
    </row>
    <row r="257" spans="40:40" x14ac:dyDescent="0.25">
      <c r="AN257" t="str">
        <f t="shared" si="6"/>
        <v/>
      </c>
    </row>
    <row r="258" spans="40:40" x14ac:dyDescent="0.25">
      <c r="AN258" t="str">
        <f t="shared" si="6"/>
        <v/>
      </c>
    </row>
    <row r="259" spans="40:40" x14ac:dyDescent="0.25">
      <c r="AN259" t="str">
        <f t="shared" si="6"/>
        <v/>
      </c>
    </row>
    <row r="260" spans="40:40" x14ac:dyDescent="0.25">
      <c r="AN260" t="str">
        <f t="shared" si="6"/>
        <v/>
      </c>
    </row>
    <row r="261" spans="40:40" x14ac:dyDescent="0.25">
      <c r="AN261" t="str">
        <f t="shared" si="6"/>
        <v/>
      </c>
    </row>
    <row r="262" spans="40:40" x14ac:dyDescent="0.25">
      <c r="AN262" t="str">
        <f t="shared" ref="AN262:AN325" si="7">IF(AND(AL261&gt;0, AL261&lt;1000000), AM261,"")</f>
        <v/>
      </c>
    </row>
    <row r="263" spans="40:40" x14ac:dyDescent="0.25">
      <c r="AN263" t="str">
        <f t="shared" si="7"/>
        <v/>
      </c>
    </row>
    <row r="264" spans="40:40" x14ac:dyDescent="0.25">
      <c r="AN264" t="str">
        <f t="shared" si="7"/>
        <v/>
      </c>
    </row>
    <row r="265" spans="40:40" x14ac:dyDescent="0.25">
      <c r="AN265" t="str">
        <f t="shared" si="7"/>
        <v/>
      </c>
    </row>
    <row r="266" spans="40:40" x14ac:dyDescent="0.25">
      <c r="AN266" t="str">
        <f t="shared" si="7"/>
        <v/>
      </c>
    </row>
    <row r="267" spans="40:40" x14ac:dyDescent="0.25">
      <c r="AN267" t="str">
        <f t="shared" si="7"/>
        <v/>
      </c>
    </row>
    <row r="268" spans="40:40" x14ac:dyDescent="0.25">
      <c r="AN268" t="str">
        <f t="shared" si="7"/>
        <v/>
      </c>
    </row>
    <row r="269" spans="40:40" x14ac:dyDescent="0.25">
      <c r="AN269" t="str">
        <f t="shared" si="7"/>
        <v/>
      </c>
    </row>
    <row r="270" spans="40:40" x14ac:dyDescent="0.25">
      <c r="AN270" t="str">
        <f t="shared" si="7"/>
        <v/>
      </c>
    </row>
    <row r="271" spans="40:40" x14ac:dyDescent="0.25">
      <c r="AN271" t="str">
        <f t="shared" si="7"/>
        <v/>
      </c>
    </row>
    <row r="272" spans="40:40" x14ac:dyDescent="0.25">
      <c r="AN272" t="str">
        <f t="shared" si="7"/>
        <v/>
      </c>
    </row>
    <row r="273" spans="40:40" x14ac:dyDescent="0.25">
      <c r="AN273" t="str">
        <f t="shared" si="7"/>
        <v/>
      </c>
    </row>
    <row r="274" spans="40:40" x14ac:dyDescent="0.25">
      <c r="AN274" t="str">
        <f t="shared" si="7"/>
        <v/>
      </c>
    </row>
    <row r="275" spans="40:40" x14ac:dyDescent="0.25">
      <c r="AN275" t="str">
        <f t="shared" si="7"/>
        <v/>
      </c>
    </row>
    <row r="276" spans="40:40" x14ac:dyDescent="0.25">
      <c r="AN276" t="str">
        <f t="shared" si="7"/>
        <v/>
      </c>
    </row>
    <row r="277" spans="40:40" x14ac:dyDescent="0.25">
      <c r="AN277" t="str">
        <f t="shared" si="7"/>
        <v/>
      </c>
    </row>
    <row r="278" spans="40:40" x14ac:dyDescent="0.25">
      <c r="AN278" t="str">
        <f t="shared" si="7"/>
        <v/>
      </c>
    </row>
    <row r="279" spans="40:40" x14ac:dyDescent="0.25">
      <c r="AN279" t="str">
        <f t="shared" si="7"/>
        <v/>
      </c>
    </row>
    <row r="280" spans="40:40" x14ac:dyDescent="0.25">
      <c r="AN280" t="str">
        <f t="shared" si="7"/>
        <v/>
      </c>
    </row>
    <row r="281" spans="40:40" x14ac:dyDescent="0.25">
      <c r="AN281" t="str">
        <f t="shared" si="7"/>
        <v/>
      </c>
    </row>
    <row r="282" spans="40:40" x14ac:dyDescent="0.25">
      <c r="AN282" t="str">
        <f t="shared" si="7"/>
        <v/>
      </c>
    </row>
    <row r="283" spans="40:40" x14ac:dyDescent="0.25">
      <c r="AN283" t="str">
        <f t="shared" si="7"/>
        <v/>
      </c>
    </row>
    <row r="284" spans="40:40" x14ac:dyDescent="0.25">
      <c r="AN284" t="str">
        <f t="shared" si="7"/>
        <v/>
      </c>
    </row>
    <row r="285" spans="40:40" x14ac:dyDescent="0.25">
      <c r="AN285" t="str">
        <f t="shared" si="7"/>
        <v/>
      </c>
    </row>
    <row r="286" spans="40:40" x14ac:dyDescent="0.25">
      <c r="AN286" t="str">
        <f t="shared" si="7"/>
        <v/>
      </c>
    </row>
    <row r="287" spans="40:40" x14ac:dyDescent="0.25">
      <c r="AN287" t="str">
        <f t="shared" si="7"/>
        <v/>
      </c>
    </row>
    <row r="288" spans="40:40" x14ac:dyDescent="0.25">
      <c r="AN288" t="str">
        <f t="shared" si="7"/>
        <v/>
      </c>
    </row>
    <row r="289" spans="40:40" x14ac:dyDescent="0.25">
      <c r="AN289" t="str">
        <f t="shared" si="7"/>
        <v/>
      </c>
    </row>
    <row r="290" spans="40:40" x14ac:dyDescent="0.25">
      <c r="AN290" t="str">
        <f t="shared" si="7"/>
        <v/>
      </c>
    </row>
    <row r="291" spans="40:40" x14ac:dyDescent="0.25">
      <c r="AN291" t="str">
        <f t="shared" si="7"/>
        <v/>
      </c>
    </row>
    <row r="292" spans="40:40" x14ac:dyDescent="0.25">
      <c r="AN292" t="str">
        <f t="shared" si="7"/>
        <v/>
      </c>
    </row>
    <row r="293" spans="40:40" x14ac:dyDescent="0.25">
      <c r="AN293" t="str">
        <f t="shared" si="7"/>
        <v/>
      </c>
    </row>
    <row r="294" spans="40:40" x14ac:dyDescent="0.25">
      <c r="AN294" t="str">
        <f t="shared" si="7"/>
        <v/>
      </c>
    </row>
    <row r="295" spans="40:40" x14ac:dyDescent="0.25">
      <c r="AN295" t="str">
        <f t="shared" si="7"/>
        <v/>
      </c>
    </row>
    <row r="296" spans="40:40" x14ac:dyDescent="0.25">
      <c r="AN296" t="str">
        <f t="shared" si="7"/>
        <v/>
      </c>
    </row>
    <row r="297" spans="40:40" x14ac:dyDescent="0.25">
      <c r="AN297" t="str">
        <f t="shared" si="7"/>
        <v/>
      </c>
    </row>
    <row r="298" spans="40:40" x14ac:dyDescent="0.25">
      <c r="AN298" t="str">
        <f t="shared" si="7"/>
        <v/>
      </c>
    </row>
    <row r="299" spans="40:40" x14ac:dyDescent="0.25">
      <c r="AN299" t="str">
        <f t="shared" si="7"/>
        <v/>
      </c>
    </row>
    <row r="300" spans="40:40" x14ac:dyDescent="0.25">
      <c r="AN300" t="str">
        <f t="shared" si="7"/>
        <v/>
      </c>
    </row>
    <row r="301" spans="40:40" x14ac:dyDescent="0.25">
      <c r="AN301" t="str">
        <f t="shared" si="7"/>
        <v/>
      </c>
    </row>
    <row r="302" spans="40:40" x14ac:dyDescent="0.25">
      <c r="AN302" t="str">
        <f t="shared" si="7"/>
        <v/>
      </c>
    </row>
    <row r="303" spans="40:40" x14ac:dyDescent="0.25">
      <c r="AN303" t="str">
        <f t="shared" si="7"/>
        <v/>
      </c>
    </row>
    <row r="304" spans="40:40" x14ac:dyDescent="0.25">
      <c r="AN304" t="str">
        <f t="shared" si="7"/>
        <v/>
      </c>
    </row>
    <row r="305" spans="40:40" x14ac:dyDescent="0.25">
      <c r="AN305" t="str">
        <f t="shared" si="7"/>
        <v/>
      </c>
    </row>
    <row r="306" spans="40:40" x14ac:dyDescent="0.25">
      <c r="AN306" t="str">
        <f t="shared" si="7"/>
        <v/>
      </c>
    </row>
    <row r="307" spans="40:40" x14ac:dyDescent="0.25">
      <c r="AN307" t="str">
        <f t="shared" si="7"/>
        <v/>
      </c>
    </row>
    <row r="308" spans="40:40" x14ac:dyDescent="0.25">
      <c r="AN308" t="str">
        <f t="shared" si="7"/>
        <v/>
      </c>
    </row>
    <row r="309" spans="40:40" x14ac:dyDescent="0.25">
      <c r="AN309" t="str">
        <f t="shared" si="7"/>
        <v/>
      </c>
    </row>
    <row r="310" spans="40:40" x14ac:dyDescent="0.25">
      <c r="AN310" t="str">
        <f t="shared" si="7"/>
        <v/>
      </c>
    </row>
    <row r="311" spans="40:40" x14ac:dyDescent="0.25">
      <c r="AN311" t="str">
        <f t="shared" si="7"/>
        <v/>
      </c>
    </row>
    <row r="312" spans="40:40" x14ac:dyDescent="0.25">
      <c r="AN312" t="str">
        <f t="shared" si="7"/>
        <v/>
      </c>
    </row>
    <row r="313" spans="40:40" x14ac:dyDescent="0.25">
      <c r="AN313" t="str">
        <f t="shared" si="7"/>
        <v/>
      </c>
    </row>
    <row r="314" spans="40:40" x14ac:dyDescent="0.25">
      <c r="AN314" t="str">
        <f t="shared" si="7"/>
        <v/>
      </c>
    </row>
    <row r="315" spans="40:40" x14ac:dyDescent="0.25">
      <c r="AN315" t="str">
        <f t="shared" si="7"/>
        <v/>
      </c>
    </row>
    <row r="316" spans="40:40" x14ac:dyDescent="0.25">
      <c r="AN316" t="str">
        <f t="shared" si="7"/>
        <v/>
      </c>
    </row>
    <row r="317" spans="40:40" x14ac:dyDescent="0.25">
      <c r="AN317" t="str">
        <f t="shared" si="7"/>
        <v/>
      </c>
    </row>
    <row r="318" spans="40:40" x14ac:dyDescent="0.25">
      <c r="AN318" t="str">
        <f t="shared" si="7"/>
        <v/>
      </c>
    </row>
    <row r="319" spans="40:40" x14ac:dyDescent="0.25">
      <c r="AN319" t="str">
        <f t="shared" si="7"/>
        <v/>
      </c>
    </row>
    <row r="320" spans="40:40" x14ac:dyDescent="0.25">
      <c r="AN320" t="str">
        <f t="shared" si="7"/>
        <v/>
      </c>
    </row>
    <row r="321" spans="40:40" x14ac:dyDescent="0.25">
      <c r="AN321" t="str">
        <f t="shared" si="7"/>
        <v/>
      </c>
    </row>
    <row r="322" spans="40:40" x14ac:dyDescent="0.25">
      <c r="AN322" t="str">
        <f t="shared" si="7"/>
        <v/>
      </c>
    </row>
    <row r="323" spans="40:40" x14ac:dyDescent="0.25">
      <c r="AN323" t="str">
        <f t="shared" si="7"/>
        <v/>
      </c>
    </row>
    <row r="324" spans="40:40" x14ac:dyDescent="0.25">
      <c r="AN324" t="str">
        <f t="shared" si="7"/>
        <v/>
      </c>
    </row>
    <row r="325" spans="40:40" x14ac:dyDescent="0.25">
      <c r="AN325" t="str">
        <f t="shared" si="7"/>
        <v/>
      </c>
    </row>
    <row r="326" spans="40:40" x14ac:dyDescent="0.25">
      <c r="AN326" t="str">
        <f t="shared" ref="AN326:AN377" si="8">IF(AND(AL325&gt;0, AL325&lt;1000000), AM325,"")</f>
        <v/>
      </c>
    </row>
    <row r="327" spans="40:40" x14ac:dyDescent="0.25">
      <c r="AN327" t="str">
        <f t="shared" si="8"/>
        <v/>
      </c>
    </row>
    <row r="328" spans="40:40" x14ac:dyDescent="0.25">
      <c r="AN328" t="str">
        <f t="shared" si="8"/>
        <v/>
      </c>
    </row>
    <row r="329" spans="40:40" x14ac:dyDescent="0.25">
      <c r="AN329" t="str">
        <f t="shared" si="8"/>
        <v/>
      </c>
    </row>
    <row r="330" spans="40:40" x14ac:dyDescent="0.25">
      <c r="AN330" t="str">
        <f t="shared" si="8"/>
        <v/>
      </c>
    </row>
    <row r="331" spans="40:40" x14ac:dyDescent="0.25">
      <c r="AN331" t="str">
        <f t="shared" si="8"/>
        <v/>
      </c>
    </row>
    <row r="332" spans="40:40" x14ac:dyDescent="0.25">
      <c r="AN332" t="str">
        <f t="shared" si="8"/>
        <v/>
      </c>
    </row>
    <row r="333" spans="40:40" x14ac:dyDescent="0.25">
      <c r="AN333" t="str">
        <f t="shared" si="8"/>
        <v/>
      </c>
    </row>
    <row r="334" spans="40:40" x14ac:dyDescent="0.25">
      <c r="AN334" t="str">
        <f t="shared" si="8"/>
        <v/>
      </c>
    </row>
    <row r="335" spans="40:40" x14ac:dyDescent="0.25">
      <c r="AN335" t="str">
        <f t="shared" si="8"/>
        <v/>
      </c>
    </row>
    <row r="336" spans="40:40" x14ac:dyDescent="0.25">
      <c r="AN336" t="str">
        <f t="shared" si="8"/>
        <v/>
      </c>
    </row>
    <row r="337" spans="40:40" x14ac:dyDescent="0.25">
      <c r="AN337" t="str">
        <f t="shared" si="8"/>
        <v/>
      </c>
    </row>
    <row r="338" spans="40:40" x14ac:dyDescent="0.25">
      <c r="AN338" t="str">
        <f t="shared" si="8"/>
        <v/>
      </c>
    </row>
    <row r="339" spans="40:40" x14ac:dyDescent="0.25">
      <c r="AN339" t="str">
        <f t="shared" si="8"/>
        <v/>
      </c>
    </row>
    <row r="340" spans="40:40" x14ac:dyDescent="0.25">
      <c r="AN340" t="str">
        <f t="shared" si="8"/>
        <v/>
      </c>
    </row>
    <row r="341" spans="40:40" x14ac:dyDescent="0.25">
      <c r="AN341" t="str">
        <f t="shared" si="8"/>
        <v/>
      </c>
    </row>
    <row r="342" spans="40:40" x14ac:dyDescent="0.25">
      <c r="AN342" t="str">
        <f t="shared" si="8"/>
        <v/>
      </c>
    </row>
    <row r="343" spans="40:40" x14ac:dyDescent="0.25">
      <c r="AN343" t="str">
        <f t="shared" si="8"/>
        <v/>
      </c>
    </row>
    <row r="344" spans="40:40" x14ac:dyDescent="0.25">
      <c r="AN344" t="str">
        <f t="shared" si="8"/>
        <v/>
      </c>
    </row>
    <row r="345" spans="40:40" x14ac:dyDescent="0.25">
      <c r="AN345" t="str">
        <f t="shared" si="8"/>
        <v/>
      </c>
    </row>
    <row r="346" spans="40:40" x14ac:dyDescent="0.25">
      <c r="AN346" t="str">
        <f t="shared" si="8"/>
        <v/>
      </c>
    </row>
    <row r="347" spans="40:40" x14ac:dyDescent="0.25">
      <c r="AN347" t="str">
        <f t="shared" si="8"/>
        <v/>
      </c>
    </row>
    <row r="348" spans="40:40" x14ac:dyDescent="0.25">
      <c r="AN348" t="str">
        <f t="shared" si="8"/>
        <v/>
      </c>
    </row>
    <row r="349" spans="40:40" x14ac:dyDescent="0.25">
      <c r="AN349" t="str">
        <f t="shared" si="8"/>
        <v/>
      </c>
    </row>
    <row r="350" spans="40:40" x14ac:dyDescent="0.25">
      <c r="AN350" t="str">
        <f t="shared" si="8"/>
        <v/>
      </c>
    </row>
    <row r="351" spans="40:40" x14ac:dyDescent="0.25">
      <c r="AN351" t="str">
        <f t="shared" si="8"/>
        <v/>
      </c>
    </row>
    <row r="352" spans="40:40" x14ac:dyDescent="0.25">
      <c r="AN352" t="str">
        <f t="shared" si="8"/>
        <v/>
      </c>
    </row>
    <row r="353" spans="40:40" x14ac:dyDescent="0.25">
      <c r="AN353" t="str">
        <f t="shared" si="8"/>
        <v/>
      </c>
    </row>
    <row r="354" spans="40:40" x14ac:dyDescent="0.25">
      <c r="AN354" t="str">
        <f t="shared" si="8"/>
        <v/>
      </c>
    </row>
    <row r="355" spans="40:40" x14ac:dyDescent="0.25">
      <c r="AN355" t="str">
        <f t="shared" si="8"/>
        <v/>
      </c>
    </row>
    <row r="356" spans="40:40" x14ac:dyDescent="0.25">
      <c r="AN356" t="str">
        <f t="shared" si="8"/>
        <v/>
      </c>
    </row>
    <row r="357" spans="40:40" x14ac:dyDescent="0.25">
      <c r="AN357" t="str">
        <f t="shared" si="8"/>
        <v/>
      </c>
    </row>
    <row r="358" spans="40:40" x14ac:dyDescent="0.25">
      <c r="AN358" t="str">
        <f t="shared" si="8"/>
        <v/>
      </c>
    </row>
    <row r="359" spans="40:40" x14ac:dyDescent="0.25">
      <c r="AN359" t="str">
        <f t="shared" si="8"/>
        <v/>
      </c>
    </row>
    <row r="360" spans="40:40" x14ac:dyDescent="0.25">
      <c r="AN360" t="str">
        <f t="shared" si="8"/>
        <v/>
      </c>
    </row>
    <row r="361" spans="40:40" x14ac:dyDescent="0.25">
      <c r="AN361" t="str">
        <f t="shared" si="8"/>
        <v/>
      </c>
    </row>
    <row r="362" spans="40:40" x14ac:dyDescent="0.25">
      <c r="AN362" t="str">
        <f t="shared" si="8"/>
        <v/>
      </c>
    </row>
    <row r="363" spans="40:40" x14ac:dyDescent="0.25">
      <c r="AN363" t="str">
        <f t="shared" si="8"/>
        <v/>
      </c>
    </row>
    <row r="364" spans="40:40" x14ac:dyDescent="0.25">
      <c r="AN364" t="str">
        <f t="shared" si="8"/>
        <v/>
      </c>
    </row>
    <row r="365" spans="40:40" x14ac:dyDescent="0.25">
      <c r="AN365" t="str">
        <f t="shared" si="8"/>
        <v/>
      </c>
    </row>
    <row r="366" spans="40:40" x14ac:dyDescent="0.25">
      <c r="AN366" t="str">
        <f t="shared" si="8"/>
        <v/>
      </c>
    </row>
    <row r="367" spans="40:40" x14ac:dyDescent="0.25">
      <c r="AN367" t="str">
        <f t="shared" si="8"/>
        <v/>
      </c>
    </row>
    <row r="368" spans="40:40" x14ac:dyDescent="0.25">
      <c r="AN368" t="str">
        <f t="shared" si="8"/>
        <v/>
      </c>
    </row>
    <row r="369" spans="40:40" x14ac:dyDescent="0.25">
      <c r="AN369" t="str">
        <f t="shared" si="8"/>
        <v/>
      </c>
    </row>
    <row r="370" spans="40:40" x14ac:dyDescent="0.25">
      <c r="AN370" t="str">
        <f t="shared" si="8"/>
        <v/>
      </c>
    </row>
    <row r="371" spans="40:40" x14ac:dyDescent="0.25">
      <c r="AN371" t="str">
        <f t="shared" si="8"/>
        <v/>
      </c>
    </row>
    <row r="372" spans="40:40" x14ac:dyDescent="0.25">
      <c r="AN372" t="str">
        <f t="shared" si="8"/>
        <v/>
      </c>
    </row>
    <row r="373" spans="40:40" x14ac:dyDescent="0.25">
      <c r="AN373" t="str">
        <f t="shared" si="8"/>
        <v/>
      </c>
    </row>
    <row r="374" spans="40:40" x14ac:dyDescent="0.25">
      <c r="AN374" t="str">
        <f t="shared" si="8"/>
        <v/>
      </c>
    </row>
    <row r="375" spans="40:40" x14ac:dyDescent="0.25">
      <c r="AN375" t="str">
        <f t="shared" si="8"/>
        <v/>
      </c>
    </row>
    <row r="376" spans="40:40" x14ac:dyDescent="0.25">
      <c r="AN376" t="str">
        <f t="shared" si="8"/>
        <v/>
      </c>
    </row>
    <row r="377" spans="40:40" x14ac:dyDescent="0.25">
      <c r="AN377" t="str">
        <f t="shared" si="8"/>
        <v/>
      </c>
    </row>
  </sheetData>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8FC78-D99F-4990-BFED-5EB7938A7BBD}">
  <dimension ref="B10:C107"/>
  <sheetViews>
    <sheetView workbookViewId="0">
      <selection activeCell="H1" sqref="H1"/>
    </sheetView>
  </sheetViews>
  <sheetFormatPr defaultRowHeight="15" x14ac:dyDescent="0.25"/>
  <cols>
    <col min="2" max="2" width="11.7109375" bestFit="1" customWidth="1"/>
    <col min="3" max="3" width="26.85546875" bestFit="1" customWidth="1"/>
    <col min="4" max="47" width="12.5703125" bestFit="1" customWidth="1"/>
    <col min="48" max="48" width="8.5703125" bestFit="1" customWidth="1"/>
  </cols>
  <sheetData>
    <row r="10" spans="2:3" x14ac:dyDescent="0.25">
      <c r="B10" s="18" t="s">
        <v>97</v>
      </c>
      <c r="C10" t="s">
        <v>286</v>
      </c>
    </row>
    <row r="11" spans="2:3" x14ac:dyDescent="0.25">
      <c r="B11" s="20">
        <v>1</v>
      </c>
      <c r="C11" s="5">
        <v>-0.8000000000000036</v>
      </c>
    </row>
    <row r="12" spans="2:3" x14ac:dyDescent="0.25">
      <c r="B12" s="20">
        <v>2</v>
      </c>
      <c r="C12" s="5">
        <v>0</v>
      </c>
    </row>
    <row r="13" spans="2:3" x14ac:dyDescent="0.25">
      <c r="B13" s="20">
        <v>3</v>
      </c>
      <c r="C13" s="5">
        <v>-1.8000000000000036</v>
      </c>
    </row>
    <row r="14" spans="2:3" x14ac:dyDescent="0.25">
      <c r="B14" s="20">
        <v>4</v>
      </c>
      <c r="C14" s="5">
        <v>-1.9666666666666559</v>
      </c>
    </row>
    <row r="15" spans="2:3" x14ac:dyDescent="0.25">
      <c r="B15" s="20">
        <v>5</v>
      </c>
      <c r="C15" s="5">
        <v>0</v>
      </c>
    </row>
    <row r="16" spans="2:3" x14ac:dyDescent="0.25">
      <c r="B16" s="20">
        <v>6</v>
      </c>
      <c r="C16" s="5">
        <v>-0.25000000000000555</v>
      </c>
    </row>
    <row r="17" spans="2:3" x14ac:dyDescent="0.25">
      <c r="B17" s="20">
        <v>7</v>
      </c>
      <c r="C17" s="5">
        <v>-1.1666666666666643</v>
      </c>
    </row>
    <row r="18" spans="2:3" x14ac:dyDescent="0.25">
      <c r="B18" s="20">
        <v>8</v>
      </c>
      <c r="C18" s="5">
        <v>-1.6499999999999988</v>
      </c>
    </row>
    <row r="19" spans="2:3" x14ac:dyDescent="0.25">
      <c r="B19" s="20">
        <v>9</v>
      </c>
      <c r="C19" s="5">
        <v>-1.9</v>
      </c>
    </row>
    <row r="20" spans="2:3" x14ac:dyDescent="0.25">
      <c r="B20" s="20">
        <v>10</v>
      </c>
      <c r="C20" s="5">
        <v>-2.0800000000000005</v>
      </c>
    </row>
    <row r="21" spans="2:3" x14ac:dyDescent="0.25">
      <c r="B21" s="20">
        <v>11</v>
      </c>
      <c r="C21" s="5">
        <v>-1.8566666666666816</v>
      </c>
    </row>
    <row r="22" spans="2:3" x14ac:dyDescent="0.25">
      <c r="B22" s="20">
        <v>12</v>
      </c>
      <c r="C22" s="5">
        <v>-2.1333333333332543</v>
      </c>
    </row>
    <row r="23" spans="2:3" x14ac:dyDescent="0.25">
      <c r="B23" s="20">
        <v>13</v>
      </c>
      <c r="C23" s="5">
        <v>-1.6</v>
      </c>
    </row>
    <row r="24" spans="2:3" x14ac:dyDescent="0.25">
      <c r="B24" s="20">
        <v>14</v>
      </c>
      <c r="C24" s="5">
        <v>-1.7799999999999978</v>
      </c>
    </row>
    <row r="25" spans="2:3" x14ac:dyDescent="0.25">
      <c r="B25" s="20">
        <v>15</v>
      </c>
      <c r="C25" s="5">
        <v>-2.7461139896373106</v>
      </c>
    </row>
    <row r="26" spans="2:3" x14ac:dyDescent="0.25">
      <c r="B26" s="20">
        <v>16</v>
      </c>
      <c r="C26" s="5">
        <v>-2.1724999999999977</v>
      </c>
    </row>
    <row r="27" spans="2:3" x14ac:dyDescent="0.25">
      <c r="B27" s="20">
        <v>17</v>
      </c>
      <c r="C27" s="5">
        <v>-2.2000000000000055</v>
      </c>
    </row>
    <row r="28" spans="2:3" x14ac:dyDescent="0.25">
      <c r="B28" s="20">
        <v>18</v>
      </c>
      <c r="C28" s="5">
        <v>-2</v>
      </c>
    </row>
    <row r="29" spans="2:3" x14ac:dyDescent="0.25">
      <c r="B29" s="20">
        <v>19</v>
      </c>
      <c r="C29" s="5">
        <v>-1.4705882352941182</v>
      </c>
    </row>
    <row r="30" spans="2:3" x14ac:dyDescent="0.25">
      <c r="B30" s="20">
        <v>20</v>
      </c>
      <c r="C30" s="5">
        <v>-1.7777777777777772</v>
      </c>
    </row>
    <row r="31" spans="2:3" x14ac:dyDescent="0.25">
      <c r="B31" s="20">
        <v>21</v>
      </c>
      <c r="C31" s="5">
        <v>-0.88</v>
      </c>
    </row>
    <row r="32" spans="2:3" x14ac:dyDescent="0.25">
      <c r="B32" s="20">
        <v>22</v>
      </c>
      <c r="C32" s="5">
        <v>-1.771428571428576</v>
      </c>
    </row>
    <row r="33" spans="2:3" x14ac:dyDescent="0.25">
      <c r="B33" s="20">
        <v>23</v>
      </c>
      <c r="C33" s="5">
        <v>-2.3599999999999852</v>
      </c>
    </row>
    <row r="34" spans="2:3" x14ac:dyDescent="0.25">
      <c r="B34" s="20">
        <v>24</v>
      </c>
      <c r="C34" s="5">
        <v>-1.5800000000000092</v>
      </c>
    </row>
    <row r="35" spans="2:3" x14ac:dyDescent="0.25">
      <c r="B35" s="20">
        <v>25</v>
      </c>
      <c r="C35" s="5">
        <v>-1</v>
      </c>
    </row>
    <row r="36" spans="2:3" x14ac:dyDescent="0.25">
      <c r="B36" s="20">
        <v>26</v>
      </c>
      <c r="C36" s="5">
        <v>3.9999999999995733E-2</v>
      </c>
    </row>
    <row r="37" spans="2:3" x14ac:dyDescent="0.25">
      <c r="B37" s="20">
        <v>27</v>
      </c>
      <c r="C37" s="5">
        <v>-1.6666666666666765</v>
      </c>
    </row>
    <row r="38" spans="2:3" x14ac:dyDescent="0.25">
      <c r="B38" s="20">
        <v>28</v>
      </c>
      <c r="C38" s="5">
        <v>-0.53333333333332944</v>
      </c>
    </row>
    <row r="39" spans="2:3" x14ac:dyDescent="0.25">
      <c r="B39" s="20">
        <v>29</v>
      </c>
      <c r="C39" s="5">
        <v>-2.1799999999999686</v>
      </c>
    </row>
    <row r="40" spans="2:3" x14ac:dyDescent="0.25">
      <c r="B40" s="20">
        <v>30</v>
      </c>
      <c r="C40" s="5">
        <v>-2.3200000000000016</v>
      </c>
    </row>
    <row r="41" spans="2:3" x14ac:dyDescent="0.25">
      <c r="B41" s="20">
        <v>31</v>
      </c>
      <c r="C41" s="5">
        <v>-1.3999999999999928</v>
      </c>
    </row>
    <row r="42" spans="2:3" x14ac:dyDescent="0.25">
      <c r="B42" s="20">
        <v>32</v>
      </c>
      <c r="C42" s="5">
        <v>-1</v>
      </c>
    </row>
    <row r="43" spans="2:3" x14ac:dyDescent="0.25">
      <c r="B43" s="20">
        <v>33</v>
      </c>
      <c r="C43" s="5">
        <v>-1</v>
      </c>
    </row>
    <row r="44" spans="2:3" x14ac:dyDescent="0.25">
      <c r="B44" s="20">
        <v>34</v>
      </c>
      <c r="C44" s="5">
        <v>-1.4500000000000266</v>
      </c>
    </row>
    <row r="45" spans="2:3" x14ac:dyDescent="0.25">
      <c r="B45" s="20">
        <v>35</v>
      </c>
      <c r="C45" s="5">
        <v>-1.4999999999999645</v>
      </c>
    </row>
    <row r="46" spans="2:3" x14ac:dyDescent="0.25">
      <c r="B46" s="20">
        <v>36</v>
      </c>
      <c r="C46" s="5">
        <v>-2</v>
      </c>
    </row>
    <row r="47" spans="2:3" x14ac:dyDescent="0.25">
      <c r="B47" s="20">
        <v>37</v>
      </c>
      <c r="C47" s="5">
        <v>-2</v>
      </c>
    </row>
    <row r="48" spans="2:3" x14ac:dyDescent="0.25">
      <c r="B48" s="20">
        <v>38</v>
      </c>
      <c r="C48" s="5">
        <v>-2</v>
      </c>
    </row>
    <row r="49" spans="2:3" x14ac:dyDescent="0.25">
      <c r="B49" s="20">
        <v>39</v>
      </c>
      <c r="C49" s="5">
        <v>-1.4000000000000106</v>
      </c>
    </row>
    <row r="50" spans="2:3" x14ac:dyDescent="0.25">
      <c r="B50" s="20">
        <v>40</v>
      </c>
      <c r="C50" s="5">
        <v>0</v>
      </c>
    </row>
    <row r="51" spans="2:3" x14ac:dyDescent="0.25">
      <c r="B51" s="20">
        <v>41</v>
      </c>
      <c r="C51" s="5">
        <v>-1.2666666666666646</v>
      </c>
    </row>
    <row r="52" spans="2:3" x14ac:dyDescent="0.25">
      <c r="B52" s="20">
        <v>42</v>
      </c>
      <c r="C52" s="5">
        <v>-0.35335689045936158</v>
      </c>
    </row>
    <row r="53" spans="2:3" x14ac:dyDescent="0.25">
      <c r="B53" s="20">
        <v>43</v>
      </c>
      <c r="C53" s="5">
        <v>-2.1735537190082637</v>
      </c>
    </row>
    <row r="54" spans="2:3" x14ac:dyDescent="0.25">
      <c r="B54" s="20">
        <v>44</v>
      </c>
      <c r="C54" s="5">
        <v>-1.1800000000000075</v>
      </c>
    </row>
    <row r="55" spans="2:3" x14ac:dyDescent="0.25">
      <c r="B55" s="20">
        <v>45</v>
      </c>
      <c r="C55" s="5">
        <v>-0.66666666666666663</v>
      </c>
    </row>
    <row r="56" spans="2:3" x14ac:dyDescent="0.25">
      <c r="B56" s="20">
        <v>46</v>
      </c>
      <c r="C56" s="5">
        <v>-0.40000000000000357</v>
      </c>
    </row>
    <row r="57" spans="2:3" x14ac:dyDescent="0.25">
      <c r="B57" s="20">
        <v>47</v>
      </c>
      <c r="C57" s="5">
        <v>-1.6000000000000012</v>
      </c>
    </row>
    <row r="58" spans="2:3" x14ac:dyDescent="0.25">
      <c r="B58" s="20">
        <v>48</v>
      </c>
      <c r="C58" s="5">
        <v>-1.1608391608391588</v>
      </c>
    </row>
    <row r="59" spans="2:3" x14ac:dyDescent="0.25">
      <c r="B59" s="20">
        <v>49</v>
      </c>
      <c r="C59" s="5">
        <v>-1.8666666666666691</v>
      </c>
    </row>
    <row r="60" spans="2:3" x14ac:dyDescent="0.25">
      <c r="B60" s="20">
        <v>50</v>
      </c>
      <c r="C60" s="5">
        <v>-0.87179487179487425</v>
      </c>
    </row>
    <row r="61" spans="2:3" x14ac:dyDescent="0.25">
      <c r="B61" s="20">
        <v>51</v>
      </c>
      <c r="C61" s="5">
        <v>-0.33333333333337278</v>
      </c>
    </row>
    <row r="62" spans="2:3" x14ac:dyDescent="0.25">
      <c r="B62" s="20">
        <v>52</v>
      </c>
      <c r="C62" s="5">
        <v>-1.7599999999999587</v>
      </c>
    </row>
    <row r="63" spans="2:3" x14ac:dyDescent="0.25">
      <c r="B63" s="20">
        <v>53</v>
      </c>
      <c r="C63" s="5">
        <v>-1.4000000000000354</v>
      </c>
    </row>
    <row r="64" spans="2:3" x14ac:dyDescent="0.25">
      <c r="B64" s="20">
        <v>54</v>
      </c>
      <c r="C64" s="5">
        <v>-1.0999999999999983</v>
      </c>
    </row>
    <row r="65" spans="2:3" x14ac:dyDescent="0.25">
      <c r="B65" s="20">
        <v>55</v>
      </c>
      <c r="C65" s="5">
        <v>-2.2800000000000056</v>
      </c>
    </row>
    <row r="66" spans="2:3" x14ac:dyDescent="0.25">
      <c r="B66" s="20">
        <v>56</v>
      </c>
      <c r="C66" s="5">
        <v>-1.6000000000000028</v>
      </c>
    </row>
    <row r="67" spans="2:3" x14ac:dyDescent="0.25">
      <c r="B67" s="20">
        <v>57</v>
      </c>
      <c r="C67" s="5">
        <v>-0.93333333333333923</v>
      </c>
    </row>
    <row r="68" spans="2:3" x14ac:dyDescent="0.25">
      <c r="B68" s="20">
        <v>58</v>
      </c>
      <c r="C68" s="5">
        <v>-2.3333333333333925</v>
      </c>
    </row>
    <row r="69" spans="2:3" x14ac:dyDescent="0.25">
      <c r="B69" s="20">
        <v>59</v>
      </c>
      <c r="C69" s="5">
        <v>-2.1333333333333386</v>
      </c>
    </row>
    <row r="70" spans="2:3" x14ac:dyDescent="0.25">
      <c r="B70" s="20">
        <v>60</v>
      </c>
      <c r="C70" s="5">
        <v>-1.7000000000000053</v>
      </c>
    </row>
    <row r="71" spans="2:3" x14ac:dyDescent="0.25">
      <c r="B71" s="20">
        <v>61</v>
      </c>
      <c r="C71" s="5">
        <v>-1.6666666666666765</v>
      </c>
    </row>
    <row r="72" spans="2:3" x14ac:dyDescent="0.25">
      <c r="B72" s="20">
        <v>62</v>
      </c>
      <c r="C72" s="5">
        <v>-2.0666666666666651</v>
      </c>
    </row>
    <row r="73" spans="2:3" x14ac:dyDescent="0.25">
      <c r="B73" s="20">
        <v>63</v>
      </c>
      <c r="C73" s="5">
        <v>-0.4500000000000009</v>
      </c>
    </row>
    <row r="74" spans="2:3" x14ac:dyDescent="0.25">
      <c r="B74" s="20">
        <v>64</v>
      </c>
      <c r="C74" s="5">
        <v>-0.8666666666666698</v>
      </c>
    </row>
    <row r="75" spans="2:3" x14ac:dyDescent="0.25">
      <c r="B75" s="20">
        <v>65</v>
      </c>
      <c r="C75" s="5">
        <v>0</v>
      </c>
    </row>
    <row r="76" spans="2:3" x14ac:dyDescent="0.25">
      <c r="B76" s="20">
        <v>66</v>
      </c>
      <c r="C76" s="5">
        <v>-2.3331389050912792</v>
      </c>
    </row>
    <row r="77" spans="2:3" x14ac:dyDescent="0.25">
      <c r="B77" s="20">
        <v>67</v>
      </c>
      <c r="C77" s="5">
        <v>-2.0000000000000147</v>
      </c>
    </row>
    <row r="78" spans="2:3" x14ac:dyDescent="0.25">
      <c r="B78" s="20">
        <v>68</v>
      </c>
      <c r="C78" s="5">
        <v>-2.1333333333333178</v>
      </c>
    </row>
    <row r="79" spans="2:3" x14ac:dyDescent="0.25">
      <c r="B79" s="20">
        <v>69</v>
      </c>
      <c r="C79" s="5">
        <v>-2.1749999999999918</v>
      </c>
    </row>
    <row r="80" spans="2:3" x14ac:dyDescent="0.25">
      <c r="B80" s="20">
        <v>70</v>
      </c>
      <c r="C80" s="5">
        <v>-0.25000000000000183</v>
      </c>
    </row>
    <row r="81" spans="2:3" x14ac:dyDescent="0.25">
      <c r="B81" s="20">
        <v>71</v>
      </c>
      <c r="C81" s="5">
        <v>0</v>
      </c>
    </row>
    <row r="82" spans="2:3" x14ac:dyDescent="0.25">
      <c r="B82" s="20">
        <v>72</v>
      </c>
      <c r="C82" s="5">
        <v>-2.2285714285714278</v>
      </c>
    </row>
    <row r="83" spans="2:3" x14ac:dyDescent="0.25">
      <c r="B83" s="20">
        <v>73</v>
      </c>
      <c r="C83" s="5">
        <v>-2.2499999999999947</v>
      </c>
    </row>
    <row r="84" spans="2:3" x14ac:dyDescent="0.25">
      <c r="B84" s="20">
        <v>74</v>
      </c>
      <c r="C84" s="5">
        <v>-1.9999999999999705</v>
      </c>
    </row>
    <row r="85" spans="2:3" x14ac:dyDescent="0.25">
      <c r="B85" s="20">
        <v>75</v>
      </c>
      <c r="C85" s="5">
        <v>-0.16666666666669627</v>
      </c>
    </row>
    <row r="86" spans="2:3" x14ac:dyDescent="0.25">
      <c r="B86" s="20">
        <v>76</v>
      </c>
      <c r="C86" s="5">
        <v>-2.1499999999999981</v>
      </c>
    </row>
    <row r="87" spans="2:3" x14ac:dyDescent="0.25">
      <c r="B87" s="20">
        <v>77</v>
      </c>
      <c r="C87" s="5">
        <v>-2.6400000000000499</v>
      </c>
    </row>
    <row r="88" spans="2:3" x14ac:dyDescent="0.25">
      <c r="B88" s="20">
        <v>78</v>
      </c>
      <c r="C88" s="5">
        <v>-1.7500000000000056</v>
      </c>
    </row>
    <row r="89" spans="2:3" x14ac:dyDescent="0.25">
      <c r="B89" s="20">
        <v>79</v>
      </c>
      <c r="C89" s="5">
        <v>-0.85999999999999843</v>
      </c>
    </row>
    <row r="90" spans="2:3" x14ac:dyDescent="0.25">
      <c r="B90" s="20">
        <v>80</v>
      </c>
      <c r="C90" s="5">
        <v>-1.966666666666663</v>
      </c>
    </row>
    <row r="91" spans="2:3" x14ac:dyDescent="0.25">
      <c r="B91" s="20">
        <v>81</v>
      </c>
      <c r="C91" s="5">
        <v>-0.33333333333333137</v>
      </c>
    </row>
    <row r="92" spans="2:3" x14ac:dyDescent="0.25">
      <c r="B92" s="20">
        <v>82</v>
      </c>
      <c r="C92" s="5">
        <v>-0.64000000000000057</v>
      </c>
    </row>
    <row r="93" spans="2:3" x14ac:dyDescent="0.25">
      <c r="B93" s="20">
        <v>83</v>
      </c>
      <c r="C93" s="5">
        <v>-2.6666666666666665</v>
      </c>
    </row>
    <row r="94" spans="2:3" x14ac:dyDescent="0.25">
      <c r="B94" s="20">
        <v>84</v>
      </c>
      <c r="C94" s="5">
        <v>-0.53333333333333255</v>
      </c>
    </row>
    <row r="95" spans="2:3" x14ac:dyDescent="0.25">
      <c r="B95" s="20">
        <v>85</v>
      </c>
      <c r="C95" s="5">
        <v>-2.166666666666647</v>
      </c>
    </row>
    <row r="96" spans="2:3" x14ac:dyDescent="0.25">
      <c r="B96" s="20">
        <v>86</v>
      </c>
      <c r="C96" s="5">
        <v>-2.3799999999999897</v>
      </c>
    </row>
    <row r="97" spans="2:3" x14ac:dyDescent="0.25">
      <c r="B97" s="20">
        <v>87</v>
      </c>
      <c r="C97" s="5">
        <v>-2.0900000000000039</v>
      </c>
    </row>
    <row r="98" spans="2:3" x14ac:dyDescent="0.25">
      <c r="B98" s="20">
        <v>88</v>
      </c>
      <c r="C98" s="5">
        <v>-1.9714285714285682</v>
      </c>
    </row>
    <row r="99" spans="2:3" x14ac:dyDescent="0.25">
      <c r="B99" s="20">
        <v>89</v>
      </c>
      <c r="C99" s="5">
        <v>0</v>
      </c>
    </row>
    <row r="100" spans="2:3" x14ac:dyDescent="0.25">
      <c r="B100" s="20">
        <v>90</v>
      </c>
      <c r="C100" s="5">
        <v>-1.8500000000000072</v>
      </c>
    </row>
    <row r="101" spans="2:3" x14ac:dyDescent="0.25">
      <c r="B101" s="20">
        <v>91</v>
      </c>
      <c r="C101" s="5">
        <v>-1.7176470588235306</v>
      </c>
    </row>
    <row r="102" spans="2:3" x14ac:dyDescent="0.25">
      <c r="B102" s="20">
        <v>92</v>
      </c>
      <c r="C102" s="5">
        <v>-0.28571428571428392</v>
      </c>
    </row>
    <row r="103" spans="2:3" x14ac:dyDescent="0.25">
      <c r="B103" s="20">
        <v>93</v>
      </c>
      <c r="C103" s="5">
        <v>-0.30000000000000354</v>
      </c>
    </row>
    <row r="104" spans="2:3" x14ac:dyDescent="0.25">
      <c r="B104" s="20">
        <v>94</v>
      </c>
      <c r="C104" s="5">
        <v>-0.69999999999999774</v>
      </c>
    </row>
    <row r="105" spans="2:3" x14ac:dyDescent="0.25">
      <c r="B105" s="20">
        <v>95</v>
      </c>
      <c r="C105" s="5">
        <v>-1.2500000000000056</v>
      </c>
    </row>
    <row r="106" spans="2:3" x14ac:dyDescent="0.25">
      <c r="B106" s="20">
        <v>96</v>
      </c>
      <c r="C106" s="5">
        <v>-0.83333333333333137</v>
      </c>
    </row>
    <row r="107" spans="2:3" x14ac:dyDescent="0.25">
      <c r="B107" s="20" t="s">
        <v>98</v>
      </c>
      <c r="C107" s="5">
        <v>-136.13612013253527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7</vt:i4>
      </vt:variant>
      <vt:variant>
        <vt:lpstr>טווחים בעלי שם</vt:lpstr>
      </vt:variant>
      <vt:variant>
        <vt:i4>1</vt:i4>
      </vt:variant>
    </vt:vector>
  </HeadingPairs>
  <TitlesOfParts>
    <vt:vector size="8" baseType="lpstr">
      <vt:lpstr>Overview</vt:lpstr>
      <vt:lpstr>TABLE1</vt:lpstr>
      <vt:lpstr>table2</vt:lpstr>
      <vt:lpstr>Pivot Table</vt:lpstr>
      <vt:lpstr>גיליון1</vt:lpstr>
      <vt:lpstr>Notes</vt:lpstr>
      <vt:lpstr>lvl 2 Notes</vt:lpstr>
      <vt:lpst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liran nochumsohn</dc:creator>
  <cp:lastModifiedBy>liran nochumsohn</cp:lastModifiedBy>
  <dcterms:created xsi:type="dcterms:W3CDTF">2018-10-04T20:08:24Z</dcterms:created>
  <dcterms:modified xsi:type="dcterms:W3CDTF">2020-12-18T09:58:21Z</dcterms:modified>
</cp:coreProperties>
</file>