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Project\Live day trading 5\"/>
    </mc:Choice>
  </mc:AlternateContent>
  <xr:revisionPtr revIDLastSave="0" documentId="13_ncr:1_{B3DA6C1B-44B0-41C8-B0A5-EAF121C7C385}" xr6:coauthVersionLast="45" xr6:coauthVersionMax="45" xr10:uidLastSave="{00000000-0000-0000-0000-000000000000}"/>
  <bookViews>
    <workbookView xWindow="-120" yWindow="-120" windowWidth="29040" windowHeight="15840" tabRatio="598" activeTab="1" xr2:uid="{8BEF30E9-C34B-4533-9FA8-36C545EB6E37}"/>
  </bookViews>
  <sheets>
    <sheet name="Overview" sheetId="3" r:id="rId1"/>
    <sheet name="TABLE1" sheetId="1" r:id="rId2"/>
    <sheet name="table2" sheetId="6" r:id="rId3"/>
    <sheet name="Pivot Table" sheetId="4" r:id="rId4"/>
    <sheet name="גיליון1" sheetId="7" r:id="rId5"/>
    <sheet name="גיליון2" sheetId="8" r:id="rId6"/>
    <sheet name="Notes" sheetId="2" r:id="rId7"/>
    <sheet name="lvl 2 Notes" sheetId="5" state="hidden" r:id="rId8"/>
  </sheets>
  <externalReferences>
    <externalReference r:id="rId9"/>
  </externalReferences>
  <definedNames>
    <definedName name="_xlcn.WorksheetConnection_Livedaytrading4.xlsxTABLE11" hidden="1">TABLE1[]</definedName>
    <definedName name="_xlcn.WorksheetConnection_Livedaytrading4.xlsxtable21" hidden="1">table2[]</definedName>
    <definedName name="TABLE">TABLE1[#All]</definedName>
  </definedNames>
  <calcPr calcId="191029"/>
  <pivotCaches>
    <pivotCache cacheId="15" r:id="rId10"/>
    <pivotCache cacheId="16" r:id="rId11"/>
    <pivotCache cacheId="17"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3" i="1" l="1"/>
  <c r="BA4" i="1"/>
  <c r="BA5" i="1"/>
  <c r="BA6" i="1"/>
  <c r="BA2" i="1"/>
  <c r="AY3" i="1"/>
  <c r="AY4" i="1"/>
  <c r="AY5" i="1"/>
  <c r="AY6" i="1"/>
  <c r="AY2" i="1"/>
  <c r="G5" i="1" l="1"/>
  <c r="G6" i="1"/>
  <c r="G4" i="1"/>
  <c r="F6" i="1"/>
  <c r="F5" i="1"/>
  <c r="F4" i="1"/>
  <c r="O10" i="3" l="1"/>
  <c r="I18" i="3"/>
  <c r="AK6" i="1"/>
  <c r="AL6" i="1"/>
  <c r="AN6" i="1"/>
  <c r="AO6" i="1"/>
  <c r="AQ6" i="1"/>
  <c r="AS6" i="1" s="1"/>
  <c r="AR6" i="1"/>
  <c r="AT6" i="1"/>
  <c r="AU6" i="1"/>
  <c r="AW6" i="1"/>
  <c r="AX6" i="1"/>
  <c r="AZ6" i="1"/>
  <c r="BB6" i="1"/>
  <c r="AK5" i="1"/>
  <c r="AL5" i="1"/>
  <c r="AN5" i="1"/>
  <c r="AO5" i="1"/>
  <c r="AQ5" i="1"/>
  <c r="AS5" i="1" s="1"/>
  <c r="AR5" i="1"/>
  <c r="AT5" i="1"/>
  <c r="AU5" i="1"/>
  <c r="AW5" i="1"/>
  <c r="AM5" i="1" s="1"/>
  <c r="AX5" i="1"/>
  <c r="AZ5" i="1"/>
  <c r="BB5" i="1"/>
  <c r="AN4" i="1"/>
  <c r="AK4" i="1"/>
  <c r="AL4" i="1"/>
  <c r="AO4" i="1"/>
  <c r="AQ4" i="1"/>
  <c r="AS4" i="1" s="1"/>
  <c r="AR4" i="1"/>
  <c r="AT4" i="1"/>
  <c r="AU4" i="1"/>
  <c r="AW4" i="1"/>
  <c r="AX4" i="1"/>
  <c r="AZ4" i="1"/>
  <c r="BB4" i="1"/>
  <c r="AM6" i="1" l="1"/>
  <c r="AM4" i="1"/>
  <c r="BC4" i="1"/>
  <c r="AV4" i="1"/>
  <c r="BC6" i="1"/>
  <c r="AV6" i="1"/>
  <c r="BD6" i="1"/>
  <c r="BD5" i="1"/>
  <c r="AV5" i="1"/>
  <c r="BD4" i="1"/>
  <c r="BC5" i="1"/>
  <c r="AJ16" i="6"/>
  <c r="AK16" i="6"/>
  <c r="AL16" i="6"/>
  <c r="AM16" i="6"/>
  <c r="AN16" i="6"/>
  <c r="AO16" i="6"/>
  <c r="AP16" i="6"/>
  <c r="AQ16" i="6" s="1"/>
  <c r="AR16" i="6"/>
  <c r="AS16" i="6"/>
  <c r="AY16" i="6" s="1"/>
  <c r="AU16" i="6"/>
  <c r="AV16" i="6"/>
  <c r="AZ16" i="6"/>
  <c r="BA16" i="6"/>
  <c r="BB16" i="6"/>
  <c r="BC16" i="6"/>
  <c r="AJ15" i="6"/>
  <c r="AK15" i="6"/>
  <c r="AL15" i="6"/>
  <c r="AM15" i="6"/>
  <c r="AN15" i="6"/>
  <c r="AO15" i="6"/>
  <c r="AP15" i="6"/>
  <c r="AQ15" i="6" s="1"/>
  <c r="AR15" i="6"/>
  <c r="AS15" i="6"/>
  <c r="AX15" i="6" s="1"/>
  <c r="AU15" i="6"/>
  <c r="AV15" i="6"/>
  <c r="AZ15" i="6"/>
  <c r="BA15" i="6"/>
  <c r="BB15" i="6"/>
  <c r="BC15" i="6"/>
  <c r="AP2" i="1"/>
  <c r="M10" i="3"/>
  <c r="I10" i="3"/>
  <c r="G3" i="1"/>
  <c r="AN3" i="1" s="1"/>
  <c r="AR3" i="1"/>
  <c r="AR2" i="1"/>
  <c r="W2" i="1"/>
  <c r="V2" i="1"/>
  <c r="AK3" i="1"/>
  <c r="AL3" i="1"/>
  <c r="AO3" i="1"/>
  <c r="AQ3" i="1"/>
  <c r="AS3" i="1" s="1"/>
  <c r="AT3" i="1"/>
  <c r="AU3" i="1"/>
  <c r="AW3" i="1"/>
  <c r="AX3" i="1"/>
  <c r="AZ3" i="1"/>
  <c r="BB3" i="1"/>
  <c r="BE16" i="6" l="1"/>
  <c r="AM3" i="1"/>
  <c r="O13" i="3"/>
  <c r="O9" i="3"/>
  <c r="O7" i="3"/>
  <c r="M9" i="3"/>
  <c r="M7" i="3"/>
  <c r="BD3" i="1"/>
  <c r="M13" i="3"/>
  <c r="BD16" i="6"/>
  <c r="AX16" i="6"/>
  <c r="AW16" i="6"/>
  <c r="AT16" i="6"/>
  <c r="BD15" i="6"/>
  <c r="BE15" i="6"/>
  <c r="AY15" i="6"/>
  <c r="AW15" i="6"/>
  <c r="AT15" i="6"/>
  <c r="BC3" i="1"/>
  <c r="AV3" i="1"/>
  <c r="AJ14" i="6"/>
  <c r="AK14" i="6"/>
  <c r="AL14" i="6"/>
  <c r="AM14" i="6"/>
  <c r="AN14" i="6"/>
  <c r="AO14" i="6"/>
  <c r="AP14" i="6"/>
  <c r="AQ14" i="6" s="1"/>
  <c r="AR14" i="6"/>
  <c r="AS14" i="6"/>
  <c r="AY14" i="6" s="1"/>
  <c r="AU14" i="6"/>
  <c r="AV14" i="6"/>
  <c r="AZ14" i="6"/>
  <c r="BA14" i="6"/>
  <c r="BB14" i="6"/>
  <c r="BC14"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BE14" i="6" l="1"/>
  <c r="AX14" i="6"/>
  <c r="BE13" i="6"/>
  <c r="AX13" i="6"/>
  <c r="AW13" i="6"/>
  <c r="BD13" i="6"/>
  <c r="AT14" i="6"/>
  <c r="AT13" i="6"/>
  <c r="BE12" i="6"/>
  <c r="BD12" i="6"/>
  <c r="AW12" i="6"/>
  <c r="AT12" i="6"/>
  <c r="AW14" i="6"/>
  <c r="BD14" i="6"/>
  <c r="AY12" i="6"/>
  <c r="AJ11" i="6" l="1"/>
  <c r="AK11" i="6"/>
  <c r="AL11" i="6"/>
  <c r="AM11" i="6"/>
  <c r="AN11" i="6"/>
  <c r="AO11" i="6"/>
  <c r="AP11" i="6"/>
  <c r="AQ11" i="6" s="1"/>
  <c r="AR11" i="6"/>
  <c r="AS11" i="6"/>
  <c r="AY11" i="6" s="1"/>
  <c r="AU11" i="6"/>
  <c r="AV11" i="6"/>
  <c r="AZ11" i="6"/>
  <c r="BA11" i="6"/>
  <c r="BB11" i="6"/>
  <c r="BC11" i="6"/>
  <c r="BE11" i="6" l="1"/>
  <c r="BD11" i="6"/>
  <c r="AT11" i="6"/>
  <c r="AW11" i="6"/>
  <c r="AX11" i="6"/>
  <c r="AJ10" i="6" l="1"/>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BE10" i="6" l="1"/>
  <c r="AT10" i="6"/>
  <c r="AY10" i="6"/>
  <c r="BD10" i="6"/>
  <c r="AW10" i="6"/>
  <c r="BD9" i="6"/>
  <c r="AY9" i="6"/>
  <c r="AW9" i="6"/>
  <c r="AT9" i="6"/>
  <c r="BE9" i="6"/>
  <c r="AJ8" i="6" l="1"/>
  <c r="AK8" i="6"/>
  <c r="AL8" i="6"/>
  <c r="AM8" i="6"/>
  <c r="AN8" i="6"/>
  <c r="AO8" i="6"/>
  <c r="AP8" i="6"/>
  <c r="AQ8" i="6" s="1"/>
  <c r="AR8" i="6"/>
  <c r="AS8" i="6"/>
  <c r="AX8" i="6" s="1"/>
  <c r="AU8" i="6"/>
  <c r="BE8" i="6" s="1"/>
  <c r="AV8" i="6"/>
  <c r="AZ8" i="6"/>
  <c r="BA8" i="6"/>
  <c r="BB8" i="6"/>
  <c r="BC8" i="6"/>
  <c r="AJ7" i="6"/>
  <c r="AK7" i="6"/>
  <c r="AL7" i="6"/>
  <c r="AM7" i="6"/>
  <c r="AN7" i="6"/>
  <c r="AO7" i="6"/>
  <c r="AP7" i="6"/>
  <c r="AQ7" i="6" s="1"/>
  <c r="AR7" i="6"/>
  <c r="AS7" i="6"/>
  <c r="AX7" i="6" s="1"/>
  <c r="AU7" i="6"/>
  <c r="AV7" i="6"/>
  <c r="AZ7" i="6"/>
  <c r="BA7" i="6"/>
  <c r="BB7" i="6"/>
  <c r="BC7" i="6"/>
  <c r="AY8" i="6" l="1"/>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AV5" i="6" l="1"/>
  <c r="BD6" i="6"/>
  <c r="AY5" i="6"/>
  <c r="AX5" i="6"/>
  <c r="AW6" i="6"/>
  <c r="BE6" i="6"/>
  <c r="AT6" i="6"/>
  <c r="BE5" i="6"/>
  <c r="BD5" i="6"/>
  <c r="AT5" i="6"/>
  <c r="AX6" i="6"/>
  <c r="AJ4" i="6"/>
  <c r="AK4" i="6"/>
  <c r="AL4" i="6"/>
  <c r="AM4" i="6"/>
  <c r="AN4" i="6"/>
  <c r="AO4" i="6"/>
  <c r="AP4" i="6"/>
  <c r="AQ4" i="6" s="1"/>
  <c r="AR4" i="6"/>
  <c r="AS4" i="6"/>
  <c r="AY4" i="6" s="1"/>
  <c r="AU4" i="6"/>
  <c r="AV4" i="6"/>
  <c r="AZ4" i="6"/>
  <c r="BA4" i="6"/>
  <c r="BB4" i="6"/>
  <c r="BC4" i="6"/>
  <c r="AJ3" i="6"/>
  <c r="AK3" i="6"/>
  <c r="AL3" i="6"/>
  <c r="AM3" i="6"/>
  <c r="AN3" i="6"/>
  <c r="AO3" i="6"/>
  <c r="AP3" i="6"/>
  <c r="AQ3" i="6" s="1"/>
  <c r="AR3" i="6"/>
  <c r="AS3" i="6"/>
  <c r="AY3" i="6" s="1"/>
  <c r="AU3" i="6"/>
  <c r="AV3" i="6"/>
  <c r="AZ3" i="6"/>
  <c r="BA3" i="6"/>
  <c r="BB3" i="6"/>
  <c r="BC3" i="6"/>
  <c r="BE4" i="6" l="1"/>
  <c r="AX4" i="6"/>
  <c r="AT4" i="6"/>
  <c r="AW4" i="6"/>
  <c r="BD4" i="6"/>
  <c r="AT3" i="6"/>
  <c r="AX3" i="6"/>
  <c r="BE3" i="6"/>
  <c r="BD3" i="6"/>
  <c r="AW3" i="6"/>
  <c r="K10" i="3" l="1"/>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AZ2" i="1" l="1"/>
  <c r="BB2" i="1"/>
  <c r="AP3" i="1" l="1"/>
  <c r="AP4" i="1" s="1"/>
  <c r="AP5" i="1" s="1"/>
  <c r="AP6" i="1" s="1"/>
  <c r="AK2" i="1"/>
  <c r="AL2" i="1"/>
  <c r="AN2" i="1"/>
  <c r="AO2" i="1"/>
  <c r="AQ2" i="1"/>
  <c r="AS2" i="1" s="1"/>
  <c r="AT2" i="1"/>
  <c r="AU2" i="1"/>
  <c r="AW2" i="1"/>
  <c r="I21" i="3" s="1"/>
  <c r="AX2" i="1"/>
  <c r="I15" i="3" l="1"/>
  <c r="I17" i="3"/>
  <c r="I9" i="3"/>
  <c r="I7" i="3"/>
  <c r="AM2" i="1"/>
  <c r="I13" i="3"/>
  <c r="BD2" i="1"/>
  <c r="BC2" i="1"/>
  <c r="AV2" i="1"/>
  <c r="I20" i="3" l="1"/>
  <c r="I16" i="3"/>
  <c r="O12" i="3"/>
  <c r="O8" i="3"/>
  <c r="I19" i="3"/>
  <c r="O11" i="3"/>
  <c r="I12" i="3"/>
  <c r="I8" i="3"/>
  <c r="M11" i="3"/>
  <c r="M12" i="3"/>
  <c r="M8" i="3"/>
  <c r="I11" i="3"/>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I2" i="3" l="1"/>
  <c r="K2" i="3"/>
  <c r="K3" i="3" l="1"/>
  <c r="K4" i="3"/>
  <c r="I5"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1"/>
        </x15:connection>
      </ext>
    </extLst>
  </connection>
</connections>
</file>

<file path=xl/sharedStrings.xml><?xml version="1.0" encoding="utf-8"?>
<sst xmlns="http://schemas.openxmlformats.org/spreadsheetml/2006/main" count="597" uniqueCount="252">
  <si>
    <t>Instrument</t>
  </si>
  <si>
    <t>No</t>
  </si>
  <si>
    <t>Entry Date</t>
  </si>
  <si>
    <t>Setup</t>
  </si>
  <si>
    <t>Buy/Sell</t>
  </si>
  <si>
    <t>Quantity</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</si>
  <si>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</si>
  <si>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</si>
  <si>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</si>
  <si>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</si>
  <si>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</si>
  <si>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</si>
  <si>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</si>
  <si>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</si>
  <si>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</si>
  <si>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</si>
  <si>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</si>
  <si>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</si>
  <si>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</si>
  <si>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</si>
  <si>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</si>
  <si>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</si>
  <si>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</si>
  <si>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</si>
  <si>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</si>
  <si>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</si>
  <si>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</si>
  <si>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</si>
  <si>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</si>
  <si>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</si>
  <si>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</si>
  <si>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</si>
  <si>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</si>
  <si>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</si>
  <si>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</si>
  <si>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</si>
  <si>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</si>
  <si>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</si>
  <si>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</si>
  <si>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</si>
  <si>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</si>
  <si>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</si>
  <si>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</si>
  <si>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</si>
  <si>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</si>
  <si>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</si>
  <si>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</si>
  <si>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</si>
  <si>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</si>
  <si>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</si>
  <si>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</si>
  <si>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</si>
  <si>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</si>
  <si>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</si>
  <si>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</si>
  <si>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</si>
  <si>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</si>
  <si>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</si>
  <si>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</si>
  <si>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</si>
  <si>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</si>
  <si>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</si>
  <si>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</si>
  <si>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</si>
  <si>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</si>
  <si>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Gain/Loss</t>
  </si>
  <si>
    <t>Net Gain/Loss</t>
  </si>
  <si>
    <t>Time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</si>
  <si>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</si>
  <si>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</si>
  <si>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</si>
  <si>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</si>
  <si>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</si>
  <si>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</si>
  <si>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</si>
  <si>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</si>
  <si>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</si>
  <si>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</si>
  <si>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</si>
  <si>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</si>
  <si>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</si>
  <si>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</si>
  <si>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</si>
  <si>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</si>
  <si>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</si>
  <si>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</si>
  <si>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</si>
  <si>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</si>
  <si>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</si>
  <si>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</si>
  <si>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</si>
  <si>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</si>
  <si>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</si>
  <si>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</si>
  <si>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</si>
  <si>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</si>
  <si>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</si>
  <si>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</si>
  <si>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</si>
  <si>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</si>
  <si>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</si>
  <si>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</si>
  <si>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</si>
  <si>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</si>
  <si>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</si>
  <si>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</si>
  <si>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</si>
  <si>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</si>
  <si>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</si>
  <si>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</si>
  <si>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</si>
  <si>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</si>
  <si>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</si>
  <si>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</si>
  <si>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</si>
  <si>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</si>
  <si>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</si>
  <si>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</si>
  <si>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</si>
  <si>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</si>
  <si>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</si>
  <si>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</si>
  <si>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</si>
  <si>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</si>
  <si>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</si>
  <si>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</si>
  <si>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</si>
  <si>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</si>
  <si>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</si>
  <si>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</si>
  <si>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</si>
  <si>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</si>
  <si>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</si>
  <si>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</si>
  <si>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</si>
  <si>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</si>
  <si>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</si>
  <si>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</si>
  <si>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</si>
  <si>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</si>
  <si>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</si>
  <si>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</si>
  <si>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</si>
  <si>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</si>
  <si>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</si>
  <si>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</si>
  <si>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</si>
  <si>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</si>
  <si>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</si>
  <si>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</si>
  <si>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</si>
  <si>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</si>
  <si>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</si>
  <si>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</si>
  <si>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</si>
  <si>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</si>
  <si>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</si>
  <si>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</si>
  <si>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</si>
  <si>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</si>
  <si>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</si>
  <si>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</si>
  <si>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</si>
  <si>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</si>
  <si>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</si>
  <si>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ST</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</si>
  <si>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</si>
  <si>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</si>
  <si>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</si>
  <si>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</si>
  <si>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</si>
  <si>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</si>
  <si>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</si>
  <si>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</si>
  <si>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</si>
  <si>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F</t>
  </si>
  <si>
    <t>*TP is TRUE only if it had exceeded the 2.5 marks</t>
  </si>
  <si>
    <t>Short Float</t>
  </si>
  <si>
    <t>RRR difference</t>
  </si>
  <si>
    <t>RRR at 2.5</t>
  </si>
  <si>
    <t>RRR at 3</t>
  </si>
  <si>
    <t>סכום של  with SL at pattern break</t>
  </si>
  <si>
    <t>סכום של RRR at 2.5</t>
  </si>
  <si>
    <t>סכום של RRR at 3</t>
  </si>
  <si>
    <t>RBZ</t>
  </si>
  <si>
    <t>NOVN</t>
  </si>
  <si>
    <t>RRR Wick Exit</t>
  </si>
  <si>
    <t>RRR Candle Exit</t>
  </si>
  <si>
    <t>RTTR</t>
  </si>
  <si>
    <t>TBO</t>
  </si>
  <si>
    <t>..\Potential trades 2\TBO\RTTR.png</t>
  </si>
  <si>
    <t>OTLK</t>
  </si>
  <si>
    <t>Winner</t>
  </si>
  <si>
    <t>Loser</t>
  </si>
  <si>
    <t>..\Potential trades 2\TBO\rbz_001.png</t>
  </si>
  <si>
    <t>Trade BO only with relative volume higher than 50 and not later than 10:45</t>
  </si>
  <si>
    <t>BIOC</t>
  </si>
  <si>
    <t>Percent Gain</t>
  </si>
  <si>
    <t>NVAX</t>
  </si>
  <si>
    <t>AFH</t>
  </si>
  <si>
    <t>..\Potential trades 2\TBO\NVAX.png</t>
  </si>
  <si>
    <t>..\Potential trades 2\TBO\afh.png</t>
  </si>
  <si>
    <t>..\Potential trades 2\TBO\novn.png</t>
  </si>
  <si>
    <t>ZSAN</t>
  </si>
  <si>
    <t>..\Potential trades 2\TBO\ZSAN_001.png</t>
  </si>
  <si>
    <t>EMES</t>
  </si>
  <si>
    <t>..\Potential trades 2\TBO\emes.png</t>
  </si>
  <si>
    <t>SUNW</t>
  </si>
  <si>
    <t>..\Potential trades 2\TBO\sunw_.png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</si>
  <si>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</si>
  <si>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</si>
  <si>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</si>
  <si>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</si>
  <si>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</si>
  <si>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</si>
  <si>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SPY 4H</t>
  </si>
  <si>
    <t>CUI</t>
  </si>
  <si>
    <t>..\Potential trades 2\TBO\OTLK_-1.png</t>
  </si>
  <si>
    <t>Industiral Goods</t>
  </si>
  <si>
    <t>..\Potential trades 2\TBO</t>
  </si>
  <si>
    <t>In Trade Potential Price</t>
  </si>
  <si>
    <t>RRR Potential in Trade</t>
  </si>
  <si>
    <t>Trade Potential</t>
  </si>
  <si>
    <t>Avoid trading TBO with vwap BO's and more than 30 realative volume</t>
  </si>
  <si>
    <t>INUV</t>
  </si>
  <si>
    <t>VLRX</t>
  </si>
  <si>
    <t>FPH</t>
  </si>
  <si>
    <t>INUV.png</t>
  </si>
  <si>
    <t>VBO</t>
  </si>
  <si>
    <t>VLRX_.png</t>
  </si>
  <si>
    <t>HEAR</t>
  </si>
  <si>
    <t>..\Potential trades 2\TBO\HEAR.png</t>
  </si>
  <si>
    <t>..\Potential trades 2\TBO\inuv.png</t>
  </si>
  <si>
    <t>OBLN</t>
  </si>
  <si>
    <t>Flag pole hype</t>
  </si>
  <si>
    <t>FPH:</t>
  </si>
  <si>
    <t>BOT:</t>
  </si>
  <si>
    <t>VBO:</t>
  </si>
  <si>
    <t>VF:</t>
  </si>
  <si>
    <t>Vwap flag</t>
  </si>
  <si>
    <t>VBOB:</t>
  </si>
  <si>
    <t>Vwap breakout bottom</t>
  </si>
  <si>
    <t>Breakout top</t>
  </si>
  <si>
    <t>Vwap breakout</t>
  </si>
  <si>
    <t>VF</t>
  </si>
  <si>
    <t>Moderate</t>
  </si>
  <si>
    <t>OBLN.png</t>
  </si>
  <si>
    <t>RRR Difference</t>
  </si>
  <si>
    <t>Sector</t>
  </si>
  <si>
    <t>Potential Price Before BE</t>
  </si>
  <si>
    <t>RRR Volume Exit</t>
  </si>
  <si>
    <t>RRR Joint Wick and Volume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</si>
</sst>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3"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
      <b/>
      <sz val="10"/>
      <name val="Calibri"/>
      <family val="2"/>
      <scheme val="minor"/>
    </font>
    <font>
      <b/>
      <sz val="12"/>
      <name val="Calibri"/>
      <family val="2"/>
      <scheme val="minor"/>
    </font>
    <font>
      <b/>
      <sz val="9"/>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9">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167" fontId="0" fillId="0" borderId="0" xfId="0" applyNumberFormat="1"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0" fontId="10" fillId="3" borderId="0" xfId="0" applyFont="1" applyFill="1" applyBorder="1" applyAlignment="1">
      <alignment horizontal="center"/>
    </xf>
    <xf numFmtId="0" fontId="11" fillId="3" borderId="0" xfId="0" applyFont="1" applyFill="1" applyBorder="1" applyAlignment="1">
      <alignment horizontal="center"/>
    </xf>
    <xf numFmtId="0" fontId="12" fillId="3" borderId="0" xfId="0" applyFont="1" applyFill="1" applyBorder="1" applyAlignment="1">
      <alignment horizontal="center"/>
    </xf>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cellXfs>
  <cellStyles count="3">
    <cellStyle name="Normal" xfId="0" builtinId="0"/>
    <cellStyle name="Percent" xfId="2" builtinId="5"/>
    <cellStyle name="היפר-קישור" xfId="1" builtinId="8"/>
  </cellStyles>
  <dxfs count="90">
    <dxf>
      <numFmt numFmtId="0" formatCode="General"/>
    </dxf>
    <dxf>
      <numFmt numFmtId="0" formatCode="Genera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n">
          <color indexed="64"/>
        </right>
        <top/>
        <bottom/>
        <vertical/>
        <horizontal/>
      </border>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167" formatCode="0.0000"/>
    </dxf>
    <dxf>
      <numFmt numFmtId="0" formatCode="General"/>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3FA-42DE-B75C-372091D237DA}"/>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D6E-49AE-A955-12719828741F}"/>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סה"כ</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Notes!$AD$5:$AD$20</c:f>
              <c:numCache>
                <c:formatCode>General</c:formatCode>
                <c:ptCount val="15"/>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סה"כ</c:v>
                </c:pt>
              </c:strCache>
            </c:strRef>
          </c:tx>
          <c:spPr>
            <a:solidFill>
              <a:schemeClr val="accent1"/>
            </a:solidFill>
            <a:ln>
              <a:noFill/>
            </a:ln>
            <a:effectLst/>
          </c:spPr>
          <c:invertIfNegative val="0"/>
          <c:cat>
            <c:strRef>
              <c:f>'lvl 2 Notes'!$B$11:$B$16</c:f>
              <c:strCache>
                <c:ptCount val="5"/>
                <c:pt idx="0">
                  <c:v>1</c:v>
                </c:pt>
                <c:pt idx="1">
                  <c:v>2</c:v>
                </c:pt>
                <c:pt idx="2">
                  <c:v>3</c:v>
                </c:pt>
                <c:pt idx="3">
                  <c:v>4</c:v>
                </c:pt>
                <c:pt idx="4">
                  <c:v>5</c:v>
                </c:pt>
              </c:strCache>
            </c:strRef>
          </c:cat>
          <c:val>
            <c:numRef>
              <c:f>'lvl 2 Notes'!$C$11:$C$16</c:f>
              <c:numCache>
                <c:formatCode>General</c:formatCode>
                <c:ptCount val="5"/>
                <c:pt idx="0">
                  <c:v>-0.72499999999999998</c:v>
                </c:pt>
                <c:pt idx="1">
                  <c:v>-1.0999999999999979</c:v>
                </c:pt>
                <c:pt idx="2">
                  <c:v>-0.94999999999999984</c:v>
                </c:pt>
                <c:pt idx="3">
                  <c:v>-0.875</c:v>
                </c:pt>
                <c:pt idx="4">
                  <c:v>-1.075</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200025</xdr:colOff>
      <xdr:row>21</xdr:row>
      <xdr:rowOff>19050</xdr:rowOff>
    </xdr:from>
    <xdr:to>
      <xdr:col>14</xdr:col>
      <xdr:colOff>251460</xdr:colOff>
      <xdr:row>40</xdr:row>
      <xdr:rowOff>53340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Live%20day%20trading%203\Live%20day%20trading%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ABLE1"/>
      <sheetName val="table2"/>
      <sheetName val="Pivot Table"/>
      <sheetName val="גיליון1"/>
      <sheetName val="Notes"/>
      <sheetName val="lvl 2 Notes"/>
    </sheetNames>
    <sheetDataSet>
      <sheetData sheetId="0"/>
      <sheetData sheetId="1"/>
      <sheetData sheetId="2"/>
      <sheetData sheetId="3"/>
      <sheetData sheetId="4"/>
      <sheetData sheetId="5" refreshError="1"/>
      <sheetData sheetId="6"/>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6.166209143521"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14" level="32767"/>
    <cacheField name="[TABLE1].[No].[No]" caption="No" numFmtId="0" hierarchy="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s>
        </ext>
      </extLst>
    </cacheField>
  </cacheFields>
  <cacheHierarchies count="117">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In Trade Potential Price]" caption="In Trade Potential Price" attribute="1" defaultMemberUniqueName="[TABLE1].[In Trade Potential Price].[All]" allUniqueName="[TABLE1].[In Trade Potential Price].[All]" dimensionUniqueName="[TABLE1]" displayFolder="" count="0" memberValueDatatype="5"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1" unbalanced="0"/>
    <cacheHierarchy uniqueName="[TABLE1].[TP Hit]" caption="TP Hit" attribute="1" defaultMemberUniqueName="[TABLE1].[TP Hit].[All]" allUniqueName="[TABLE1].[TP Hit].[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5" unbalanced="0"/>
    <cacheHierarchy uniqueName="[TABLE1].[Volume Exit BE]" caption="Volume Exit BE" attribute="1" defaultMemberUniqueName="[TABLE1].[Volume Exit BE].[All]" allUniqueName="[TABLE1].[Volume Exit BE].[All]" dimensionUniqueName="[TABLE1]" displayFolder="" count="0" memberValueDatatype="5" unbalanced="0"/>
    <cacheHierarchy uniqueName="[TABLE1].[Candle Exit]" caption="Candle Exit" attribute="1" defaultMemberUniqueName="[TABLE1].[Candle Exit].[All]" allUniqueName="[TABLE1].[Candle Exit].[All]" dimensionUniqueName="[TABLE1]" displayFolder="" count="0" memberValueDatatype="11" unbalanced="0"/>
    <cacheHierarchy uniqueName="[TABLE1].[Wick Exit]" caption="Wick Exit" attribute="1" defaultMemberUniqueName="[TABLE1].[Wick Exit].[All]" allUniqueName="[TABLE1].[Wick Exit].[All]" dimensionUniqueName="[TABLE1]" displayFolder="" count="0" memberValueDatatype="11"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20" unbalanced="0"/>
    <cacheHierarchy uniqueName="[TABLE1].[Daily Volume in Mil]" caption="Daily Volume in Mil" attribute="1" defaultMemberUniqueName="[TABLE1].[Daily Volume in Mil].[All]" allUniqueName="[TABLE1].[Daily Volume in Mil].[All]" dimensionUniqueName="[TABLE1]" displayFolder="" count="0" memberValueDatatype="130"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time="1" defaultMemberUniqueName="[TABLE1].[Time].[All]" allUniqueName="[TABLE1].[Time].[All]" dimensionUniqueName="[TABLE1]" displayFolder="" count="0" memberValueDatatype="7" unbalanced="0"/>
    <cacheHierarchy uniqueName="[TABLE1].[Sum Gain]" caption="Sum Gain" attribute="1" defaultMemberUniqueName="[TABLE1].[Sum Gain].[All]" allUniqueName="[TABLE1].[Sum Gain].[All]" dimensionUniqueName="[TABLE1]" displayFolder="" count="0" memberValueDatatype="5"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Trade Potential]" caption="Trade Potential" attribute="1" defaultMemberUniqueName="[TABLE1].[Trade Potential].[All]" allUniqueName="[TABLE1].[Trade Potential].[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in Trade]" caption="RRR Potential in Trade" attribute="1" defaultMemberUniqueName="[TABLE1].[RRR Potential in Trade].[All]" allUniqueName="[TABLE1].[RRR Potential in Trade].[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0"/>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93"/>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5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09953706" createdVersion="6" refreshedVersion="6" minRefreshableVersion="3" recordCount="15"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5" count="15">
        <n v="1"/>
        <n v="2"/>
        <n v="3"/>
        <n v="4"/>
        <n v="5"/>
        <n v="6"/>
        <n v="7"/>
        <n v="8"/>
        <n v="9"/>
        <n v="10"/>
        <n v="11"/>
        <n v="12"/>
        <n v="13"/>
        <n v="14"/>
        <n v="15"/>
      </sharedItems>
    </cacheField>
    <cacheField name="Entry Date" numFmtId="165">
      <sharedItems containsSemiMixedTypes="0" containsNonDate="0" containsDate="1" containsString="0" minDate="2019-05-07T00:00:00" maxDate="2019-05-30T00:00:00"/>
    </cacheField>
    <cacheField name="Entry Time" numFmtId="164">
      <sharedItems containsSemiMixedTypes="0" containsNonDate="0" containsDate="1" containsString="0" minDate="1899-12-30T10:06:00" maxDate="1899-12-30T12:00:00"/>
    </cacheField>
    <cacheField name="Exit Time" numFmtId="164">
      <sharedItems containsSemiMixedTypes="0" containsNonDate="0" containsDate="1" containsString="0" minDate="1899-12-30T10:15:00" maxDate="1899-12-30T15:55:00"/>
    </cacheField>
    <cacheField name="Setup" numFmtId="0">
      <sharedItems/>
    </cacheField>
    <cacheField name="Buy/Sell" numFmtId="0">
      <sharedItems/>
    </cacheField>
    <cacheField name="Intended Entry" numFmtId="0">
      <sharedItems containsSemiMixedTypes="0" containsString="0" containsNumber="1" minValue="0.376" maxValue="9.34"/>
    </cacheField>
    <cacheField name="Entry Price" numFmtId="0">
      <sharedItems containsSemiMixedTypes="0" containsString="0" containsNumber="1" minValue="0.376" maxValue="9.34"/>
    </cacheField>
    <cacheField name="SL Price" numFmtId="0">
      <sharedItems containsSemiMixedTypes="0" containsString="0" containsNumber="1" minValue="0.41599999999999998" maxValue="9.44"/>
    </cacheField>
    <cacheField name="Exit Price" numFmtId="0">
      <sharedItems containsSemiMixedTypes="0" containsString="0" containsNumber="1" minValue="0.41599999999999998" maxValue="9.44"/>
    </cacheField>
    <cacheField name="Highest Price" numFmtId="0">
      <sharedItems containsSemiMixedTypes="0" containsString="0" containsNumber="1" minValue="0.41599999999999998" maxValue="9.44"/>
    </cacheField>
    <cacheField name="Lowest Price" numFmtId="0">
      <sharedItems containsSemiMixedTypes="0" containsString="0" containsNumber="1" minValue="0.32" maxValue="9.2100000000000009"/>
    </cacheField>
    <cacheField name="Price Before BE" numFmtId="0">
      <sharedItems containsMixedTypes="1" containsNumber="1" minValue="0.32" maxValue="9.2100000000000009"/>
    </cacheField>
    <cacheField name="Potential Price" numFmtId="0">
      <sharedItems containsSemiMixedTypes="0" containsString="0" containsNumber="1" minValue="0.32" maxValue="9.2100000000000009"/>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36"/>
    </cacheField>
    <cacheField name="Outcome" numFmtId="0">
      <sharedItems/>
    </cacheField>
    <cacheField name="Daily Volume in Mil" numFmtId="0">
      <sharedItems containsString="0" containsBlank="1" containsNumber="1" minValue="0.89" maxValue="30"/>
    </cacheField>
    <cacheField name="Catalyst" numFmtId="0">
      <sharedItems/>
    </cacheField>
    <cacheField name="Percent Gain" numFmtId="0">
      <sharedItems containsSemiMixedTypes="0" containsString="0" containsNumber="1" minValue="6.52" maxValue="155"/>
    </cacheField>
    <cacheField name="Float" numFmtId="0">
      <sharedItems containsSemiMixedTypes="0" containsString="0" containsNumber="1" minValue="3.66" maxValue="28"/>
    </cacheField>
    <cacheField name="Short Float" numFmtId="0">
      <sharedItems containsSemiMixedTypes="0" containsString="0" containsNumber="1" minValue="0.4" maxValue="52"/>
    </cacheField>
    <cacheField name="Picture" numFmtId="0">
      <sharedItems containsBlank="1"/>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5:13: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1"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10416668" createdVersion="6" refreshedVersion="6" minRefreshableVersion="3" recordCount="5" xr:uid="{100F9A84-A1C9-49C0-BB25-A0EBE6EFBC09}">
  <cacheSource type="worksheet">
    <worksheetSource name="TABLE1"/>
  </cacheSource>
  <cacheFields count="54">
    <cacheField name="Instrument" numFmtId="0">
      <sharedItems/>
    </cacheField>
    <cacheField name="No" numFmtId="0">
      <sharedItems containsSemiMixedTypes="0" containsString="0" containsNumber="1" minValue="0.1" maxValue="96" count="97">
        <n v="1"/>
        <n v="2"/>
        <n v="3"/>
        <n v="4"/>
        <n v="5"/>
        <n v="7" u="1"/>
        <n v="69" u="1"/>
        <n v="82" u="1"/>
        <n v="53" u="1"/>
        <n v="33" u="1"/>
        <n v="95" u="1"/>
        <n v="68" u="1"/>
        <n v="46" u="1"/>
        <n v="29" u="1"/>
        <n v="19" u="1"/>
        <n v="81" u="1"/>
        <n v="94" u="1"/>
        <n v="59" u="1"/>
        <n v="39" u="1"/>
        <n v="67" u="1"/>
        <n v="80" u="1"/>
        <n v="52" u="1"/>
        <n v="32" u="1"/>
        <n v="22" u="1"/>
        <n v="14" u="1"/>
        <n v="9" u="1"/>
        <n v="6" u="1"/>
        <n v="93" u="1"/>
        <n v="66" u="1"/>
        <n v="45" u="1"/>
        <n v="79" u="1"/>
        <n v="92" u="1"/>
        <n v="58" u="1"/>
        <n v="38" u="1"/>
        <n v="25" u="1"/>
        <n v="65" u="1"/>
        <n v="78" u="1"/>
        <n v="51" u="1"/>
        <n v="91" u="1"/>
        <n v="64" u="1"/>
        <n v="44" u="1"/>
        <n v="28" u="1"/>
        <n v="18" u="1"/>
        <n v="12" u="1"/>
        <n v="77" u="1"/>
        <n v="90" u="1"/>
        <n v="57" u="1"/>
        <n v="37" u="1"/>
        <n v="76" u="1"/>
        <n v="50" u="1"/>
        <n v="31" u="1"/>
        <n v="21" u="1"/>
        <n v="89" u="1"/>
        <n v="63" u="1"/>
        <n v="43" u="1"/>
        <n v="75" u="1"/>
        <n v="88" u="1"/>
        <n v="56" u="1"/>
        <n v="36" u="1"/>
        <n v="24" u="1"/>
        <n v="15" u="1"/>
        <n v="10" u="1"/>
        <n v="74" u="1"/>
        <n v="49" u="1"/>
        <n v="87" u="1"/>
        <n v="62" u="1"/>
        <n v="42" u="1"/>
        <n v="27" u="1"/>
        <n v="17" u="1"/>
        <n v="73" u="1"/>
        <n v="0.1" u="1"/>
        <n v="86" u="1"/>
        <n v="55" u="1"/>
        <n v="35" u="1"/>
        <n v="72" u="1"/>
        <n v="48" u="1"/>
        <n v="30" u="1"/>
        <n v="20" u="1"/>
        <n v="13" u="1"/>
        <n v="8" u="1"/>
        <n v="85" u="1"/>
        <n v="61" u="1"/>
        <n v="41" u="1"/>
        <n v="71" u="1"/>
        <n v="84" u="1"/>
        <n v="54" u="1"/>
        <n v="34" u="1"/>
        <n v="23" u="1"/>
        <n v="70" u="1"/>
        <n v="47" u="1"/>
        <n v="83" u="1"/>
        <n v="96" u="1"/>
        <n v="60" u="1"/>
        <n v="40" u="1"/>
        <n v="26" u="1"/>
        <n v="16" u="1"/>
        <n v="11" u="1"/>
      </sharedItems>
    </cacheField>
    <cacheField name="Entry Date" numFmtId="165">
      <sharedItems containsSemiMixedTypes="0" containsNonDate="0" containsDate="1" containsString="0" minDate="2019-05-29T00:00:00" maxDate="2019-05-31T00:00:00"/>
    </cacheField>
    <cacheField name="Entry Time" numFmtId="164">
      <sharedItems containsSemiMixedTypes="0" containsNonDate="0" containsDate="1" containsString="0" minDate="1899-12-30T09:49:00" maxDate="1899-12-30T10:26:00"/>
    </cacheField>
    <cacheField name="Exit Time" numFmtId="164">
      <sharedItems containsSemiMixedTypes="0" containsNonDate="0" containsDate="1" containsString="0" minDate="1899-12-30T09:51:00" maxDate="1899-12-30T10:43:00"/>
    </cacheField>
    <cacheField name="Comissions" numFmtId="0">
      <sharedItems containsSemiMixedTypes="0" containsString="0" containsNumber="1" minValue="25.383333333333336" maxValue="50.68"/>
    </cacheField>
    <cacheField name="Gain/Loss" numFmtId="0">
      <sharedItems containsSemiMixedTypes="0" containsString="0" containsNumber="1" minValue="-348" maxValue="513.38"/>
    </cacheField>
    <cacheField name="Quantity" numFmtId="1">
      <sharedItems containsSemiMixedTypes="0" containsString="0" containsNumber="1" containsInteger="1" minValue="2500" maxValue="5000"/>
    </cacheField>
    <cacheField name="Setup" numFmtId="0">
      <sharedItems/>
    </cacheField>
    <cacheField name="Buy/Sell" numFmtId="0">
      <sharedItems/>
    </cacheField>
    <cacheField name="Intended Entry" numFmtId="0">
      <sharedItems containsSemiMixedTypes="0" containsString="0" containsNumber="1" minValue="0.749" maxValue="3.41"/>
    </cacheField>
    <cacheField name="Entry Price" numFmtId="0">
      <sharedItems containsSemiMixedTypes="0" containsString="0" containsNumber="1" minValue="0.76" maxValue="3.42"/>
    </cacheField>
    <cacheField name="SL Price" numFmtId="0">
      <sharedItems containsSemiMixedTypes="0" containsString="0" containsNumber="1" minValue="0.70899999999999996" maxValue="3.31"/>
    </cacheField>
    <cacheField name="Exit Price" numFmtId="0">
      <sharedItems containsSemiMixedTypes="0" containsString="0" containsNumber="1" minValue="0.88700000000000001" maxValue="3.3050000000000002"/>
    </cacheField>
    <cacheField name="Highest Price" numFmtId="0">
      <sharedItems containsSemiMixedTypes="0" containsString="0" containsNumber="1" minValue="0.88700000000000001" maxValue="3.44"/>
    </cacheField>
    <cacheField name="Lowest Price" numFmtId="0">
      <sharedItems containsSemiMixedTypes="0" containsString="0" containsNumber="1" minValue="0.73099999999999998" maxValue="3.31"/>
    </cacheField>
    <cacheField name="In Trade Potential Price" numFmtId="0">
      <sharedItems containsSemiMixedTypes="0" containsString="0" containsNumber="1" minValue="0.88700000000000001" maxValue="3.44"/>
    </cacheField>
    <cacheField name="Potential Price" numFmtId="0">
      <sharedItems containsSemiMixedTypes="0" containsString="0" containsNumber="1" minValue="0.88700000000000001" maxValue="4.4000000000000004"/>
    </cacheField>
    <cacheField name="Pattern SL" numFmtId="0">
      <sharedItems/>
    </cacheField>
    <cacheField name="TP Hit" numFmtId="0">
      <sharedItems/>
    </cacheField>
    <cacheField name="Volume Exit" numFmtId="0">
      <sharedItems containsMixedTypes="1" containsNumber="1" minValue="0.8" maxValue="1.71"/>
    </cacheField>
    <cacheField name="Volume Exit RRR Reach" numFmtId="0">
      <sharedItems containsString="0" containsBlank="1" containsNumber="1" minValue="2.75" maxValue="3.1749999999999972"/>
    </cacheField>
    <cacheField name="Volume Exit BE" numFmtId="0">
      <sharedItems containsString="0" containsBlank="1" containsNumber="1" minValue="2.75" maxValue="3.1749999999999972"/>
    </cacheField>
    <cacheField name="Candle Exit" numFmtId="0">
      <sharedItems/>
    </cacheField>
    <cacheField name="Wick Exit" numFmtId="0">
      <sharedItems/>
    </cacheField>
    <cacheField name="Price Behaviour" numFmtId="0">
      <sharedItems containsBlank="1" count="7">
        <s v="Strong BO"/>
        <s v="Fast Reversal"/>
        <s v="Moderate"/>
        <m u="1"/>
        <s v="Quick SL" u="1"/>
        <s v="Stuck and Slow" u="1"/>
        <s v="Moderate Move" u="1"/>
      </sharedItems>
    </cacheField>
    <cacheField name="VPA" numFmtId="0">
      <sharedItems containsBlank="1" count="5">
        <s v="Good"/>
        <s v="NONE"/>
        <s v="Medium"/>
        <m u="1"/>
        <s v="Bad" u="1"/>
      </sharedItems>
    </cacheField>
    <cacheField name="Secotor" numFmtId="0">
      <sharedItems/>
    </cacheField>
    <cacheField name="Relative Volume" numFmtId="0">
      <sharedItems containsSemiMixedTypes="0" containsString="0" containsNumber="1" containsInteger="1" minValue="40" maxValue="50"/>
    </cacheField>
    <cacheField name="Daily Volume in Mil" numFmtId="0">
      <sharedItems containsNonDate="0" containsString="0" containsBlank="1"/>
    </cacheField>
    <cacheField name="Catalyst" numFmtId="0">
      <sharedItems/>
    </cacheField>
    <cacheField name="Pattern" numFmtId="0">
      <sharedItems/>
    </cacheField>
    <cacheField name="Float" numFmtId="0">
      <sharedItems containsSemiMixedTypes="0" containsString="0" containsNumber="1" minValue="4.28" maxValue="27.5"/>
    </cacheField>
    <cacheField name="Short Float" numFmtId="0">
      <sharedItems containsSemiMixedTypes="0" containsString="0" containsNumber="1" minValue="0.4" maxValue="94"/>
    </cacheField>
    <cacheField name="Picture" numFmtId="0">
      <sharedItems/>
    </cacheField>
    <cacheField name="RRR in-trade" numFmtId="0">
      <sharedItems containsSemiMixedTypes="0" containsString="0" containsNumber="1" minValue="2.5000000000000001E-2" maxValue="3.1749999999999972"/>
    </cacheField>
    <cacheField name="Negative RRR in-trade" numFmtId="167">
      <sharedItems containsSemiMixedTypes="0" containsString="0" containsNumber="1" minValue="-1.0999999999999979" maxValue="-0.72499999999999998"/>
    </cacheField>
    <cacheField name="Outcome" numFmtId="0">
      <sharedItems count="2">
        <s v="WINNER"/>
        <s v="LOSER"/>
      </sharedItems>
    </cacheField>
    <cacheField name="Net Gain/Loss" numFmtId="0">
      <sharedItems containsSemiMixedTypes="0" containsString="0" containsNumber="1" minValue="-378.56" maxValue="487.99666666666667"/>
    </cacheField>
    <cacheField name="Time" numFmtId="21">
      <sharedItems containsSemiMixedTypes="0" containsNonDate="0" containsDate="1" containsString="0" minDate="1899-12-30T00:02:00" maxDate="1899-12-30T00:43:00"/>
    </cacheField>
    <cacheField name="Sum Gain" numFmtId="0">
      <sharedItems containsSemiMixedTypes="0" containsString="0" containsNumber="1" minValue="-127.37333333333333" maxValue="459.19"/>
    </cacheField>
    <cacheField name="Missed RRR on Entry" numFmtId="0">
      <sharedItems containsSemiMixedTypes="0" containsString="0" containsNumber="1" minValue="-2.5000000000000022E-2" maxValue="0.27499999999999991"/>
    </cacheField>
    <cacheField name="Trade Potential" numFmtId="0">
      <sharedItems containsSemiMixedTypes="0" containsString="0" containsNumber="1" minValue="3.45" maxValue="9.9"/>
    </cacheField>
    <cacheField name="Missed RRR" numFmtId="167">
      <sharedItems containsSemiMixedTypes="0" containsString="0" containsNumber="1" minValue="-2.5000000000000022E-2" maxValue="0.27499999999999991"/>
    </cacheField>
    <cacheField name="RRR Potential in Trade" numFmtId="167">
      <sharedItems containsSemiMixedTypes="0" containsString="0" containsNumber="1" minValue="2.5000000000000001E-2" maxValue="3.1749999999999998"/>
    </cacheField>
    <cacheField name="Hard RRR Potential" numFmtId="167">
      <sharedItems containsSemiMixedTypes="0" containsString="0" containsNumber="1" minValue="0" maxValue="3.45"/>
    </cacheField>
    <cacheField name="RRR difference" numFmtId="167">
      <sharedItems containsSemiMixedTypes="0" containsString="0" containsNumber="1" minValue="0" maxValue="1.3499999999999999"/>
    </cacheField>
    <cacheField name="RRR Realized" numFmtId="0">
      <sharedItems containsSemiMixedTypes="0" containsString="0" containsNumber="1" minValue="-1.1499999999999999" maxValue="3.1749999999999998"/>
    </cacheField>
    <cacheField name=" with SL at pattern break" numFmtId="0">
      <sharedItems containsSemiMixedTypes="0" containsString="0" containsNumber="1" minValue="-1.1499999999999999" maxValue="3.1749999999999998"/>
    </cacheField>
    <cacheField name=" with Volume Exit" numFmtId="0">
      <sharedItems containsSemiMixedTypes="0" containsString="0" containsNumber="1" minValue="-1.1499999999999999" maxValue="3.1749999999999998"/>
    </cacheField>
    <cacheField name="RRR Wick Exit" numFmtId="0">
      <sharedItems containsSemiMixedTypes="0" containsString="0" containsNumber="1" minValue="-1.1499999999999999" maxValue="3.1749999999999998"/>
    </cacheField>
    <cacheField name="RRR Candle Exit" numFmtId="0">
      <sharedItems containsSemiMixedTypes="0" containsString="0" containsNumber="1" minValue="-1.1499999999999999" maxValue="3.1749999999999998"/>
    </cacheField>
    <cacheField name="RRR at 2.5" numFmtId="0">
      <sharedItems containsSemiMixedTypes="0" containsString="0" containsNumber="1" minValue="-1.1499999999999999" maxValue="2.5"/>
    </cacheField>
    <cacheField name="RRR at 3" numFmtId="0">
      <sharedItems containsSemiMixedTypes="0" containsString="0" containsNumber="1" minValue="-1.1499999999999999" maxValue="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r>
    <s v="OTLK"/>
    <x v="10"/>
    <d v="2019-05-28T00:00:00"/>
    <d v="1899-12-30T11:17:00"/>
    <d v="1899-12-30T11:43:00"/>
    <s v="TBO"/>
    <s v="SELL"/>
    <n v="2.89"/>
    <n v="2.89"/>
    <n v="3.02"/>
    <n v="3.02"/>
    <n v="3.02"/>
    <n v="2.87"/>
    <n v="3.02"/>
    <n v="2.87"/>
    <b v="0"/>
    <b v="0"/>
    <b v="0"/>
    <b v="0"/>
    <b v="0"/>
    <m/>
    <m/>
    <b v="0"/>
    <b v="0"/>
    <s v="Fast Reversal"/>
    <s v="Bad"/>
    <s v="Healthcare"/>
    <n v="3.11"/>
    <s v="Loser"/>
    <m/>
    <s v="H"/>
    <n v="14"/>
    <n v="14.4"/>
    <n v="3.77"/>
    <s v="..\Potential trades 2\TBO\OTLK_-1.png"/>
    <n v="0.1538461538461541"/>
    <n v="-1"/>
    <d v="1899-12-30T00:26:00"/>
    <s v="FALSE"/>
    <n v="232"/>
    <n v="-1"/>
    <n v="0"/>
    <n v="0"/>
    <n v="0.15379999999999999"/>
    <n v="0.15379999999999999"/>
    <n v="1.1537999999999999"/>
    <n v="-1"/>
    <n v="-1"/>
    <n v="-1"/>
    <n v="-1"/>
    <n v="-1"/>
    <n v="-1"/>
    <n v="-1"/>
    <n v="-1"/>
    <n v="-1"/>
    <n v="-1"/>
    <n v="-1"/>
  </r>
  <r>
    <s v="CUI"/>
    <x v="11"/>
    <d v="2019-05-28T00:00:00"/>
    <d v="1899-12-30T11:25:00"/>
    <d v="1899-12-30T14:07:00"/>
    <s v="TBO"/>
    <s v="SELL"/>
    <n v="1.1499999999999999"/>
    <n v="1.1499999999999999"/>
    <n v="1.19"/>
    <n v="1.05"/>
    <n v="1.1599999999999999"/>
    <n v="1.05"/>
    <b v="0"/>
    <n v="1.03"/>
    <b v="0"/>
    <b v="0"/>
    <b v="0"/>
    <m/>
    <b v="0"/>
    <m/>
    <m/>
    <b v="0"/>
    <b v="0"/>
    <s v="Strong BO"/>
    <s v="Good"/>
    <s v="Industiral Goods"/>
    <n v="6.58"/>
    <s v="Winner"/>
    <n v="0.89"/>
    <s v="H"/>
    <n v="17"/>
    <n v="28"/>
    <n v="0.79"/>
    <s v="..\Potential trades 2\TBO"/>
    <n v="2.4999999999999947"/>
    <n v="-0.25"/>
    <d v="1899-12-30T02:42:00"/>
    <s v="FALSE"/>
    <n v="232"/>
    <s v="FALSE"/>
    <n v="0"/>
    <n v="0"/>
    <n v="3"/>
    <n v="3"/>
    <n v="0.5"/>
    <n v="2.5"/>
    <n v="2.5"/>
    <n v="2.5"/>
    <n v="2.5"/>
    <n v="2.5"/>
    <n v="2.5"/>
    <n v="2.5"/>
    <n v="2.5"/>
    <n v="2.5"/>
    <n v="2.5"/>
    <n v="3"/>
  </r>
  <r>
    <s v="SUNW"/>
    <x v="12"/>
    <d v="2019-05-28T00:00:00"/>
    <d v="1899-12-30T10:42:00"/>
    <d v="1899-12-30T15:55:00"/>
    <s v="TBO"/>
    <s v="SELL"/>
    <n v="1.02"/>
    <n v="1.02"/>
    <n v="1.06"/>
    <n v="1.03"/>
    <n v="1.05"/>
    <n v="0.95"/>
    <n v="0.96"/>
    <n v="0.95"/>
    <b v="0"/>
    <b v="0"/>
    <b v="0"/>
    <m/>
    <b v="0"/>
    <m/>
    <m/>
    <b v="0"/>
    <b v="0"/>
    <s v="Moderate Move"/>
    <s v="Bad"/>
    <s v="Technology"/>
    <n v="3"/>
    <s v="Loser"/>
    <n v="1.1100000000000001"/>
    <s v="H"/>
    <n v="6.63"/>
    <n v="22.9"/>
    <n v="2.48"/>
    <m/>
    <n v="1.75"/>
    <n v="-0.75"/>
    <d v="1899-12-30T05:13:00"/>
    <s v="FALSE"/>
    <n v="232"/>
    <n v="1.5"/>
    <n v="0"/>
    <n v="0"/>
    <n v="1.75"/>
    <n v="1.75"/>
    <n v="2"/>
    <n v="-0.25"/>
    <n v="-0.25"/>
    <n v="-0.25"/>
    <n v="-0.25"/>
    <n v="-0.25"/>
    <n v="-0.25"/>
    <n v="-0.25"/>
    <n v="-0.25"/>
    <n v="-0.25"/>
    <n v="-0.25"/>
    <n v="-0.25"/>
  </r>
  <r>
    <s v="HEAR"/>
    <x v="13"/>
    <d v="2019-05-29T00:00:00"/>
    <d v="1899-12-30T11:09:00"/>
    <d v="1899-12-30T12:25:00"/>
    <s v="TBO"/>
    <s v="SELL"/>
    <n v="9.34"/>
    <n v="9.34"/>
    <n v="9.44"/>
    <n v="9.44"/>
    <n v="9.44"/>
    <n v="9.2100000000000009"/>
    <n v="9.2100000000000009"/>
    <n v="9.2100000000000009"/>
    <b v="0"/>
    <b v="0"/>
    <b v="0"/>
    <m/>
    <b v="0"/>
    <m/>
    <m/>
    <b v="0"/>
    <b v="0"/>
    <s v="Strong BO"/>
    <s v="Medium"/>
    <s v="Technology"/>
    <n v="2"/>
    <s v="Loser"/>
    <m/>
    <s v="H"/>
    <n v="6.52"/>
    <n v="12.42"/>
    <n v="52"/>
    <s v="..\Potential trades 2\TBO\HEAR.png"/>
    <n v="1.2999999999999947"/>
    <n v="-1"/>
    <d v="1899-12-30T01:16:00"/>
    <s v="FALSE"/>
    <n v="232"/>
    <n v="1.2999999999999947"/>
    <n v="0"/>
    <n v="0"/>
    <n v="1.3"/>
    <n v="1.3"/>
    <n v="2.2999999999999998"/>
    <n v="-1"/>
    <n v="-1"/>
    <n v="-1"/>
    <n v="-1"/>
    <n v="-1"/>
    <n v="-1"/>
    <n v="-1"/>
    <n v="-1"/>
    <n v="-1"/>
    <n v="-1"/>
    <n v="-1"/>
  </r>
  <r>
    <s v="INUV"/>
    <x v="14"/>
    <d v="2019-05-29T00:00:00"/>
    <d v="1899-12-30T10:06:00"/>
    <d v="1899-12-30T10:15:00"/>
    <s v="TBO"/>
    <s v="SELL"/>
    <n v="0.8"/>
    <n v="0.8"/>
    <n v="0.85"/>
    <n v="0.85"/>
    <n v="0.85"/>
    <n v="0.75"/>
    <n v="0.75"/>
    <n v="0.75"/>
    <b v="0"/>
    <b v="0"/>
    <b v="0"/>
    <b v="0"/>
    <b v="0"/>
    <m/>
    <m/>
    <b v="0"/>
    <b v="0"/>
    <s v="Fast Reversal"/>
    <s v="Medium"/>
    <s v="Services"/>
    <n v="36"/>
    <s v="Loser"/>
    <m/>
    <s v="H"/>
    <n v="60"/>
    <n v="27"/>
    <n v="0.4"/>
    <s v="..\Potential trades 2\TBO\inuv.png"/>
    <n v="1.0000000000000022"/>
    <n v="-1"/>
    <d v="1899-12-30T00:09:00"/>
    <s v="FALSE"/>
    <n v="232"/>
    <n v="1.0000000000000022"/>
    <n v="0"/>
    <n v="0"/>
    <n v="1"/>
    <n v="1"/>
    <n v="2"/>
    <n v="-1"/>
    <n v="-1"/>
    <n v="-1"/>
    <n v="-1"/>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INUV"/>
    <x v="0"/>
    <d v="2019-05-29T00:00:00"/>
    <d v="1899-12-30T10:06:00"/>
    <d v="1899-12-30T10:31:00"/>
    <n v="50.68"/>
    <n v="509.87"/>
    <n v="5000"/>
    <s v="FPH"/>
    <s v="BUY"/>
    <n v="0.749"/>
    <n v="0.76"/>
    <n v="0.70899999999999996"/>
    <n v="0.88700000000000001"/>
    <n v="0.88700000000000001"/>
    <n v="0.73099999999999998"/>
    <n v="0.88700000000000001"/>
    <n v="0.88700000000000001"/>
    <b v="0"/>
    <b v="1"/>
    <n v="0.8"/>
    <n v="3.1749999999999972"/>
    <n v="3.1749999999999972"/>
    <b v="0"/>
    <b v="0"/>
    <x v="0"/>
    <x v="0"/>
    <s v="Services"/>
    <n v="40"/>
    <m/>
    <s v="H"/>
    <s v="ST"/>
    <n v="27.5"/>
    <n v="0.4"/>
    <s v="INUV.png"/>
    <n v="3.1749999999999972"/>
    <n v="-0.72499999999999998"/>
    <x v="0"/>
    <n v="459.19"/>
    <d v="1899-12-30T00:25:00"/>
    <n v="459.19"/>
    <n v="0.27499999999999991"/>
    <n v="3.45"/>
    <n v="0.27499999999999991"/>
    <n v="3.1749999999999998"/>
    <n v="3.45"/>
    <n v="0"/>
    <n v="3.1749999999999998"/>
    <n v="3.1749999999999998"/>
    <n v="3.1749999999999998"/>
    <n v="3.1749999999999998"/>
    <n v="3.1749999999999998"/>
    <n v="2.2250000000000001"/>
    <n v="2.7250000000000001"/>
  </r>
  <r>
    <s v="VLRX"/>
    <x v="1"/>
    <d v="2019-05-29T00:00:00"/>
    <d v="1899-12-30T10:26:00"/>
    <d v="1899-12-30T10:31:00"/>
    <n v="30.56"/>
    <n v="-348"/>
    <n v="3000"/>
    <s v="VBO"/>
    <s v="BUY"/>
    <n v="3.41"/>
    <n v="3.42"/>
    <n v="3.31"/>
    <n v="3.3050000000000002"/>
    <n v="3.44"/>
    <n v="3.31"/>
    <n v="3.44"/>
    <n v="4.4000000000000004"/>
    <b v="0"/>
    <b v="0"/>
    <b v="0"/>
    <m/>
    <m/>
    <b v="0"/>
    <b v="0"/>
    <x v="1"/>
    <x v="0"/>
    <s v="Healthcare"/>
    <n v="40"/>
    <m/>
    <s v="C"/>
    <s v="F"/>
    <n v="4.28"/>
    <n v="94"/>
    <s v="VLRX_.png"/>
    <n v="0.2"/>
    <n v="-1.0999999999999979"/>
    <x v="1"/>
    <n v="-378.56"/>
    <d v="1899-12-30T00:05:00"/>
    <n v="80.63"/>
    <n v="9.9999999999997868E-2"/>
    <n v="9.9"/>
    <n v="9.9999999999997868E-2"/>
    <n v="0.2"/>
    <n v="0.3"/>
    <n v="1.3499999999999999"/>
    <n v="-1.1499999999999999"/>
    <n v="-1.1499999999999999"/>
    <n v="-1.1499999999999999"/>
    <n v="-1.1499999999999999"/>
    <n v="-1.1499999999999999"/>
    <n v="-1.1499999999999999"/>
    <n v="-1.1499999999999999"/>
  </r>
  <r>
    <s v="OBLN"/>
    <x v="2"/>
    <d v="2019-05-30T00:00:00"/>
    <d v="1899-12-30T09:49:00"/>
    <d v="1899-12-30T09:51:00"/>
    <n v="25.383333333333336"/>
    <n v="-182.62"/>
    <n v="2500"/>
    <s v="FPH"/>
    <s v="BUY"/>
    <n v="1.63"/>
    <n v="1.6279999999999999"/>
    <n v="1.55"/>
    <n v="1.552"/>
    <n v="1.63"/>
    <n v="1.552"/>
    <n v="1.63"/>
    <n v="1.92"/>
    <b v="0"/>
    <b v="0"/>
    <b v="0"/>
    <m/>
    <m/>
    <b v="0"/>
    <b v="0"/>
    <x v="1"/>
    <x v="1"/>
    <s v="Healthcare"/>
    <n v="50"/>
    <m/>
    <s v="H"/>
    <s v="F"/>
    <n v="21"/>
    <n v="1.75"/>
    <s v="OBLN.png"/>
    <n v="2.5000000000000071E-2"/>
    <n v="-0.94999999999999984"/>
    <x v="1"/>
    <n v="-208.00333333333333"/>
    <d v="1899-12-30T00:02:00"/>
    <n v="-127.37333333333333"/>
    <n v="-2.5000000000000022E-2"/>
    <n v="3.625"/>
    <n v="-2.5000000000000022E-2"/>
    <n v="2.5000000000000001E-2"/>
    <n v="0"/>
    <n v="0.97499999999999998"/>
    <n v="-0.95"/>
    <n v="-0.95"/>
    <n v="-0.95"/>
    <n v="-0.95"/>
    <n v="-0.95"/>
    <n v="-0.95"/>
    <n v="-0.95"/>
  </r>
  <r>
    <s v="OBLN"/>
    <x v="3"/>
    <d v="2019-05-30T00:00:00"/>
    <d v="1899-12-30T10:00:00"/>
    <d v="1899-12-30T10:43:00"/>
    <n v="25.383333333333336"/>
    <n v="513.38"/>
    <n v="2500"/>
    <s v="VF"/>
    <s v="BUY"/>
    <n v="1.59"/>
    <n v="1.59"/>
    <n v="1.51"/>
    <n v="1.81"/>
    <n v="1.81"/>
    <n v="1.52"/>
    <n v="1.81"/>
    <n v="1.92"/>
    <b v="0"/>
    <b v="1"/>
    <n v="1.71"/>
    <n v="2.75"/>
    <n v="2.75"/>
    <b v="0"/>
    <b v="0"/>
    <x v="2"/>
    <x v="2"/>
    <s v="Healthcare"/>
    <n v="50"/>
    <m/>
    <s v="H"/>
    <s v="F"/>
    <n v="21"/>
    <n v="1.75"/>
    <s v="OBLN.png"/>
    <n v="2.7499999999999973"/>
    <n v="-0.875"/>
    <x v="0"/>
    <n v="487.99666666666667"/>
    <d v="1899-12-30T00:43:00"/>
    <n v="360.62333333333333"/>
    <n v="0"/>
    <n v="4.125"/>
    <n v="0"/>
    <n v="2.75"/>
    <n v="2.75"/>
    <n v="0"/>
    <n v="2.75"/>
    <n v="2.75"/>
    <n v="2.75"/>
    <n v="2.75"/>
    <n v="2.75"/>
    <n v="2.5"/>
    <n v="2.75"/>
  </r>
  <r>
    <s v="OBLN"/>
    <x v="4"/>
    <d v="2019-05-30T00:00:00"/>
    <d v="1899-12-30T10:06:00"/>
    <d v="1899-12-30T10:11:00"/>
    <n v="25.383333333333336"/>
    <n v="-192.62"/>
    <n v="2500"/>
    <s v="VBO"/>
    <s v="BUY"/>
    <n v="1.62"/>
    <n v="1.6180000000000001"/>
    <n v="1.54"/>
    <n v="1.532"/>
    <n v="1.62"/>
    <n v="1.532"/>
    <n v="1.62"/>
    <n v="1.92"/>
    <b v="0"/>
    <b v="0"/>
    <b v="0"/>
    <m/>
    <m/>
    <b v="0"/>
    <b v="0"/>
    <x v="1"/>
    <x v="1"/>
    <s v="Healthcare"/>
    <n v="50"/>
    <m/>
    <s v="H"/>
    <s v="ST"/>
    <n v="21"/>
    <n v="1.75"/>
    <s v="OBLN.png"/>
    <n v="2.5000000000000001E-2"/>
    <n v="-1.075"/>
    <x v="1"/>
    <n v="-218.00333333333333"/>
    <d v="1899-12-30T00:05:00"/>
    <n v="142.62"/>
    <n v="-2.5000000000000022E-2"/>
    <n v="3.75"/>
    <n v="-2.5000000000000022E-2"/>
    <n v="2.5000000000000001E-2"/>
    <n v="0"/>
    <n v="1.0999999999999999"/>
    <n v="-1.075"/>
    <n v="-1.075"/>
    <n v="-1.075"/>
    <n v="-1.075"/>
    <n v="-1.075"/>
    <n v="-1.075"/>
    <n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5"/>
    <field x="26"/>
  </rowFields>
  <rowItems count="8">
    <i>
      <x/>
    </i>
    <i r="1">
      <x v="1"/>
    </i>
    <i r="1">
      <x v="3"/>
    </i>
    <i>
      <x v="2"/>
    </i>
    <i r="1">
      <x v="1"/>
    </i>
    <i>
      <x v="6"/>
    </i>
    <i r="1">
      <x v="2"/>
    </i>
    <i t="grand">
      <x/>
    </i>
  </rowItems>
  <colFields count="1">
    <field x="-2"/>
  </colFields>
  <colItems count="3">
    <i>
      <x/>
    </i>
    <i i="1">
      <x v="1"/>
    </i>
    <i i="2">
      <x v="2"/>
    </i>
  </colItems>
  <dataFields count="3">
    <dataField name="ספירה של No" fld="1" subtotal="count" baseField="24" baseItem="0"/>
    <dataField name="ממוצע של Hard RRR Potential" fld="45" subtotal="average" baseField="24" baseItem="0"/>
    <dataField name="ממוצע של Negative RRR in-trade" fld="36"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6"/>
    <field x="25"/>
  </rowFields>
  <rowItems count="8">
    <i>
      <x v="1"/>
    </i>
    <i r="1">
      <x/>
    </i>
    <i r="1">
      <x v="2"/>
    </i>
    <i>
      <x v="2"/>
    </i>
    <i r="1">
      <x v="6"/>
    </i>
    <i>
      <x v="3"/>
    </i>
    <i r="1">
      <x/>
    </i>
    <i t="grand">
      <x/>
    </i>
  </rowItems>
  <colFields count="1">
    <field x="-2"/>
  </colFields>
  <colItems count="3">
    <i>
      <x/>
    </i>
    <i i="1">
      <x v="1"/>
    </i>
    <i i="2">
      <x v="2"/>
    </i>
  </colItems>
  <dataFields count="3">
    <dataField name="ספירה של No" fld="1" subtotal="count" baseField="25" baseItem="0"/>
    <dataField name="ממוצע של Hard RRR Potential" fld="45" subtotal="average" baseField="25" baseItem="0"/>
    <dataField name="ממוצע של Negative RRR in-trade" fld="36"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D4" firstHeaderRow="0" firstDataRow="1" firstDataCol="0"/>
  <pivotFields count="54">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סכום של RRR Realized" fld="47" baseField="0" baseItem="0"/>
    <dataField name="סכום של RRR at 2.5" fld="52" baseField="0" baseItem="0"/>
    <dataField name="סכום של RRR at 3" fld="53" baseField="0" baseItem="0"/>
    <dataField name="סכום של  with SL at pattern break"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1">
    <field x="37"/>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39" subtotal="average" baseField="34" baseItem="0" numFmtId="164"/>
    <dataField name="ממוצע של RRR in-trade" fld="35" subtotal="average" baseField="34" baseItem="1"/>
    <dataField name="ממוצע של Negative RRR in-trade" fld="36" subtotal="average" baseField="34" baseItem="1"/>
    <dataField name="ממוצע של Hard RRR Potential" fld="45"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1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9" firstHeaderRow="1" firstDataRow="1" firstDataCol="1"/>
  <pivotFields count="2">
    <pivotField dataField="1" subtotalTop="0" showAll="0" defaultSubtotal="0"/>
    <pivotField axis="axisRow" allDrilled="1" showAll="0" sortType="ascending"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סכום של Sum Gain" fld="0"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1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20" firstHeaderRow="1" firstDataRow="1" firstDataCol="1"/>
  <pivotFields count="57">
    <pivotField showAll="0"/>
    <pivotField axis="axisRow" showAll="0">
      <items count="16">
        <item x="0"/>
        <item x="1"/>
        <item x="2"/>
        <item x="3"/>
        <item x="4"/>
        <item x="5"/>
        <item x="6"/>
        <item x="7"/>
        <item x="8"/>
        <item x="9"/>
        <item x="10"/>
        <item x="11"/>
        <item x="12"/>
        <item x="13"/>
        <item x="14"/>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 firstHeaderRow="1" firstDataRow="1" firstDataCol="1"/>
  <pivotFields count="54">
    <pivotField showAll="0"/>
    <pivotField axis="axisRow" showAll="0" sortType="ascending" countSubtotal="1">
      <items count="98">
        <item m="1" x="70"/>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dataFields count="1">
    <dataField name="סכום של Sum Gain" fld="40"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6" firstHeaderRow="1" firstDataRow="1" firstDataCol="1"/>
  <pivotFields count="54">
    <pivotField showAll="0"/>
    <pivotField axis="axisRow" showAll="0">
      <items count="98">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0"/>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סכום של Negative RRR in-trade" fld="3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89">
  <autoFilter ref="Q1:S7" xr:uid="{7BA04AC5-5587-47D7-9DF1-76AF248AE713}">
    <filterColumn colId="0" hiddenButton="1"/>
    <filterColumn colId="1" hiddenButton="1"/>
    <filterColumn colId="2" hiddenButton="1"/>
  </autoFilter>
  <tableColumns count="3">
    <tableColumn id="1" xr3:uid="{7573492C-02E5-4684-8D79-E6BC334D7568}" name="Date" dataDxfId="88" totalsRowDxfId="87"/>
    <tableColumn id="2" xr3:uid="{5CCF5358-4EAF-4BC2-8C54-E7EBEE7BB09C}" name="Action"/>
    <tableColumn id="3" xr3:uid="{306BB871-253D-4596-B269-B72A78D759CD}" name="Amount" totalsRowDxfId="8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D6">
  <autoFilter ref="A1:BD6" xr:uid="{55A28F25-08EC-44A8-808B-B0456C58634D}"/>
  <sortState xmlns:xlrd2="http://schemas.microsoft.com/office/spreadsheetml/2017/richdata2" ref="A2:BD65">
    <sortCondition ref="B2:B65"/>
  </sortState>
  <tableColumns count="56">
    <tableColumn id="1" xr3:uid="{18A68890-283F-49F9-BFA0-F70BF0D507B5}" name="Instrument" totalsRowLabel="סה&quot;כ"/>
    <tableColumn id="2" xr3:uid="{AD0A9644-C57C-430E-9262-2C32F4119BB7}" name="No"/>
    <tableColumn id="3" xr3:uid="{5226E4E8-B2D6-436A-BE33-AEE756B358B6}" name="Entry Date" dataDxfId="85"/>
    <tableColumn id="24" xr3:uid="{522D57FC-7211-4622-BA36-3D14242BCDF8}" name="Entry Time" dataDxfId="84"/>
    <tableColumn id="4" xr3:uid="{FD1076AA-2FF3-4F86-B449-51109599350D}" name="Exit Time" dataDxfId="83"/>
    <tableColumn id="32" xr3:uid="{17BD89BD-FE59-43D8-8741-A5115C3774C6}" name="Comissions" dataDxfId="82"/>
    <tableColumn id="30" xr3:uid="{09F3D717-4D5D-41BD-A530-260B7992651B}" name="Gain/Loss" dataDxfId="81">
      <calculatedColumnFormula>59.88+2.04</calculatedColumnFormula>
    </tableColumn>
    <tableColumn id="7" xr3:uid="{136E8F8E-4142-4B5A-BE1F-C5718FC87596}" name="Quantity" dataDxfId="80"/>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1" xr3:uid="{C079AF1C-12DC-4DEB-91D0-82A64685EB4E}" name="Exit Price"/>
    <tableColumn id="12" xr3:uid="{D340A070-73E8-406B-B012-F1BCD068F602}" name="Highest Price"/>
    <tableColumn id="13" xr3:uid="{2A3929EA-F967-46DB-AC0A-DC578DD95E20}" name="Lowest Price"/>
    <tableColumn id="14" xr3:uid="{2813D068-7FE8-44F1-99EC-6AC66A74CB26}" name="In Trade Potential Price"/>
    <tableColumn id="44" xr3:uid="{CD722D45-7441-4C3B-8426-0AE3E9C0A821}" name="Potential Price"/>
    <tableColumn id="52" xr3:uid="{36864C91-1CB2-4549-864E-5FC2B63226CF}" name="Pattern SL"/>
    <tableColumn id="17" xr3:uid="{17F4511C-5C46-4E09-9CD6-EC1F75F2EF03}" name="TP Hit"/>
    <tableColumn id="29" xr3:uid="{923D2228-92A2-4B56-8196-18099BD5DFC5}" name="Volume Exit"/>
    <tableColumn id="90" xr3:uid="{36A6B8CE-6096-459D-9A23-FE0C218A54CB}" name="Volume Exit RRR Reach"/>
    <tableColumn id="83" xr3:uid="{75754A4B-4208-4A68-B843-679D863101D8}" name="Volume Exit BE"/>
    <tableColumn id="91" xr3:uid="{D43196C0-BE49-4922-B2BD-662FC40F391C}" name="Candle Exit"/>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10" xr3:uid="{09C60BE8-22AB-465E-A658-C0A4A0DFAC62}" name="Relative Volume"/>
    <tableColumn id="21" xr3:uid="{CE9C6FD7-7F7A-4A81-8851-EFAA4C67A1E6}" name="Daily Volume in Mil"/>
    <tableColumn id="22" xr3:uid="{09129EF1-B576-4E57-82EC-581ED992BFEC}" name="Catalyst"/>
    <tableColumn id="84" xr3:uid="{66AE174A-F2AF-417E-8906-41C461A4C503}" name="Pattern"/>
    <tableColumn id="31" xr3:uid="{C4E67EFF-58C4-412D-A44A-E55133B0FE43}" name="Float"/>
    <tableColumn id="15" xr3:uid="{22C62395-EF40-4F73-A390-83B4A7009032}" name="Potential Price Before BE"/>
    <tableColumn id="16" xr3:uid="{D782AEFA-D6CC-4B31-B8F8-69C657BEA2FB}" name="Short Float"/>
    <tableColumn id="28" xr3:uid="{9329C3C9-2908-4D29-8AA0-014753C01F5B}" name="Picture" dataDxfId="79" dataCellStyle="היפר-קישור"/>
    <tableColumn id="38" xr3:uid="{DF6F6CEF-0438-4279-81B9-85AFD6AF7FCB}" name="RRR in-trade" dataDxfId="78">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77">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76">
      <calculatedColumnFormula>IF(AND(TABLE1[[#This Row],[RRR Realized]]&lt;0.5,TABLE1[[#This Row],[RRR Realized]]&gt;-0.6),"BE",IF(TABLE1[[#This Row],[Gain/Loss]]&lt;0, "LOSER", "WINNER"))</calculatedColumnFormula>
    </tableColumn>
    <tableColumn id="27" xr3:uid="{9D5EE3C0-C758-496A-8799-F2B6B5CB5DAC}" name="Net Gain/Loss" dataDxfId="75">
      <calculatedColumnFormula>TABLE1[[#This Row],[Gain/Loss]]-TABLE1[[#This Row],[Comissions]]</calculatedColumnFormula>
    </tableColumn>
    <tableColumn id="33" xr3:uid="{63998133-BA2D-49F6-93DD-6651E3B28D92}" name="Time" dataDxfId="74">
      <calculatedColumnFormula>TABLE1[[#This Row],[Exit Time]]-TABLE1[[#This Row],[Entry Time]]</calculatedColumnFormula>
    </tableColumn>
    <tableColumn id="37" xr3:uid="{FAB4E36F-3089-4CF4-BFBC-E5D348F5D8CE}" name="Sum Gain" dataDxfId="73">
      <calculatedColumnFormula>TABLE1[[#This Row],[Net Gain/Loss]]+AP1</calculatedColumnFormula>
    </tableColumn>
    <tableColumn id="66" xr3:uid="{654442CA-2959-466E-9E00-353AA340305E}" name="Missed RRR on Entry" dataDxfId="72">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5" xr3:uid="{7741AC5E-367D-4AFD-BFA2-9507C5EE7A71}" name="Trade Potential" dataDxfId="71">
      <calculatedColumnFormula>ROUND((TABLE1[[#This Row],[Potential Price]]-TABLE1[[#This Row],[Intended Entry]])/(TABLE1[[#This Row],[Intended Entry]]-TABLE1[[#This Row],[SL Price]]),4)</calculatedColumnFormula>
    </tableColumn>
    <tableColumn id="46" xr3:uid="{CEFD69BA-28BA-4A38-93A7-E8E320B527DF}" name="Missed RRR" dataDxfId="70">
      <calculatedColumnFormula>TABLE1[[#This Row],[Missed RRR on Entry]]</calculatedColumnFormula>
    </tableColumn>
    <tableColumn id="35" xr3:uid="{77D3B45D-7782-45D7-9C10-11ED7CC17B43}" name="RRR Potential in Trade" totalsRowFunction="count" dataDxfId="69">
      <calculatedColumnFormula>ROUND((TABLE1[[#This Row],[In Trade Potential Price]]-TABLE1[[#This Row],[Entry Price]])/(TABLE1[[#This Row],[Intended Entry]]-TABLE1[[#This Row],[SL Price]]),4)</calculatedColumnFormula>
    </tableColumn>
    <tableColumn id="49" xr3:uid="{0CD3DAF9-BFA0-4B1C-A74C-F37A9F9F298F}" name="Hard RRR Potential" dataDxfId="68">
      <calculatedColumnFormula>ROUND((TABLE1[[#This Row],[In Trade Potential Price]]-TABLE1[[#This Row],[Intended Entry]])/(TABLE1[[#This Row],[Intended Entry]]-TABLE1[[#This Row],[SL Price]]),4)</calculatedColumnFormula>
    </tableColumn>
    <tableColumn id="39" xr3:uid="{D4F8E9DB-8664-4804-A803-8C0B58220F61}" name="RRR Difference" dataDxfId="67">
      <calculatedColumnFormula>TABLE1[[#This Row],[RRR Potential in Trade]]-TABLE1[[#This Row],[RRR Realized]]</calculatedColumnFormula>
    </tableColumn>
    <tableColumn id="23" xr3:uid="{9430F169-2159-47C9-8D21-D996EB23AE11}" name="RRR Realized" dataDxfId="66">
      <calculatedColumnFormula>ROUND((TABLE1[[#This Row],[Exit Price]]-TABLE1[[#This Row],[Entry Price]])/(TABLE1[[#This Row],[Intended Entry]]-TABLE1[[#This Row],[SL Price]]),4)</calculatedColumnFormula>
    </tableColumn>
    <tableColumn id="70" xr3:uid="{297C4E65-C2D4-4F8B-8DE8-26E653F5ED18}" name=" with SL at pattern break" dataDxfId="65">
      <calculatedColumnFormula>IF((TABLE1[[#This Row],[Pattern SL]])&lt;&gt;FALSE,((TABLE1[[#This Row],[Pattern SL]])-(TABLE1[[#This Row],[Entry Price]]))/((TABLE1[[#This Row],[Intended Entry]])-(TABLE1[[#This Row],[SL Price]])),ROUND((TABLE1[[#This Row],[Exit Price]]-TABLE1[[#This Row],[Entry Price]])/(TABLE1[[#This Row],[Intended Entry]]-TABLE1[[#This Row],[SL Price]]),4))</calculatedColumnFormula>
    </tableColumn>
    <tableColumn id="34" xr3:uid="{8884B5C9-66F4-47A2-B8AB-38631C2B7092}" name="RRR Volume Exit" dataDxfId="0">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2" xr3:uid="{7E26F83C-1A66-4C18-A5B9-D92405BFF60D}" name="RRR Wick Exit" dataDxfId="64">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25" xr3:uid="{A2C57835-1213-44BE-9C85-DE0885355C69}" name="RRR Joint Wick and Volume Exit" dataDxfId="1">
      <calculatedColumnFormula>IF( TABLE1[[#This Row],[Wick Exit]]&lt;&gt; FALSE,TABLE1[[#This Row],[RRR Wick Exit]],IF(TABLE1[[#This Row],[Volume Exit]]&lt;&gt; FALSE,#REF!,TABLE1[[#This Row],[RRR Realized]]))</calculatedColumnFormula>
    </tableColumn>
    <tableColumn id="100" xr3:uid="{5BF995FE-A697-4D46-B392-19B656B1D4EB}" name="RRR Candle Exit" dataDxfId="63">
      <calculatedColumnFormula>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calculatedColumnFormula>
    </tableColumn>
    <tableColumn id="40" xr3:uid="{696BE052-A961-4604-81DE-DE0E9094CB3C}" name="RRR at 2.5" dataDxfId="62">
      <calculatedColumnFormula>IF(OR(AND(TABLE1[[#This Row],[Hard RRR Potential]]&gt;=2.5,TABLE1[[#This Row],[Volume Exit]]=FALSE,TABLE1[[#This Row],[Wick Exit]]=FALSE),AND(TABLE1[[#This Row],[Hard RRR Potential]]&gt;=2.5,TABLE1[[#This Row],[Volume Exit RRR Reach]]&gt;=2.5,TABLE1[[#This Row],[Wick Exit]]=FALSE)), 2.5-TABLE1[[#This Row],[Missed RRR on Entry]],TABLE1[[#This Row],[RRR Realized]])</calculatedColumnFormula>
    </tableColumn>
    <tableColumn id="41" xr3:uid="{5E7C60D1-E36D-4F99-AC21-8CA3E0C83D91}" name="RRR at 3" dataDxfId="61">
      <calculatedColumnFormula>IF(OR(AND(TABLE1[[#This Row],[Hard RRR Potential]]&gt;=3,TABLE1[[#This Row],[Volume Exit]]=FALSE,TABLE1[[#This Row],[Wick Exit]]=FALSE),AND(TABLE1[[#This Row],[Hard RRR Potential]]&gt;=3,TABLE1[[#This Row],[Volume Exit RRR Reach]]&gt;=3,TABLE1[[#This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6" totalsRowShown="0" headerRowDxfId="60" dataDxfId="59">
  <autoFilter ref="A1:BE16" xr:uid="{3DB37CBD-7DCD-41B4-BA7C-F1368C8A2E01}"/>
  <tableColumns count="57">
    <tableColumn id="1" xr3:uid="{55397472-F9BA-409D-B736-C398127D96EB}" name="Instrument" dataDxfId="58"/>
    <tableColumn id="2" xr3:uid="{748C211E-57E6-44D4-9EF9-58A9905F07D4}" name="No" dataDxfId="57"/>
    <tableColumn id="3" xr3:uid="{70456BD0-5AC9-4352-BC2B-5CF2BFB30523}" name="Entry Date" dataDxfId="56"/>
    <tableColumn id="4" xr3:uid="{BE20990B-C070-4837-8BAD-E6C9BEC4C84E}" name="Entry Time" dataDxfId="55"/>
    <tableColumn id="5" xr3:uid="{BB1BE0C9-D380-4F77-882A-44BB537C416C}" name="Exit Time" dataDxfId="54"/>
    <tableColumn id="9" xr3:uid="{BF966A08-2F0D-4EDF-B8F1-8AE1B6F3E777}" name="Setup" dataDxfId="53"/>
    <tableColumn id="10" xr3:uid="{96F859AD-064F-4F58-8A21-0BBF87787804}" name="Buy/Sell" dataDxfId="52"/>
    <tableColumn id="11" xr3:uid="{03629D9B-54E5-4D94-A5F5-19B0A4870A02}" name="Intended Entry" dataDxfId="51"/>
    <tableColumn id="12" xr3:uid="{572908EB-CFFA-4ADA-A9F2-2CF3F407EAFF}" name="Entry Price" dataDxfId="50"/>
    <tableColumn id="13" xr3:uid="{10860968-EAAB-46AD-AC05-A42351171660}" name="SL Price" dataDxfId="49"/>
    <tableColumn id="14" xr3:uid="{BDAD1E7B-27B2-4F4E-BEE1-2375C3998CA2}" name="Exit Price" dataDxfId="48"/>
    <tableColumn id="15" xr3:uid="{606976D5-E521-49DC-AC74-F7729F5E6A65}" name="Highest Price" dataDxfId="47"/>
    <tableColumn id="16" xr3:uid="{EFCFFCD8-00BD-4595-A51A-6F5662762B59}" name="Lowest Price" dataDxfId="46"/>
    <tableColumn id="17" xr3:uid="{562E38EB-5373-4F2A-938E-97C3070A2715}" name="Price Before BE" dataDxfId="45"/>
    <tableColumn id="18" xr3:uid="{85ADAF46-AD65-491A-9459-0E84F1CAF9F7}" name="Potential Price" dataDxfId="44"/>
    <tableColumn id="19" xr3:uid="{3BCC0E76-C786-49E1-A360-D6614E0C4599}" name="Pattern SL" dataDxfId="43"/>
    <tableColumn id="20" xr3:uid="{4DB96B20-11AE-4167-942E-9C92E652D3FE}" name="Retest Price" dataDxfId="42"/>
    <tableColumn id="21" xr3:uid="{EF0EDC9F-DB0A-496F-B10E-6180D69910AB}" name="TP Hit" dataDxfId="41"/>
    <tableColumn id="22" xr3:uid="{BECF23DC-C810-42DF-B709-E1AA34EAF6F0}" name="Back to BE" dataDxfId="40"/>
    <tableColumn id="23" xr3:uid="{6EEC8EAF-3C43-4F64-8DCF-DFF9A442C689}" name="Volume Exit" dataDxfId="39"/>
    <tableColumn id="24" xr3:uid="{ADFD78F0-4768-442D-A91F-249F272573EA}" name="Volume Exit RRR Reach" dataDxfId="38"/>
    <tableColumn id="25" xr3:uid="{D7B03BEF-E4DF-41DC-BCE3-31F86F54B221}" name="Volume Exit BE" dataDxfId="37"/>
    <tableColumn id="26" xr3:uid="{095DD6AD-968D-4726-947C-A97A9B3ABC03}" name="Candle Exit" dataDxfId="36"/>
    <tableColumn id="27" xr3:uid="{21CAAFF7-E700-4F61-8B7C-8A1D828212D2}" name="Wick Exit" dataDxfId="35"/>
    <tableColumn id="28" xr3:uid="{A3E50707-9733-48BA-863F-3ABAB4667806}" name="Price Behaviour" dataDxfId="34"/>
    <tableColumn id="29" xr3:uid="{22D68781-1E6D-48ED-BF50-B69C83856864}" name="VPA" dataDxfId="33"/>
    <tableColumn id="30" xr3:uid="{5CC00B9B-2F51-4E7C-9F9E-5329B6363318}" name="Secotor" dataDxfId="32"/>
    <tableColumn id="31" xr3:uid="{E9AB9A9A-C0F4-4C71-8462-CFFA7033EB57}" name="Relative Volume" dataDxfId="31"/>
    <tableColumn id="40" xr3:uid="{E9CBBDCD-8647-4AF7-97D4-8D1D14B5FD00}" name="Outcome" dataDxfId="30">
      <calculatedColumnFormula>IF(#REF!&lt;0, "LOSER", "WINNER")</calculatedColumnFormula>
    </tableColumn>
    <tableColumn id="32" xr3:uid="{D34A8547-AF98-4C04-A1E1-0C1A61080962}" name="Daily Volume in Mil" dataDxfId="29"/>
    <tableColumn id="33" xr3:uid="{39E43053-0EAA-4CA2-87C6-2805DCE7A6ED}" name="Catalyst" dataDxfId="28"/>
    <tableColumn id="34" xr3:uid="{34AFC627-B66D-4CAD-9D31-EC18E2186CCB}" name="Percent Gain" dataDxfId="27"/>
    <tableColumn id="35" xr3:uid="{65F53589-7755-4555-ACEE-B541C25E30C7}" name="Float" dataDxfId="26"/>
    <tableColumn id="36" xr3:uid="{A9231791-356E-476C-9A35-51F7824732A6}" name="Short Float" dataDxfId="25"/>
    <tableColumn id="37" xr3:uid="{980EF4ED-CA85-4924-9039-4C5B40FBC47D}" name="Picture" dataDxfId="24" dataCellStyle="היפר-קישור"/>
    <tableColumn id="38" xr3:uid="{53C103CC-4AA0-4C2E-A6A9-6E0DE53C0CFD}" name="RRR in-trade" dataDxfId="23">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2">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21">
      <calculatedColumnFormula>table2[[#This Row],[Exit Time]]-table2[[#This Row],[Entry Time]]</calculatedColumnFormula>
    </tableColumn>
    <tableColumn id="43" xr3:uid="{561C53A9-7D59-4084-8DD5-B4FE2CF96C21}" name="RRR Closing Price" dataDxfId="20">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9">
      <calculatedColumnFormula>232</calculatedColumnFormula>
    </tableColumn>
    <tableColumn id="45" xr3:uid="{F755EB5E-3A19-42FC-9674-A597821C0DA0}" name="Hard RRR Before BE" dataDxfId="18">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7">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6">
      <calculatedColumnFormula>table2[[#This Row],[Missed RRR on Entry]]</calculatedColumnFormula>
    </tableColumn>
    <tableColumn id="48" xr3:uid="{4CDEF865-B953-43FE-9401-8BBCC40B4121}" name="RRR Potential" dataDxfId="15">
      <calculatedColumnFormula>ROUND((table2[[#This Row],[Potential Price]]-table2[[#This Row],[Entry Price]])/(table2[[#This Row],[Intended Entry]]-table2[[#This Row],[SL Price]]),4)</calculatedColumnFormula>
    </tableColumn>
    <tableColumn id="49" xr3:uid="{6EDCBFF3-CE2F-4195-9A7E-18A79F18C780}" name="Hard RRR Potential" dataDxfId="14">
      <calculatedColumnFormula>ROUND((table2[[#This Row],[Potential Price]]-table2[[#This Row],[Intended Entry]])/(table2[[#This Row],[Intended Entry]]-table2[[#This Row],[SL Price]]),4)</calculatedColumnFormula>
    </tableColumn>
    <tableColumn id="50" xr3:uid="{932CF254-ED3E-4D12-945A-7BE0720D20D3}" name="RRR difference" dataDxfId="13">
      <calculatedColumnFormula>table2[[#This Row],[RRR Potential]]-table2[[#This Row],[RRR Realized]]</calculatedColumnFormula>
    </tableColumn>
    <tableColumn id="51" xr3:uid="{F9B7DEAB-A97E-48C5-BD1D-C5D2311ACBB4}" name="RRR Realized" dataDxfId="12">
      <calculatedColumnFormula>ROUND((table2[[#This Row],[Exit Price]]-table2[[#This Row],[Entry Price]])/(table2[[#This Row],[Intended Entry]]-table2[[#This Row],[SL Price]]),4)</calculatedColumnFormula>
    </tableColumn>
    <tableColumn id="52" xr3:uid="{9B488F6A-BD23-4974-B5B3-D0A2ADB2B6BA}" name=" Fast Reversal at 0" dataDxfId="11">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10">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9">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8">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7">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6">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5">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4">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3">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2">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OBLN.png" TargetMode="External"/><Relationship Id="rId7" Type="http://schemas.openxmlformats.org/officeDocument/2006/relationships/table" Target="../tables/table2.xml"/><Relationship Id="rId2" Type="http://schemas.openxmlformats.org/officeDocument/2006/relationships/hyperlink" Target="VLRX_.png" TargetMode="External"/><Relationship Id="rId1" Type="http://schemas.openxmlformats.org/officeDocument/2006/relationships/hyperlink" Target="INUV.png" TargetMode="External"/><Relationship Id="rId6" Type="http://schemas.openxmlformats.org/officeDocument/2006/relationships/printerSettings" Target="../printerSettings/printerSettings2.bin"/><Relationship Id="rId5" Type="http://schemas.openxmlformats.org/officeDocument/2006/relationships/hyperlink" Target="OBLN.png" TargetMode="External"/><Relationship Id="rId4" Type="http://schemas.openxmlformats.org/officeDocument/2006/relationships/hyperlink" Target="OBLN.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hyperlink" Target="..\Potential%20trades%202\TBO\HEAR.png" TargetMode="Externa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hyperlink" Target="..\Potential%20trades%202\TBO" TargetMode="External"/><Relationship Id="rId2" Type="http://schemas.openxmlformats.org/officeDocument/2006/relationships/hyperlink" Target="..\Potential%20trades%202\TBO\rbz_001.png" TargetMode="External"/><Relationship Id="rId16" Type="http://schemas.openxmlformats.org/officeDocument/2006/relationships/table" Target="../tables/table3.xm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5" Type="http://schemas.openxmlformats.org/officeDocument/2006/relationships/printerSettings" Target="../printerSettings/printerSettings3.bin"/><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 Id="rId14" Type="http://schemas.openxmlformats.org/officeDocument/2006/relationships/hyperlink" Target="..\Potential%20trades%202\TBO\inuv.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topLeftCell="A19" zoomScaleNormal="100" workbookViewId="0">
      <selection activeCell="Q26" sqref="Q26"/>
    </sheetView>
  </sheetViews>
  <sheetFormatPr defaultRowHeight="15" x14ac:dyDescent="0.25"/>
  <cols>
    <col min="1" max="1" width="11.42578125" bestFit="1" customWidth="1"/>
    <col min="2" max="2" width="12.28515625" customWidth="1"/>
    <col min="8" max="8" width="14.85546875" bestFit="1" customWidth="1"/>
    <col min="9" max="9" width="17.140625" bestFit="1" customWidth="1"/>
    <col min="10" max="10" width="18.7109375" bestFit="1" customWidth="1"/>
    <col min="11" max="11" width="13.28515625" bestFit="1" customWidth="1"/>
    <col min="12" max="12" width="14.85546875" bestFit="1" customWidth="1"/>
    <col min="13" max="13" width="12.85546875" bestFit="1" customWidth="1"/>
    <col min="14" max="14" width="14.85546875" bestFit="1" customWidth="1"/>
    <col min="15" max="15" width="12.85546875" bestFit="1" customWidth="1"/>
    <col min="16" max="16" width="6.7109375" bestFit="1" customWidth="1"/>
    <col min="17" max="17" width="10.5703125" bestFit="1" customWidth="1"/>
    <col min="18" max="18" width="15.7109375" bestFit="1" customWidth="1"/>
    <col min="19" max="19" width="11.28515625" bestFit="1" customWidth="1"/>
    <col min="20" max="22" width="6.7109375" bestFit="1" customWidth="1"/>
    <col min="23" max="23" width="4.7109375" bestFit="1" customWidth="1"/>
    <col min="24" max="26" width="6.7109375" bestFit="1" customWidth="1"/>
    <col min="27" max="27" width="4.7109375" bestFit="1" customWidth="1"/>
    <col min="28" max="29" width="6.7109375" bestFit="1" customWidth="1"/>
    <col min="30" max="32" width="4.7109375" bestFit="1" customWidth="1"/>
    <col min="33" max="34" width="6.7109375" bestFit="1" customWidth="1"/>
    <col min="35" max="35" width="4.7109375" bestFit="1" customWidth="1"/>
    <col min="36" max="36" width="6.7109375" bestFit="1" customWidth="1"/>
    <col min="37" max="37" width="4.7109375" bestFit="1" customWidth="1"/>
    <col min="38" max="38" width="6.7109375" bestFit="1" customWidth="1"/>
    <col min="39" max="41" width="4.7109375" bestFit="1" customWidth="1"/>
    <col min="42" max="42" width="6.7109375" bestFit="1" customWidth="1"/>
    <col min="43" max="48" width="4.7109375" bestFit="1" customWidth="1"/>
    <col min="49" max="49" width="3.7109375" bestFit="1" customWidth="1"/>
    <col min="50" max="50" width="8.7109375" bestFit="1" customWidth="1"/>
  </cols>
  <sheetData>
    <row r="1" spans="1:20" ht="21" x14ac:dyDescent="0.35">
      <c r="A1" s="9" t="s">
        <v>82</v>
      </c>
      <c r="B1" s="76" t="s">
        <v>91</v>
      </c>
      <c r="C1" s="76"/>
      <c r="D1" s="76"/>
      <c r="E1" s="76"/>
      <c r="F1" s="76"/>
      <c r="H1" s="77" t="s">
        <v>153</v>
      </c>
      <c r="I1" s="78"/>
      <c r="J1" s="78"/>
      <c r="K1" s="78"/>
      <c r="L1" s="75" t="s">
        <v>83</v>
      </c>
      <c r="M1" s="75"/>
      <c r="N1" s="75" t="s">
        <v>84</v>
      </c>
      <c r="O1" s="75"/>
      <c r="Q1" s="8" t="s">
        <v>82</v>
      </c>
      <c r="R1" s="8" t="s">
        <v>80</v>
      </c>
      <c r="S1" s="8" t="s">
        <v>81</v>
      </c>
      <c r="T1" s="6"/>
    </row>
    <row r="2" spans="1:20" ht="18.75" x14ac:dyDescent="0.3">
      <c r="A2" s="61">
        <v>43603</v>
      </c>
      <c r="B2" s="63" t="s">
        <v>195</v>
      </c>
      <c r="C2" s="63"/>
      <c r="D2" s="63"/>
      <c r="E2" s="63"/>
      <c r="F2" s="64"/>
      <c r="H2" s="7" t="s">
        <v>87</v>
      </c>
      <c r="I2" s="12">
        <f>(SUM((ACTIONS[Amount])))+SUM((TABLE1[Net Gain/Loss]))</f>
        <v>26678.62</v>
      </c>
      <c r="J2" s="7" t="s">
        <v>150</v>
      </c>
      <c r="K2" s="26">
        <f>(AVERAGEIF((TABLE1[Outcome]), "WINNER", (TABLE1[RRR Realized])))</f>
        <v>2.9624999999999999</v>
      </c>
      <c r="L2" s="7" t="s">
        <v>85</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85</v>
      </c>
      <c r="O2" s="12">
        <f ca="1">SUMIF((TABLE1[Entry Date]),"="&amp;TODAY(),(TABLE1[Net Gain/Loss]))</f>
        <v>0</v>
      </c>
      <c r="Q2" s="5">
        <v>43538</v>
      </c>
      <c r="R2" t="s">
        <v>112</v>
      </c>
      <c r="S2">
        <v>26536</v>
      </c>
    </row>
    <row r="3" spans="1:20" ht="18.75" x14ac:dyDescent="0.3">
      <c r="A3" s="62"/>
      <c r="B3" s="65"/>
      <c r="C3" s="65"/>
      <c r="D3" s="65"/>
      <c r="E3" s="65"/>
      <c r="F3" s="66"/>
      <c r="H3" s="7" t="s">
        <v>88</v>
      </c>
      <c r="I3" s="17">
        <f>(COUNTIF((TABLE1[Outcome]),"WINNER"))/(COUNTA((TABLE1[Outcome])))</f>
        <v>0.4</v>
      </c>
      <c r="J3" s="7" t="s">
        <v>151</v>
      </c>
      <c r="K3" s="46">
        <f>(AVERAGEIF((TABLE1[Outcome]), "LOSER", (TABLE1[RRR Realized])))</f>
        <v>-1.0583333333333333</v>
      </c>
      <c r="L3" s="7" t="s">
        <v>88</v>
      </c>
      <c r="M3" s="11"/>
      <c r="N3" s="7" t="s">
        <v>88</v>
      </c>
      <c r="O3" s="17" t="e">
        <f ca="1">(DCOUNTA(TABLE,"Outcome",Notes!O1:P2))/(DCOUNTA(TABLE,"Outcome",Notes!P1:P2))</f>
        <v>#DIV/0!</v>
      </c>
      <c r="Q3" s="5"/>
    </row>
    <row r="4" spans="1:20" ht="18.75" x14ac:dyDescent="0.3">
      <c r="A4" s="61">
        <v>43603</v>
      </c>
      <c r="B4" s="63" t="s">
        <v>210</v>
      </c>
      <c r="C4" s="63"/>
      <c r="D4" s="63"/>
      <c r="E4" s="63"/>
      <c r="F4" s="64"/>
      <c r="H4" s="7" t="s">
        <v>86</v>
      </c>
      <c r="I4" s="12">
        <f>AVERAGE((TABLE1[Net Gain/Loss]))</f>
        <v>28.524000000000001</v>
      </c>
      <c r="J4" s="7" t="s">
        <v>152</v>
      </c>
      <c r="K4" s="7" t="e">
        <f>AVERAGE(TABLE1[RRR Realized],#REF!)</f>
        <v>#REF!</v>
      </c>
      <c r="L4" s="7" t="s">
        <v>86</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86</v>
      </c>
      <c r="O4" s="12" t="e">
        <f ca="1">AVERAGEIF((TABLE1[Entry Date]),"="&amp;TODAY(),(TABLE1[Net Gain/Loss]))</f>
        <v>#DIV/0!</v>
      </c>
      <c r="Q4" s="5"/>
    </row>
    <row r="5" spans="1:20" ht="18.75" x14ac:dyDescent="0.3">
      <c r="A5" s="62"/>
      <c r="B5" s="65"/>
      <c r="C5" s="65"/>
      <c r="D5" s="65"/>
      <c r="E5" s="65"/>
      <c r="F5" s="66"/>
      <c r="H5" s="7" t="s">
        <v>92</v>
      </c>
      <c r="I5" s="26">
        <f>COUNT((TABLE1[No]))</f>
        <v>5</v>
      </c>
      <c r="J5" s="7" t="s">
        <v>92</v>
      </c>
      <c r="L5" s="7" t="s">
        <v>92</v>
      </c>
      <c r="N5" s="7" t="s">
        <v>92</v>
      </c>
      <c r="Q5" s="5"/>
    </row>
    <row r="6" spans="1:20" ht="21" customHeight="1" x14ac:dyDescent="0.35">
      <c r="A6" s="61">
        <v>43603</v>
      </c>
      <c r="B6" s="63" t="s">
        <v>211</v>
      </c>
      <c r="C6" s="63"/>
      <c r="D6" s="63"/>
      <c r="E6" s="63"/>
      <c r="F6" s="64"/>
      <c r="H6" s="13" t="s">
        <v>235</v>
      </c>
      <c r="I6" s="59" t="s">
        <v>234</v>
      </c>
      <c r="J6" s="13" t="s">
        <v>236</v>
      </c>
      <c r="K6" s="58" t="s">
        <v>242</v>
      </c>
      <c r="L6" s="13" t="s">
        <v>237</v>
      </c>
      <c r="M6" s="58" t="s">
        <v>243</v>
      </c>
      <c r="N6" s="59" t="s">
        <v>238</v>
      </c>
      <c r="O6" s="58" t="s">
        <v>239</v>
      </c>
      <c r="P6" s="59"/>
      <c r="Q6" s="5"/>
    </row>
    <row r="7" spans="1:20" ht="18.75" x14ac:dyDescent="0.3">
      <c r="A7" s="62"/>
      <c r="B7" s="65"/>
      <c r="C7" s="65"/>
      <c r="D7" s="65"/>
      <c r="E7" s="65"/>
      <c r="F7" s="66"/>
      <c r="H7" s="7" t="s">
        <v>85</v>
      </c>
      <c r="I7" s="12">
        <f>SUMIFS((TABLE1[Net Gain/Loss]),(TABLE1[Setup]), "FPH")</f>
        <v>251.18666666666667</v>
      </c>
      <c r="J7" s="7" t="s">
        <v>85</v>
      </c>
      <c r="K7" s="12" t="e">
        <f>SUMIFS((#REF!),(table2[Setup]), "TBO")</f>
        <v>#REF!</v>
      </c>
      <c r="L7" s="7" t="s">
        <v>85</v>
      </c>
      <c r="M7" s="12">
        <f>SUMIFS((TABLE1[Net Gain/Loss]),(TABLE1[Setup]), "VBO")</f>
        <v>-596.56333333333328</v>
      </c>
      <c r="N7" s="7" t="s">
        <v>85</v>
      </c>
      <c r="O7" s="12">
        <f>SUMIFS((TABLE1[Net Gain/Loss]),(TABLE1[Setup]), "VBO")</f>
        <v>-596.56333333333328</v>
      </c>
      <c r="Q7" s="5"/>
    </row>
    <row r="8" spans="1:20" ht="18.75" customHeight="1" x14ac:dyDescent="0.3">
      <c r="A8" s="61">
        <v>43611</v>
      </c>
      <c r="B8" s="63" t="s">
        <v>212</v>
      </c>
      <c r="C8" s="63"/>
      <c r="D8" s="63"/>
      <c r="E8" s="63"/>
      <c r="F8" s="64"/>
      <c r="H8" s="7" t="s">
        <v>88</v>
      </c>
      <c r="I8" s="17" t="e">
        <f>(COUNTIFS((TABLE1[Outcome]),"Winner",(TABLE1[Setup]),"FPH")/(COUNTIF(TABLE1[Setup],"BO")))</f>
        <v>#DIV/0!</v>
      </c>
      <c r="J8" s="7" t="s">
        <v>88</v>
      </c>
      <c r="K8" s="17">
        <f>(COUNTIFS((table2[Outcome]),"Winner",(table2[Setup]),"TBO")/(COUNTIF(table2[Setup],"TBO")))</f>
        <v>0.53333333333333333</v>
      </c>
      <c r="L8" s="7" t="s">
        <v>88</v>
      </c>
      <c r="M8" s="17">
        <f>(COUNTIFS((TABLE1[Outcome]),"Winner",(TABLE1[Setup]),"FPH")/(COUNTIF(TABLE1[Setup],"VBO")))</f>
        <v>0.5</v>
      </c>
      <c r="N8" s="7" t="s">
        <v>88</v>
      </c>
      <c r="O8" s="17">
        <f>(COUNTIFS((TABLE1[Outcome]),"Winner",(TABLE1[Setup]),"FPH")/(COUNTIF(TABLE1[Setup],"VBO")))</f>
        <v>0.5</v>
      </c>
      <c r="Q8" s="5"/>
      <c r="S8" s="27"/>
    </row>
    <row r="9" spans="1:20" ht="18.75" x14ac:dyDescent="0.3">
      <c r="A9" s="62"/>
      <c r="B9" s="65"/>
      <c r="C9" s="65"/>
      <c r="D9" s="65"/>
      <c r="E9" s="65"/>
      <c r="F9" s="66"/>
      <c r="H9" s="7" t="s">
        <v>86</v>
      </c>
      <c r="I9" s="12">
        <f>AVERAGEIFS((TABLE1[Net Gain/Loss]),(TABLE1[Setup]), "FPH")</f>
        <v>125.59333333333333</v>
      </c>
      <c r="J9" s="7" t="s">
        <v>86</v>
      </c>
      <c r="K9" s="12" t="e">
        <f>AVERAGEIFS((#REF!),(table2[Setup]), "TBO")</f>
        <v>#REF!</v>
      </c>
      <c r="L9" s="7" t="s">
        <v>86</v>
      </c>
      <c r="M9" s="12">
        <f>AVERAGEIFS((TABLE1[Net Gain/Loss]),(TABLE1[Setup]), "VBO")</f>
        <v>-298.28166666666664</v>
      </c>
      <c r="N9" s="7" t="s">
        <v>86</v>
      </c>
      <c r="O9" s="12">
        <f>AVERAGEIFS((TABLE1[Net Gain/Loss]),(TABLE1[Setup]), "VBO")</f>
        <v>-298.28166666666664</v>
      </c>
    </row>
    <row r="10" spans="1:20" ht="18.75" customHeight="1" x14ac:dyDescent="0.3">
      <c r="A10" s="61">
        <v>43611</v>
      </c>
      <c r="B10" s="63" t="s">
        <v>213</v>
      </c>
      <c r="C10" s="63"/>
      <c r="D10" s="63"/>
      <c r="E10" s="63"/>
      <c r="F10" s="64"/>
      <c r="H10" s="7" t="s">
        <v>92</v>
      </c>
      <c r="I10" s="26">
        <f>COUNTIF((TABLE1[Setup]),"FPH")</f>
        <v>2</v>
      </c>
      <c r="J10" s="7" t="s">
        <v>92</v>
      </c>
      <c r="K10" s="26">
        <f>COUNTIF((table2[Setup]),"TBO")</f>
        <v>15</v>
      </c>
      <c r="L10" s="7" t="s">
        <v>92</v>
      </c>
      <c r="M10" s="26">
        <f>COUNTIF((TABLE1[Setup]),"VBO")</f>
        <v>2</v>
      </c>
      <c r="N10" s="7" t="s">
        <v>92</v>
      </c>
      <c r="O10" s="26">
        <f>COUNTIF((TABLE1[Setup]),"VBO")</f>
        <v>2</v>
      </c>
    </row>
    <row r="11" spans="1:20" ht="18.75" x14ac:dyDescent="0.3">
      <c r="A11" s="62"/>
      <c r="B11" s="65"/>
      <c r="C11" s="65"/>
      <c r="D11" s="65"/>
      <c r="E11" s="65"/>
      <c r="F11" s="66"/>
      <c r="H11" s="7" t="s">
        <v>150</v>
      </c>
      <c r="I11" s="46">
        <f>(AVERAGEIFS(TABLE1[RRR Realized],TABLE1[Outcome], "WINNER", TABLE1[Setup],"FPH"))</f>
        <v>3.1749999999999998</v>
      </c>
      <c r="J11" s="7" t="s">
        <v>150</v>
      </c>
      <c r="K11" s="26">
        <f>(AVERAGEIFS(table2[RRR Realized],table2[Outcome], "WINNER", table2[Setup],"TBO"))</f>
        <v>2.1568125</v>
      </c>
      <c r="L11" s="7" t="s">
        <v>150</v>
      </c>
      <c r="M11" s="46" t="e">
        <f>(AVERAGEIFS(TABLE1[RRR Realized],TABLE1[Outcome], "WINNER", TABLE1[Setup],"VBO"))</f>
        <v>#DIV/0!</v>
      </c>
      <c r="N11" s="7" t="s">
        <v>150</v>
      </c>
      <c r="O11" s="46" t="e">
        <f>(AVERAGEIFS(TABLE1[RRR Realized],TABLE1[Outcome], "WINNER", TABLE1[Setup],"VBO"))</f>
        <v>#DIV/0!</v>
      </c>
    </row>
    <row r="12" spans="1:20" ht="18.75" customHeight="1" x14ac:dyDescent="0.3">
      <c r="A12" s="61">
        <v>43613</v>
      </c>
      <c r="B12" s="63" t="s">
        <v>214</v>
      </c>
      <c r="C12" s="63"/>
      <c r="D12" s="63"/>
      <c r="E12" s="63"/>
      <c r="F12" s="64"/>
      <c r="H12" s="7" t="s">
        <v>151</v>
      </c>
      <c r="I12" s="46">
        <f>(AVERAGEIFS(TABLE1[RRR Realized],TABLE1[Outcome], "LOSER", TABLE1[Setup],"FPH"))</f>
        <v>-0.95</v>
      </c>
      <c r="J12" s="7" t="s">
        <v>151</v>
      </c>
      <c r="K12" s="46">
        <f>(AVERAGEIFS(table2[RRR Realized],table2[Outcome], "LOSER", table2[Setup],"TBO"))</f>
        <v>-0.90584285714285706</v>
      </c>
      <c r="L12" s="7" t="s">
        <v>151</v>
      </c>
      <c r="M12" s="46">
        <f>(AVERAGEIFS(TABLE1[RRR Realized],TABLE1[Outcome], "LOSER", TABLE1[Setup],"VBO"))</f>
        <v>-1.1124999999999998</v>
      </c>
      <c r="N12" s="7" t="s">
        <v>151</v>
      </c>
      <c r="O12" s="46">
        <f>(AVERAGEIFS(TABLE1[RRR Realized],TABLE1[Outcome], "LOSER", TABLE1[Setup],"VBO"))</f>
        <v>-1.1124999999999998</v>
      </c>
    </row>
    <row r="13" spans="1:20" ht="18.75" x14ac:dyDescent="0.3">
      <c r="A13" s="62"/>
      <c r="B13" s="65"/>
      <c r="C13" s="65"/>
      <c r="D13" s="65"/>
      <c r="E13" s="65"/>
      <c r="F13" s="66"/>
      <c r="H13" s="7" t="s">
        <v>152</v>
      </c>
      <c r="I13" s="46">
        <f>AVERAGEIF(TABLE1[Setup],"FPH",TABLE1[RRR Realized])</f>
        <v>1.1124999999999998</v>
      </c>
      <c r="J13" s="7" t="s">
        <v>152</v>
      </c>
      <c r="K13" s="46">
        <f>AVERAGEIF(table2[Setup],"TBO",table2[RRR Realized])</f>
        <v>0.72757333333333341</v>
      </c>
      <c r="L13" s="7" t="s">
        <v>152</v>
      </c>
      <c r="M13" s="46">
        <f>AVERAGEIF(TABLE1[Setup],"VBO",TABLE1[RRR Realized])</f>
        <v>-1.1124999999999998</v>
      </c>
      <c r="N13" s="7" t="s">
        <v>152</v>
      </c>
      <c r="O13" s="46">
        <f>AVERAGEIF(TABLE1[Setup],"VBO",TABLE1[RRR Realized])</f>
        <v>-1.1124999999999998</v>
      </c>
    </row>
    <row r="14" spans="1:20" ht="21" customHeight="1" x14ac:dyDescent="0.35">
      <c r="A14" s="61">
        <v>43614</v>
      </c>
      <c r="B14" s="71" t="s">
        <v>223</v>
      </c>
      <c r="C14" s="71"/>
      <c r="D14" s="71"/>
      <c r="E14" s="71"/>
      <c r="F14" s="72"/>
      <c r="H14" s="13" t="s">
        <v>240</v>
      </c>
      <c r="I14" s="60" t="s">
        <v>241</v>
      </c>
      <c r="J14" s="59"/>
      <c r="K14" s="14"/>
      <c r="L14" s="13"/>
      <c r="M14" s="14"/>
      <c r="N14" s="13"/>
      <c r="O14" s="14"/>
    </row>
    <row r="15" spans="1:20" ht="18.75" x14ac:dyDescent="0.3">
      <c r="A15" s="62"/>
      <c r="B15" s="73"/>
      <c r="C15" s="73"/>
      <c r="D15" s="73"/>
      <c r="E15" s="73"/>
      <c r="F15" s="74"/>
      <c r="H15" s="7" t="s">
        <v>85</v>
      </c>
      <c r="I15" s="12">
        <f>SUMIFS((TABLE1[Net Gain/Loss]),(TABLE1[Setup]), "FPH")</f>
        <v>251.18666666666667</v>
      </c>
      <c r="J15" s="7" t="s">
        <v>85</v>
      </c>
      <c r="K15" s="12"/>
      <c r="L15" s="7" t="s">
        <v>85</v>
      </c>
      <c r="M15" s="12"/>
      <c r="N15" s="7" t="s">
        <v>85</v>
      </c>
    </row>
    <row r="16" spans="1:20" ht="15" customHeight="1" x14ac:dyDescent="0.3">
      <c r="A16" s="61"/>
      <c r="B16" s="67"/>
      <c r="C16" s="67"/>
      <c r="D16" s="67"/>
      <c r="E16" s="67"/>
      <c r="F16" s="68"/>
      <c r="H16" s="7" t="s">
        <v>88</v>
      </c>
      <c r="I16" s="17" t="e">
        <f>(COUNTIFS((TABLE1[Outcome]),"Winner",(TABLE1[Setup]),"FPH")/(COUNTIF(TABLE1[Setup],"BO")))</f>
        <v>#DIV/0!</v>
      </c>
      <c r="J16" s="7" t="s">
        <v>88</v>
      </c>
      <c r="K16" s="17"/>
      <c r="L16" s="7" t="s">
        <v>88</v>
      </c>
      <c r="M16" s="17"/>
      <c r="N16" s="7" t="s">
        <v>88</v>
      </c>
    </row>
    <row r="17" spans="1:15" ht="18.75" x14ac:dyDescent="0.3">
      <c r="A17" s="62"/>
      <c r="B17" s="69"/>
      <c r="C17" s="69"/>
      <c r="D17" s="69"/>
      <c r="E17" s="69"/>
      <c r="F17" s="70"/>
      <c r="H17" s="7" t="s">
        <v>86</v>
      </c>
      <c r="I17" s="12">
        <f>AVERAGEIFS((TABLE1[Net Gain/Loss]),(TABLE1[Setup]), "FPH")</f>
        <v>125.59333333333333</v>
      </c>
      <c r="J17" s="7" t="s">
        <v>86</v>
      </c>
      <c r="K17" s="12"/>
      <c r="L17" s="7" t="s">
        <v>86</v>
      </c>
      <c r="M17" s="12"/>
      <c r="N17" s="7" t="s">
        <v>86</v>
      </c>
    </row>
    <row r="18" spans="1:15" ht="15" customHeight="1" x14ac:dyDescent="0.3">
      <c r="A18" s="61"/>
      <c r="B18" s="63"/>
      <c r="C18" s="63"/>
      <c r="D18" s="63"/>
      <c r="E18" s="63"/>
      <c r="F18" s="64"/>
      <c r="H18" s="7" t="s">
        <v>92</v>
      </c>
      <c r="I18" s="26">
        <f>COUNTIF((TABLE1[Setup]),"FPH")</f>
        <v>2</v>
      </c>
      <c r="J18" s="7" t="s">
        <v>92</v>
      </c>
      <c r="K18" s="26"/>
      <c r="L18" s="7" t="s">
        <v>92</v>
      </c>
      <c r="M18" s="26"/>
      <c r="N18" s="7" t="s">
        <v>92</v>
      </c>
    </row>
    <row r="19" spans="1:15" ht="18.75" x14ac:dyDescent="0.3">
      <c r="A19" s="62"/>
      <c r="B19" s="65"/>
      <c r="C19" s="65"/>
      <c r="D19" s="65"/>
      <c r="E19" s="65"/>
      <c r="F19" s="66"/>
      <c r="H19" s="7" t="s">
        <v>150</v>
      </c>
      <c r="I19" s="46">
        <f>(AVERAGEIFS(TABLE1[RRR Realized],TABLE1[Outcome], "WINNER", TABLE1[Setup],"FPH"))</f>
        <v>3.1749999999999998</v>
      </c>
      <c r="J19" s="7" t="s">
        <v>150</v>
      </c>
      <c r="K19" s="46"/>
      <c r="L19" s="7" t="s">
        <v>150</v>
      </c>
      <c r="M19" s="46"/>
      <c r="N19" s="7" t="s">
        <v>150</v>
      </c>
      <c r="O19" s="26"/>
    </row>
    <row r="20" spans="1:15" ht="15" customHeight="1" x14ac:dyDescent="0.3">
      <c r="A20" s="61"/>
      <c r="B20" s="63"/>
      <c r="C20" s="63"/>
      <c r="D20" s="63"/>
      <c r="E20" s="63"/>
      <c r="F20" s="64"/>
      <c r="H20" s="7" t="s">
        <v>151</v>
      </c>
      <c r="I20" s="46">
        <f>(AVERAGEIFS(TABLE1[RRR Realized],TABLE1[Outcome], "LOSER", TABLE1[Setup],"FPH"))</f>
        <v>-0.95</v>
      </c>
      <c r="J20" s="7" t="s">
        <v>151</v>
      </c>
      <c r="K20" s="46"/>
      <c r="L20" s="7" t="s">
        <v>151</v>
      </c>
      <c r="M20" s="46"/>
      <c r="N20" s="7" t="s">
        <v>151</v>
      </c>
      <c r="O20" s="46"/>
    </row>
    <row r="21" spans="1:15" ht="18.75" x14ac:dyDescent="0.3">
      <c r="A21" s="62"/>
      <c r="B21" s="65"/>
      <c r="C21" s="65"/>
      <c r="D21" s="65"/>
      <c r="E21" s="65"/>
      <c r="F21" s="66"/>
      <c r="H21" s="7" t="s">
        <v>152</v>
      </c>
      <c r="I21" s="46">
        <f>AVERAGEIF(TABLE1[Setup],"FPH",TABLE1[RRR Realized])</f>
        <v>1.1124999999999998</v>
      </c>
      <c r="J21" s="7" t="s">
        <v>152</v>
      </c>
      <c r="K21" s="46"/>
      <c r="L21" s="7" t="s">
        <v>152</v>
      </c>
      <c r="M21" s="46"/>
      <c r="N21" s="7" t="s">
        <v>152</v>
      </c>
      <c r="O21" s="7"/>
    </row>
    <row r="22" spans="1:15" ht="14.45" customHeight="1" x14ac:dyDescent="0.25">
      <c r="A22" s="61"/>
      <c r="B22" s="63"/>
      <c r="C22" s="63"/>
      <c r="D22" s="63"/>
      <c r="E22" s="63"/>
      <c r="F22" s="64"/>
    </row>
    <row r="23" spans="1:15" x14ac:dyDescent="0.25">
      <c r="A23" s="62"/>
      <c r="B23" s="65"/>
      <c r="C23" s="65"/>
      <c r="D23" s="65"/>
      <c r="E23" s="65"/>
      <c r="F23" s="66"/>
    </row>
    <row r="24" spans="1:15" ht="14.45" customHeight="1" x14ac:dyDescent="0.25">
      <c r="A24" s="61"/>
      <c r="B24" s="63"/>
      <c r="C24" s="63"/>
      <c r="D24" s="63"/>
      <c r="E24" s="63"/>
      <c r="F24" s="64"/>
    </row>
    <row r="25" spans="1:15" x14ac:dyDescent="0.25">
      <c r="A25" s="62"/>
      <c r="B25" s="65"/>
      <c r="C25" s="65"/>
      <c r="D25" s="65"/>
      <c r="E25" s="65"/>
      <c r="F25" s="66"/>
    </row>
    <row r="26" spans="1:15" ht="14.45" customHeight="1" x14ac:dyDescent="0.25">
      <c r="A26" s="61"/>
      <c r="B26" s="63"/>
      <c r="C26" s="63"/>
      <c r="D26" s="63"/>
      <c r="E26" s="63"/>
      <c r="F26" s="64"/>
    </row>
    <row r="27" spans="1:15" x14ac:dyDescent="0.25">
      <c r="A27" s="62"/>
      <c r="B27" s="65"/>
      <c r="C27" s="65"/>
      <c r="D27" s="65"/>
      <c r="E27" s="65"/>
      <c r="F27" s="66"/>
    </row>
    <row r="28" spans="1:15" ht="14.45" customHeight="1" x14ac:dyDescent="0.25">
      <c r="A28" s="61"/>
      <c r="B28" s="63"/>
      <c r="C28" s="63"/>
      <c r="D28" s="63"/>
      <c r="E28" s="63"/>
      <c r="F28" s="64"/>
    </row>
    <row r="29" spans="1:15" x14ac:dyDescent="0.25">
      <c r="A29" s="62"/>
      <c r="B29" s="65"/>
      <c r="C29" s="65"/>
      <c r="D29" s="65"/>
      <c r="E29" s="65"/>
      <c r="F29" s="66"/>
    </row>
    <row r="30" spans="1:15" ht="14.45" customHeight="1" x14ac:dyDescent="0.25">
      <c r="A30" s="61"/>
      <c r="B30" s="63"/>
      <c r="C30" s="63"/>
      <c r="D30" s="63"/>
      <c r="E30" s="63"/>
      <c r="F30" s="64"/>
    </row>
    <row r="31" spans="1:15" x14ac:dyDescent="0.25">
      <c r="A31" s="62"/>
      <c r="B31" s="65"/>
      <c r="C31" s="65"/>
      <c r="D31" s="65"/>
      <c r="E31" s="65"/>
      <c r="F31" s="66"/>
    </row>
  </sheetData>
  <mergeCells count="34">
    <mergeCell ref="A18:A19"/>
    <mergeCell ref="A16:A17"/>
    <mergeCell ref="A26:A27"/>
    <mergeCell ref="B26:F27"/>
    <mergeCell ref="A22:A23"/>
    <mergeCell ref="B22:F23"/>
    <mergeCell ref="A24:A25"/>
    <mergeCell ref="B24:F25"/>
    <mergeCell ref="N1:O1"/>
    <mergeCell ref="B1:F1"/>
    <mergeCell ref="H1:K1"/>
    <mergeCell ref="A2:A3"/>
    <mergeCell ref="B2:F3"/>
    <mergeCell ref="A14:A15"/>
    <mergeCell ref="B14:F15"/>
    <mergeCell ref="L1:M1"/>
    <mergeCell ref="B6:F7"/>
    <mergeCell ref="A6:A7"/>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F106"/>
  <sheetViews>
    <sheetView tabSelected="1" topLeftCell="AP1" zoomScaleNormal="100" workbookViewId="0">
      <selection activeCell="BA2" sqref="BA2"/>
    </sheetView>
  </sheetViews>
  <sheetFormatPr defaultRowHeight="15" x14ac:dyDescent="0.25"/>
  <cols>
    <col min="1" max="1" width="12.28515625" customWidth="1"/>
    <col min="2" max="2" width="5.85546875" bestFit="1" customWidth="1"/>
    <col min="3" max="3" width="12.42578125" style="2" bestFit="1" customWidth="1"/>
    <col min="4" max="4" width="12.7109375" style="1" bestFit="1" customWidth="1"/>
    <col min="5" max="5" width="11.42578125" style="1" bestFit="1" customWidth="1"/>
    <col min="6" max="6" width="13.28515625" style="4" bestFit="1" customWidth="1"/>
    <col min="7" max="7" width="11.85546875" bestFit="1" customWidth="1"/>
    <col min="8" max="8" width="11" bestFit="1" customWidth="1"/>
    <col min="9" max="9" width="8.42578125" bestFit="1" customWidth="1"/>
    <col min="10" max="10" width="10.7109375" bestFit="1" customWidth="1"/>
    <col min="11" max="11" width="16.5703125" bestFit="1" customWidth="1"/>
    <col min="12" max="12" width="12.7109375" bestFit="1" customWidth="1"/>
    <col min="13" max="13" width="10" bestFit="1" customWidth="1"/>
    <col min="14" max="14" width="11.42578125" bestFit="1" customWidth="1"/>
    <col min="15" max="15" width="14.85546875" bestFit="1" customWidth="1"/>
    <col min="16" max="16" width="14.42578125" bestFit="1" customWidth="1"/>
    <col min="17" max="17" width="16.85546875" customWidth="1"/>
    <col min="18" max="18" width="16.42578125" bestFit="1" customWidth="1"/>
    <col min="19" max="19" width="12.140625" bestFit="1" customWidth="1"/>
    <col min="20" max="20" width="8.42578125" bestFit="1" customWidth="1"/>
    <col min="21" max="21" width="14" bestFit="1" customWidth="1"/>
    <col min="22" max="22" width="24" bestFit="1" customWidth="1"/>
    <col min="23" max="23" width="16.7109375" bestFit="1" customWidth="1"/>
    <col min="24" max="24" width="13.140625" bestFit="1" customWidth="1"/>
    <col min="25" max="25" width="11.28515625" bestFit="1" customWidth="1"/>
    <col min="26" max="26" width="17.28515625" bestFit="1" customWidth="1"/>
    <col min="27" max="27" width="8.42578125" bestFit="1" customWidth="1"/>
    <col min="28" max="28" width="10.5703125" bestFit="1" customWidth="1"/>
    <col min="29" max="29" width="18.140625" bestFit="1" customWidth="1"/>
    <col min="30" max="30" width="20.85546875" bestFit="1" customWidth="1"/>
    <col min="31" max="31" width="10.28515625" bestFit="1" customWidth="1"/>
    <col min="32" max="32" width="9.85546875" bestFit="1" customWidth="1"/>
    <col min="33" max="33" width="7.7109375" bestFit="1" customWidth="1"/>
    <col min="34" max="34" width="7.7109375" customWidth="1"/>
    <col min="35" max="35" width="8.42578125" customWidth="1"/>
    <col min="36" max="36" width="16.140625" bestFit="1" customWidth="1"/>
    <col min="37" max="37" width="13.42578125" style="20" bestFit="1" customWidth="1"/>
    <col min="38" max="38" width="21.28515625" style="20" bestFit="1" customWidth="1"/>
    <col min="39" max="39" width="10.7109375" bestFit="1" customWidth="1"/>
    <col min="40" max="40" width="14.7109375" bestFit="1" customWidth="1"/>
    <col min="41" max="41" width="7.28515625" bestFit="1" customWidth="1"/>
    <col min="42" max="42" width="10.7109375" bestFit="1" customWidth="1"/>
    <col min="43" max="43" width="20.140625" style="3" bestFit="1" customWidth="1"/>
    <col min="44" max="44" width="20.140625" style="3" customWidth="1"/>
    <col min="45" max="45" width="12.7109375" bestFit="1" customWidth="1"/>
    <col min="46" max="46" width="14.28515625" bestFit="1" customWidth="1"/>
    <col min="48" max="48" width="18.7109375" bestFit="1" customWidth="1"/>
    <col min="49" max="49" width="14.28515625" customWidth="1"/>
    <col min="50" max="50" width="23.28515625" bestFit="1" customWidth="1"/>
    <col min="51" max="51" width="28.7109375" customWidth="1"/>
    <col min="52" max="52" width="22.7109375" bestFit="1" customWidth="1"/>
    <col min="53" max="53" width="22.7109375" customWidth="1"/>
  </cols>
  <sheetData>
    <row r="1" spans="1:58" x14ac:dyDescent="0.25">
      <c r="A1" t="s">
        <v>0</v>
      </c>
      <c r="B1" t="s">
        <v>1</v>
      </c>
      <c r="C1" s="2" t="s">
        <v>2</v>
      </c>
      <c r="D1" s="1" t="s">
        <v>56</v>
      </c>
      <c r="E1" s="1" t="s">
        <v>57</v>
      </c>
      <c r="F1" s="4" t="s">
        <v>72</v>
      </c>
      <c r="G1" t="s">
        <v>65</v>
      </c>
      <c r="H1" t="s">
        <v>5</v>
      </c>
      <c r="I1" t="s">
        <v>3</v>
      </c>
      <c r="J1" t="s">
        <v>4</v>
      </c>
      <c r="K1" t="s">
        <v>106</v>
      </c>
      <c r="L1" t="s">
        <v>6</v>
      </c>
      <c r="M1" t="s">
        <v>11</v>
      </c>
      <c r="N1" t="s">
        <v>7</v>
      </c>
      <c r="O1" t="s">
        <v>8</v>
      </c>
      <c r="P1" t="s">
        <v>9</v>
      </c>
      <c r="Q1" t="s">
        <v>220</v>
      </c>
      <c r="R1" t="s">
        <v>10</v>
      </c>
      <c r="S1" t="s">
        <v>117</v>
      </c>
      <c r="T1" t="s">
        <v>12</v>
      </c>
      <c r="U1" t="s">
        <v>156</v>
      </c>
      <c r="V1" t="s">
        <v>163</v>
      </c>
      <c r="W1" t="s">
        <v>158</v>
      </c>
      <c r="X1" t="s">
        <v>166</v>
      </c>
      <c r="Y1" t="s">
        <v>160</v>
      </c>
      <c r="Z1" t="s">
        <v>16</v>
      </c>
      <c r="AA1" t="s">
        <v>15</v>
      </c>
      <c r="AB1" t="s">
        <v>248</v>
      </c>
      <c r="AC1" t="s">
        <v>167</v>
      </c>
      <c r="AD1" t="s">
        <v>168</v>
      </c>
      <c r="AE1" t="s">
        <v>138</v>
      </c>
      <c r="AF1" t="s">
        <v>164</v>
      </c>
      <c r="AG1" t="s">
        <v>169</v>
      </c>
      <c r="AH1" t="s">
        <v>249</v>
      </c>
      <c r="AI1" t="s">
        <v>177</v>
      </c>
      <c r="AJ1" s="23" t="s">
        <v>69</v>
      </c>
      <c r="AK1" t="s">
        <v>73</v>
      </c>
      <c r="AL1" t="s">
        <v>123</v>
      </c>
      <c r="AM1" t="s">
        <v>63</v>
      </c>
      <c r="AN1" t="s">
        <v>66</v>
      </c>
      <c r="AO1" s="3" t="s">
        <v>67</v>
      </c>
      <c r="AP1" t="s">
        <v>93</v>
      </c>
      <c r="AQ1" t="s">
        <v>126</v>
      </c>
      <c r="AR1" t="s">
        <v>222</v>
      </c>
      <c r="AS1" t="s">
        <v>109</v>
      </c>
      <c r="AT1" t="s">
        <v>221</v>
      </c>
      <c r="AU1" t="s">
        <v>108</v>
      </c>
      <c r="AV1" t="s">
        <v>247</v>
      </c>
      <c r="AW1" s="24" t="s">
        <v>64</v>
      </c>
      <c r="AX1" s="47" t="s">
        <v>170</v>
      </c>
      <c r="AY1" s="20" t="s">
        <v>250</v>
      </c>
      <c r="AZ1" s="20" t="s">
        <v>186</v>
      </c>
      <c r="BA1" s="20" t="s">
        <v>251</v>
      </c>
      <c r="BB1" t="s">
        <v>187</v>
      </c>
      <c r="BC1" t="s">
        <v>179</v>
      </c>
      <c r="BD1" t="s">
        <v>180</v>
      </c>
    </row>
    <row r="2" spans="1:58" x14ac:dyDescent="0.25">
      <c r="A2" t="s">
        <v>224</v>
      </c>
      <c r="B2">
        <v>1</v>
      </c>
      <c r="C2" s="2">
        <v>43614</v>
      </c>
      <c r="D2" s="1">
        <v>0.42083333333333334</v>
      </c>
      <c r="E2" s="1">
        <v>0.4381944444444445</v>
      </c>
      <c r="F2" s="4">
        <v>50.68</v>
      </c>
      <c r="G2" s="4">
        <v>509.87</v>
      </c>
      <c r="H2" s="15">
        <v>5000</v>
      </c>
      <c r="I2" t="s">
        <v>226</v>
      </c>
      <c r="J2" t="s">
        <v>21</v>
      </c>
      <c r="K2">
        <v>0.749</v>
      </c>
      <c r="L2">
        <v>0.76</v>
      </c>
      <c r="M2">
        <v>0.70899999999999996</v>
      </c>
      <c r="N2">
        <v>0.88700000000000001</v>
      </c>
      <c r="O2">
        <v>0.88700000000000001</v>
      </c>
      <c r="P2">
        <v>0.73099999999999998</v>
      </c>
      <c r="Q2">
        <v>0.88700000000000001</v>
      </c>
      <c r="R2">
        <v>0.88700000000000001</v>
      </c>
      <c r="S2" t="b">
        <v>0</v>
      </c>
      <c r="T2" t="b">
        <v>1</v>
      </c>
      <c r="U2">
        <v>0.8</v>
      </c>
      <c r="V2" s="4">
        <f>IF(TABLE1[[#This Row],[Buy/Sell]]="BUY",(TABLE1[[#This Row],[Highest Price]]-TABLE1[[#This Row],[Entry Price]])/(TABLE1[[#This Row],[Intended Entry]]-TABLE1[[#This Row],[SL Price]]),(TABLE1[[#This Row],[Entry Price]]-TABLE1[[#This Row],[Lowest Price]])/(TABLE1[[#This Row],[SL Price]]-TABLE1[[#This Row],[Intended Entry]]))</f>
        <v>3.1749999999999972</v>
      </c>
      <c r="W2" s="4">
        <f>IF(TABLE1[[#This Row],[Buy/Sell]]="BUY",(TABLE1[[#This Row],[Highest Price]]-TABLE1[[#This Row],[Entry Price]])/(TABLE1[[#This Row],[Intended Entry]]-TABLE1[[#This Row],[SL Price]]),(TABLE1[[#This Row],[Entry Price]]-TABLE1[[#This Row],[Lowest Price]])/(TABLE1[[#This Row],[SL Price]]-TABLE1[[#This Row],[Intended Entry]]))</f>
        <v>3.1749999999999972</v>
      </c>
      <c r="X2" t="b">
        <v>0</v>
      </c>
      <c r="Y2" t="b">
        <v>0</v>
      </c>
      <c r="Z2" t="s">
        <v>25</v>
      </c>
      <c r="AA2" t="s">
        <v>28</v>
      </c>
      <c r="AB2" t="s">
        <v>38</v>
      </c>
      <c r="AC2">
        <v>40</v>
      </c>
      <c r="AE2" t="s">
        <v>137</v>
      </c>
      <c r="AF2" t="s">
        <v>165</v>
      </c>
      <c r="AG2">
        <v>27.5</v>
      </c>
      <c r="AH2">
        <v>0.88700000000000001</v>
      </c>
      <c r="AI2">
        <v>0.4</v>
      </c>
      <c r="AJ2" s="22" t="s">
        <v>227</v>
      </c>
      <c r="AK2" s="4">
        <f>IF(TABLE1[[#This Row],[Buy/Sell]]="BUY",(TABLE1[[#This Row],[Highest Price]]-TABLE1[[#This Row],[Entry Price]])/(TABLE1[[#This Row],[Intended Entry]]-TABLE1[[#This Row],[SL Price]]),(TABLE1[[#This Row],[Entry Price]]-TABLE1[[#This Row],[Lowest Price]])/(TABLE1[[#This Row],[SL Price]]-TABLE1[[#This Row],[Intended Entry]]))</f>
        <v>3.1749999999999972</v>
      </c>
      <c r="AL2" s="19">
        <f>IF(TABLE1[[#This Row],[Buy/Sell]]="BUY",(TABLE1[[#This Row],[Entry Price]]-TABLE1[[#This Row],[Lowest Price]])/(TABLE1[[#This Row],[SL Price]]-TABLE1[[#This Row],[Intended Entry]]),(TABLE1[[#This Row],[Entry Price]]-TABLE1[[#This Row],[Highest Price]])/(TABLE1[[#This Row],[SL Price]]-TABLE1[[#This Row],[Intended Entry]]))</f>
        <v>-0.72499999999999998</v>
      </c>
      <c r="AM2" s="4" t="str">
        <f>IF(AND(TABLE1[[#This Row],[RRR Realized]]&lt;0.5,TABLE1[[#This Row],[RRR Realized]]&gt;-0.6),"BE",IF(TABLE1[[#This Row],[Gain/Loss]]&lt;0, "LOSER", "WINNER"))</f>
        <v>WINNER</v>
      </c>
      <c r="AN2" s="4">
        <f>TABLE1[[#This Row],[Gain/Loss]]-TABLE1[[#This Row],[Comissions]]</f>
        <v>459.19</v>
      </c>
      <c r="AO2" s="3">
        <f>TABLE1[[#This Row],[Exit Time]]-TABLE1[[#This Row],[Entry Time]]</f>
        <v>1.736111111111116E-2</v>
      </c>
      <c r="AP2" s="4">
        <f>459.19</f>
        <v>459.19</v>
      </c>
      <c r="AQ2" s="4">
        <f>(IF(TABLE1[[#This Row],[Buy/Sell]]="BUY",(TABLE1[[#This Row],[Entry Price]]-TABLE1[[#This Row],[SL Price]])/(TABLE1[[#This Row],[Intended Entry]]-TABLE1[[#This Row],[SL Price]]),(TABLE1[[#This Row],[SL Price]]-TABLE1[[#This Row],[Entry Price]])/(TABLE1[[#This Row],[SL Price]]-TABLE1[[#This Row],[Intended Entry]])))-1</f>
        <v>0.27499999999999991</v>
      </c>
      <c r="AR2" s="4">
        <f>ROUND((TABLE1[[#This Row],[Potential Price]]-TABLE1[[#This Row],[Intended Entry]])/(TABLE1[[#This Row],[Intended Entry]]-TABLE1[[#This Row],[SL Price]]),4)</f>
        <v>3.45</v>
      </c>
      <c r="AS2" s="19">
        <f>TABLE1[[#This Row],[Missed RRR on Entry]]</f>
        <v>0.27499999999999991</v>
      </c>
      <c r="AT2" s="19">
        <f>ROUND((TABLE1[[#This Row],[In Trade Potential Price]]-TABLE1[[#This Row],[Entry Price]])/(TABLE1[[#This Row],[Intended Entry]]-TABLE1[[#This Row],[SL Price]]),4)</f>
        <v>3.1749999999999998</v>
      </c>
      <c r="AU2" s="19">
        <f>ROUND((TABLE1[[#This Row],[In Trade Potential Price]]-TABLE1[[#This Row],[Intended Entry]])/(TABLE1[[#This Row],[Intended Entry]]-TABLE1[[#This Row],[SL Price]]),4)</f>
        <v>3.45</v>
      </c>
      <c r="AV2" s="19">
        <f>TABLE1[[#This Row],[RRR Potential in Trade]]-TABLE1[[#This Row],[RRR Realized]]</f>
        <v>0</v>
      </c>
      <c r="AW2" s="25">
        <f>ROUND((TABLE1[[#This Row],[Exit Price]]-TABLE1[[#This Row],[Entry Price]])/(TABLE1[[#This Row],[Intended Entry]]-TABLE1[[#This Row],[SL Price]]),4)</f>
        <v>3.1749999999999998</v>
      </c>
      <c r="AX2" s="48">
        <f>IF((TABLE1[[#This Row],[Pattern SL]])&lt;&gt;FALSE,((TABLE1[[#This Row],[Pattern SL]])-(TABLE1[[#This Row],[Entry Price]]))/((TABLE1[[#This Row],[Intended Entry]])-(TABLE1[[#This Row],[SL Price]])),ROUND((TABLE1[[#This Row],[Exit Price]]-TABLE1[[#This Row],[Entry Price]])/(TABLE1[[#This Row],[Intended Entry]]-TABLE1[[#This Row],[SL Price]]),4))</f>
        <v>3.1749999999999998</v>
      </c>
      <c r="AY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AZ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3.1749999999999998</v>
      </c>
      <c r="BA2" s="21">
        <f>IF( TABLE1[[#This Row],[Wick Exit]]&lt;&gt; FALSE,TABLE1[[#This Row],[RRR Wick Exit]],IF(TABLE1[[#This Row],[Volume Exit]]&lt;&gt; FALSE,TABLE1[[#This Row],[RRR Volume Exit]],TABLE1[[#This Row],[RRR Realized]]))</f>
        <v>1</v>
      </c>
      <c r="BB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3.1749999999999998</v>
      </c>
      <c r="BC2" s="4">
        <f>IF(OR(AND(TABLE1[[#This Row],[Hard RRR Potential]]&gt;=2.5,TABLE1[[#This Row],[Volume Exit]]=FALSE,TABLE1[[#This Row],[Wick Exit]]=FALSE),AND(TABLE1[[#This Row],[Hard RRR Potential]]&gt;=2.5,TABLE1[[#This Row],[Volume Exit RRR Reach]]&gt;=2.5,TABLE1[[#This Row],[Wick Exit]]=FALSE)), 2.5-TABLE1[[#This Row],[Missed RRR on Entry]],TABLE1[[#This Row],[RRR Realized]])</f>
        <v>2.2250000000000001</v>
      </c>
      <c r="BD2" s="4">
        <f>IF(OR(AND(TABLE1[[#This Row],[Hard RRR Potential]]&gt;=3,TABLE1[[#This Row],[Volume Exit]]=FALSE,TABLE1[[#This Row],[Wick Exit]]=FALSE),AND(TABLE1[[#This Row],[Hard RRR Potential]]&gt;=3,TABLE1[[#This Row],[Volume Exit RRR Reach]]&gt;=3,TABLE1[[#This Row],[Wick Exit]]=FALSE)), 3-TABLE1[[#This Row],[Missed RRR on Entry]],TABLE1[[#This Row],[RRR Realized]])</f>
        <v>2.7250000000000001</v>
      </c>
      <c r="BE2" s="4"/>
      <c r="BF2" s="4"/>
    </row>
    <row r="3" spans="1:58" x14ac:dyDescent="0.25">
      <c r="A3" t="s">
        <v>225</v>
      </c>
      <c r="B3">
        <v>2</v>
      </c>
      <c r="C3" s="2">
        <v>43614</v>
      </c>
      <c r="D3" s="1">
        <v>0.43472222222222223</v>
      </c>
      <c r="E3" s="1">
        <v>0.4381944444444445</v>
      </c>
      <c r="F3" s="4">
        <v>30.56</v>
      </c>
      <c r="G3" s="4">
        <f>-348</f>
        <v>-348</v>
      </c>
      <c r="H3" s="15">
        <v>3000</v>
      </c>
      <c r="I3" t="s">
        <v>228</v>
      </c>
      <c r="J3" t="s">
        <v>21</v>
      </c>
      <c r="K3">
        <v>3.41</v>
      </c>
      <c r="L3">
        <v>3.42</v>
      </c>
      <c r="M3">
        <v>3.31</v>
      </c>
      <c r="N3">
        <v>3.3050000000000002</v>
      </c>
      <c r="O3">
        <v>3.44</v>
      </c>
      <c r="P3">
        <v>3.31</v>
      </c>
      <c r="Q3">
        <v>3.44</v>
      </c>
      <c r="R3">
        <v>4.4000000000000004</v>
      </c>
      <c r="S3" t="b">
        <v>0</v>
      </c>
      <c r="T3" t="b">
        <v>0</v>
      </c>
      <c r="U3" t="b">
        <v>0</v>
      </c>
      <c r="X3" t="b">
        <v>0</v>
      </c>
      <c r="Y3" t="b">
        <v>0</v>
      </c>
      <c r="Z3" t="s">
        <v>24</v>
      </c>
      <c r="AA3" t="s">
        <v>28</v>
      </c>
      <c r="AB3" t="s">
        <v>33</v>
      </c>
      <c r="AC3">
        <v>40</v>
      </c>
      <c r="AE3" t="s">
        <v>135</v>
      </c>
      <c r="AF3" t="s">
        <v>175</v>
      </c>
      <c r="AG3">
        <v>4.28</v>
      </c>
      <c r="AH3">
        <v>3.44</v>
      </c>
      <c r="AI3">
        <v>94</v>
      </c>
      <c r="AJ3" s="22" t="s">
        <v>229</v>
      </c>
      <c r="AK3" s="4">
        <f>IF(TABLE1[[#This Row],[Buy/Sell]]="BUY",(TABLE1[[#This Row],[Highest Price]]-TABLE1[[#This Row],[Entry Price]])/(TABLE1[[#This Row],[Intended Entry]]-TABLE1[[#This Row],[SL Price]]),(TABLE1[[#This Row],[Entry Price]]-TABLE1[[#This Row],[Lowest Price]])/(TABLE1[[#This Row],[SL Price]]-TABLE1[[#This Row],[Intended Entry]]))</f>
        <v>0.2</v>
      </c>
      <c r="AL3" s="19">
        <f>IF(TABLE1[[#This Row],[Buy/Sell]]="BUY",(TABLE1[[#This Row],[Entry Price]]-TABLE1[[#This Row],[Lowest Price]])/(TABLE1[[#This Row],[SL Price]]-TABLE1[[#This Row],[Intended Entry]]),(TABLE1[[#This Row],[Entry Price]]-TABLE1[[#This Row],[Highest Price]])/(TABLE1[[#This Row],[SL Price]]-TABLE1[[#This Row],[Intended Entry]]))</f>
        <v>-1.0999999999999979</v>
      </c>
      <c r="AM3" s="4" t="str">
        <f>IF(AND(TABLE1[[#This Row],[RRR Realized]]&lt;0.5,TABLE1[[#This Row],[RRR Realized]]&gt;-0.6),"BE",IF(TABLE1[[#This Row],[Gain/Loss]]&lt;0, "LOSER", "WINNER"))</f>
        <v>LOSER</v>
      </c>
      <c r="AN3" s="4">
        <f>TABLE1[[#This Row],[Gain/Loss]]-TABLE1[[#This Row],[Comissions]]</f>
        <v>-378.56</v>
      </c>
      <c r="AO3" s="3">
        <f>TABLE1[[#This Row],[Exit Time]]-TABLE1[[#This Row],[Entry Time]]</f>
        <v>3.4722222222222654E-3</v>
      </c>
      <c r="AP3" s="4">
        <f>TABLE1[[#This Row],[Net Gain/Loss]]+AP2</f>
        <v>80.63</v>
      </c>
      <c r="AQ3" s="4">
        <f>(IF(TABLE1[[#This Row],[Buy/Sell]]="BUY",(TABLE1[[#This Row],[Entry Price]]-TABLE1[[#This Row],[SL Price]])/(TABLE1[[#This Row],[Intended Entry]]-TABLE1[[#This Row],[SL Price]]),(TABLE1[[#This Row],[SL Price]]-TABLE1[[#This Row],[Entry Price]])/(TABLE1[[#This Row],[SL Price]]-TABLE1[[#This Row],[Intended Entry]])))-1</f>
        <v>9.9999999999997868E-2</v>
      </c>
      <c r="AR3" s="4">
        <f>ROUND((TABLE1[[#This Row],[Potential Price]]-TABLE1[[#This Row],[Intended Entry]])/(TABLE1[[#This Row],[Intended Entry]]-TABLE1[[#This Row],[SL Price]]),4)</f>
        <v>9.9</v>
      </c>
      <c r="AS3" s="19">
        <f>TABLE1[[#This Row],[Missed RRR on Entry]]</f>
        <v>9.9999999999997868E-2</v>
      </c>
      <c r="AT3" s="19">
        <f>ROUND((TABLE1[[#This Row],[In Trade Potential Price]]-TABLE1[[#This Row],[Entry Price]])/(TABLE1[[#This Row],[Intended Entry]]-TABLE1[[#This Row],[SL Price]]),4)</f>
        <v>0.2</v>
      </c>
      <c r="AU3" s="19">
        <f>ROUND((TABLE1[[#This Row],[In Trade Potential Price]]-TABLE1[[#This Row],[Intended Entry]])/(TABLE1[[#This Row],[Intended Entry]]-TABLE1[[#This Row],[SL Price]]),4)</f>
        <v>0.3</v>
      </c>
      <c r="AV3" s="19">
        <f>TABLE1[[#This Row],[RRR Potential in Trade]]-TABLE1[[#This Row],[RRR Realized]]</f>
        <v>1.3499999999999999</v>
      </c>
      <c r="AW3" s="25">
        <f>ROUND((TABLE1[[#This Row],[Exit Price]]-TABLE1[[#This Row],[Entry Price]])/(TABLE1[[#This Row],[Intended Entry]]-TABLE1[[#This Row],[SL Price]]),4)</f>
        <v>-1.1499999999999999</v>
      </c>
      <c r="AX3" s="48">
        <f>IF((TABLE1[[#This Row],[Pattern SL]])&lt;&gt;FALSE,((TABLE1[[#This Row],[Pattern SL]])-(TABLE1[[#This Row],[Entry Price]]))/((TABLE1[[#This Row],[Intended Entry]])-(TABLE1[[#This Row],[SL Price]])),ROUND((TABLE1[[#This Row],[Exit Price]]-TABLE1[[#This Row],[Entry Price]])/(TABLE1[[#This Row],[Intended Entry]]-TABLE1[[#This Row],[SL Price]]),4))</f>
        <v>-1.1499999999999999</v>
      </c>
      <c r="AY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AZ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BA3" s="21">
        <f>IF( TABLE1[[#This Row],[Wick Exit]]&lt;&gt; FALSE,TABLE1[[#This Row],[RRR Wick Exit]],IF(TABLE1[[#This Row],[Volume Exit]]&lt;&gt; FALSE,TABLE1[[#This Row],[RRR Volume Exit]],TABLE1[[#This Row],[RRR Realized]]))</f>
        <v>-1.1499999999999999</v>
      </c>
      <c r="BB3"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-1.1499999999999999</v>
      </c>
      <c r="BC3" s="4">
        <f>IF(OR(AND(TABLE1[[#This Row],[Hard RRR Potential]]&gt;=2.5,TABLE1[[#This Row],[Volume Exit]]=FALSE,TABLE1[[#This Row],[Wick Exit]]=FALSE),AND(TABLE1[[#This Row],[Hard RRR Potential]]&gt;=2.5,TABLE1[[#This Row],[Volume Exit RRR Reach]]&gt;=2.5,TABLE1[[#This Row],[Wick Exit]]=FALSE)), 2.5-TABLE1[[#This Row],[Missed RRR on Entry]],TABLE1[[#This Row],[RRR Realized]])</f>
        <v>-1.1499999999999999</v>
      </c>
      <c r="BD3" s="4">
        <f>IF(OR(AND(TABLE1[[#This Row],[Hard RRR Potential]]&gt;=3,TABLE1[[#This Row],[Volume Exit]]=FALSE,TABLE1[[#This Row],[Wick Exit]]=FALSE),AND(TABLE1[[#This Row],[Hard RRR Potential]]&gt;=3,TABLE1[[#This Row],[Volume Exit RRR Reach]]&gt;=3,TABLE1[[#This Row],[Wick Exit]]=FALSE)), 3-TABLE1[[#This Row],[Missed RRR on Entry]],TABLE1[[#This Row],[RRR Realized]])</f>
        <v>-1.1499999999999999</v>
      </c>
      <c r="BE3" s="4"/>
      <c r="BF3" s="4"/>
    </row>
    <row r="4" spans="1:58" x14ac:dyDescent="0.25">
      <c r="A4" t="s">
        <v>233</v>
      </c>
      <c r="B4">
        <v>3</v>
      </c>
      <c r="C4" s="2">
        <v>43615</v>
      </c>
      <c r="D4" s="1">
        <v>0.40902777777777777</v>
      </c>
      <c r="E4" s="1">
        <v>0.41041666666666665</v>
      </c>
      <c r="F4" s="4">
        <f>76.15/3</f>
        <v>25.383333333333336</v>
      </c>
      <c r="G4" s="4">
        <f>-208+25.38</f>
        <v>-182.62</v>
      </c>
      <c r="H4" s="15">
        <v>2500</v>
      </c>
      <c r="I4" t="s">
        <v>226</v>
      </c>
      <c r="J4" t="s">
        <v>21</v>
      </c>
      <c r="K4">
        <v>1.63</v>
      </c>
      <c r="L4">
        <v>1.6279999999999999</v>
      </c>
      <c r="M4">
        <v>1.55</v>
      </c>
      <c r="N4">
        <v>1.552</v>
      </c>
      <c r="O4">
        <v>1.63</v>
      </c>
      <c r="P4">
        <v>1.552</v>
      </c>
      <c r="Q4">
        <v>1.63</v>
      </c>
      <c r="R4">
        <v>1.92</v>
      </c>
      <c r="S4" t="b">
        <v>0</v>
      </c>
      <c r="T4" t="b">
        <v>0</v>
      </c>
      <c r="U4" t="b">
        <v>0</v>
      </c>
      <c r="X4" t="b">
        <v>0</v>
      </c>
      <c r="Y4" t="b">
        <v>0</v>
      </c>
      <c r="Z4" t="s">
        <v>24</v>
      </c>
      <c r="AA4" t="s">
        <v>31</v>
      </c>
      <c r="AB4" t="s">
        <v>33</v>
      </c>
      <c r="AC4">
        <v>50</v>
      </c>
      <c r="AE4" t="s">
        <v>137</v>
      </c>
      <c r="AF4" t="s">
        <v>175</v>
      </c>
      <c r="AG4">
        <v>21</v>
      </c>
      <c r="AH4">
        <v>1.63</v>
      </c>
      <c r="AI4">
        <v>1.75</v>
      </c>
      <c r="AJ4" s="22" t="s">
        <v>246</v>
      </c>
      <c r="AK4" s="4">
        <f>IF(TABLE1[[#This Row],[Buy/Sell]]="BUY",(TABLE1[[#This Row],[Highest Price]]-TABLE1[[#This Row],[Entry Price]])/(TABLE1[[#This Row],[Intended Entry]]-TABLE1[[#This Row],[SL Price]]),(TABLE1[[#This Row],[Entry Price]]-TABLE1[[#This Row],[Lowest Price]])/(TABLE1[[#This Row],[SL Price]]-TABLE1[[#This Row],[Intended Entry]]))</f>
        <v>2.5000000000000071E-2</v>
      </c>
      <c r="AL4" s="19">
        <f>IF(TABLE1[[#This Row],[Buy/Sell]]="BUY",(TABLE1[[#This Row],[Entry Price]]-TABLE1[[#This Row],[Lowest Price]])/(TABLE1[[#This Row],[SL Price]]-TABLE1[[#This Row],[Intended Entry]]),(TABLE1[[#This Row],[Entry Price]]-TABLE1[[#This Row],[Highest Price]])/(TABLE1[[#This Row],[SL Price]]-TABLE1[[#This Row],[Intended Entry]]))</f>
        <v>-0.94999999999999984</v>
      </c>
      <c r="AM4" s="4" t="str">
        <f>IF(AND(TABLE1[[#This Row],[RRR Realized]]&lt;0.5,TABLE1[[#This Row],[RRR Realized]]&gt;-0.6),"BE",IF(TABLE1[[#This Row],[Gain/Loss]]&lt;0, "LOSER", "WINNER"))</f>
        <v>LOSER</v>
      </c>
      <c r="AN4" s="4">
        <f>TABLE1[[#This Row],[Gain/Loss]]-TABLE1[[#This Row],[Comissions]]</f>
        <v>-208.00333333333333</v>
      </c>
      <c r="AO4" s="3">
        <f>TABLE1[[#This Row],[Exit Time]]-TABLE1[[#This Row],[Entry Time]]</f>
        <v>1.388888888888884E-3</v>
      </c>
      <c r="AP4" s="4">
        <f>TABLE1[[#This Row],[Net Gain/Loss]]+AP3</f>
        <v>-127.37333333333333</v>
      </c>
      <c r="AQ4" s="4">
        <f>(IF(TABLE1[[#This Row],[Buy/Sell]]="BUY",(TABLE1[[#This Row],[Entry Price]]-TABLE1[[#This Row],[SL Price]])/(TABLE1[[#This Row],[Intended Entry]]-TABLE1[[#This Row],[SL Price]]),(TABLE1[[#This Row],[SL Price]]-TABLE1[[#This Row],[Entry Price]])/(TABLE1[[#This Row],[SL Price]]-TABLE1[[#This Row],[Intended Entry]])))-1</f>
        <v>-2.5000000000000022E-2</v>
      </c>
      <c r="AR4" s="4">
        <f>ROUND((TABLE1[[#This Row],[Potential Price]]-TABLE1[[#This Row],[Intended Entry]])/(TABLE1[[#This Row],[Intended Entry]]-TABLE1[[#This Row],[SL Price]]),4)</f>
        <v>3.625</v>
      </c>
      <c r="AS4" s="19">
        <f>TABLE1[[#This Row],[Missed RRR on Entry]]</f>
        <v>-2.5000000000000022E-2</v>
      </c>
      <c r="AT4" s="19">
        <f>ROUND((TABLE1[[#This Row],[In Trade Potential Price]]-TABLE1[[#This Row],[Entry Price]])/(TABLE1[[#This Row],[Intended Entry]]-TABLE1[[#This Row],[SL Price]]),4)</f>
        <v>2.5000000000000001E-2</v>
      </c>
      <c r="AU4" s="19">
        <f>ROUND((TABLE1[[#This Row],[In Trade Potential Price]]-TABLE1[[#This Row],[Intended Entry]])/(TABLE1[[#This Row],[Intended Entry]]-TABLE1[[#This Row],[SL Price]]),4)</f>
        <v>0</v>
      </c>
      <c r="AV4" s="19">
        <f>TABLE1[[#This Row],[RRR Potential in Trade]]-TABLE1[[#This Row],[RRR Realized]]</f>
        <v>0.97499999999999998</v>
      </c>
      <c r="AW4" s="25">
        <f>ROUND((TABLE1[[#This Row],[Exit Price]]-TABLE1[[#This Row],[Entry Price]])/(TABLE1[[#This Row],[Intended Entry]]-TABLE1[[#This Row],[SL Price]]),4)</f>
        <v>-0.95</v>
      </c>
      <c r="AX4" s="48">
        <f>IF((TABLE1[[#This Row],[Pattern SL]])&lt;&gt;FALSE,((TABLE1[[#This Row],[Pattern SL]])-(TABLE1[[#This Row],[Entry Price]]))/((TABLE1[[#This Row],[Intended Entry]])-(TABLE1[[#This Row],[SL Price]])),ROUND((TABLE1[[#This Row],[Exit Price]]-TABLE1[[#This Row],[Entry Price]])/(TABLE1[[#This Row],[Intended Entry]]-TABLE1[[#This Row],[SL Price]]),4))</f>
        <v>-0.95</v>
      </c>
      <c r="AY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-0.95</v>
      </c>
      <c r="AZ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-0.95</v>
      </c>
      <c r="BA4" s="21">
        <f>IF( TABLE1[[#This Row],[Wick Exit]]&lt;&gt; FALSE,TABLE1[[#This Row],[RRR Wick Exit]],IF(TABLE1[[#This Row],[Volume Exit]]&lt;&gt; FALSE,TABLE1[[#This Row],[RRR Volume Exit]],TABLE1[[#This Row],[RRR Realized]]))</f>
        <v>-0.95</v>
      </c>
      <c r="BB4"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-0.95</v>
      </c>
      <c r="BC4" s="4">
        <f>IF(OR(AND(TABLE1[[#This Row],[Hard RRR Potential]]&gt;=2.5,TABLE1[[#This Row],[Volume Exit]]=FALSE,TABLE1[[#This Row],[Wick Exit]]=FALSE),AND(TABLE1[[#This Row],[Hard RRR Potential]]&gt;=2.5,TABLE1[[#This Row],[Volume Exit RRR Reach]]&gt;=2.5,TABLE1[[#This Row],[Wick Exit]]=FALSE)), 2.5-TABLE1[[#This Row],[Missed RRR on Entry]],TABLE1[[#This Row],[RRR Realized]])</f>
        <v>-0.95</v>
      </c>
      <c r="BD4" s="4">
        <f>IF(OR(AND(TABLE1[[#This Row],[Hard RRR Potential]]&gt;=3,TABLE1[[#This Row],[Volume Exit]]=FALSE,TABLE1[[#This Row],[Wick Exit]]=FALSE),AND(TABLE1[[#This Row],[Hard RRR Potential]]&gt;=3,TABLE1[[#This Row],[Volume Exit RRR Reach]]&gt;=3,TABLE1[[#This Row],[Wick Exit]]=FALSE)), 3-TABLE1[[#This Row],[Missed RRR on Entry]],TABLE1[[#This Row],[RRR Realized]])</f>
        <v>-0.95</v>
      </c>
      <c r="BE4" s="4"/>
      <c r="BF4" s="4"/>
    </row>
    <row r="5" spans="1:58" x14ac:dyDescent="0.25">
      <c r="A5" t="s">
        <v>233</v>
      </c>
      <c r="B5">
        <v>4</v>
      </c>
      <c r="C5" s="2">
        <v>43615</v>
      </c>
      <c r="D5" s="1">
        <v>0.41666666666666669</v>
      </c>
      <c r="E5" s="1">
        <v>0.4465277777777778</v>
      </c>
      <c r="F5" s="4">
        <f>76.15/3</f>
        <v>25.383333333333336</v>
      </c>
      <c r="G5" s="4">
        <f>488+25.38</f>
        <v>513.38</v>
      </c>
      <c r="H5" s="15">
        <v>2500</v>
      </c>
      <c r="I5" t="s">
        <v>244</v>
      </c>
      <c r="J5" t="s">
        <v>21</v>
      </c>
      <c r="K5">
        <v>1.59</v>
      </c>
      <c r="L5">
        <v>1.59</v>
      </c>
      <c r="M5">
        <v>1.51</v>
      </c>
      <c r="N5">
        <v>1.81</v>
      </c>
      <c r="O5">
        <v>1.92</v>
      </c>
      <c r="P5">
        <v>1.52</v>
      </c>
      <c r="Q5">
        <v>1.92</v>
      </c>
      <c r="R5">
        <v>1.92</v>
      </c>
      <c r="S5" t="b">
        <v>0</v>
      </c>
      <c r="T5" t="b">
        <v>1</v>
      </c>
      <c r="U5">
        <v>1.71</v>
      </c>
      <c r="V5">
        <v>2.75</v>
      </c>
      <c r="W5">
        <v>2.75</v>
      </c>
      <c r="X5" t="b">
        <v>0</v>
      </c>
      <c r="Y5" t="b">
        <v>0</v>
      </c>
      <c r="Z5" t="s">
        <v>245</v>
      </c>
      <c r="AA5" t="s">
        <v>30</v>
      </c>
      <c r="AB5" t="s">
        <v>33</v>
      </c>
      <c r="AC5">
        <v>50</v>
      </c>
      <c r="AE5" t="s">
        <v>137</v>
      </c>
      <c r="AF5" t="s">
        <v>175</v>
      </c>
      <c r="AG5">
        <v>21</v>
      </c>
      <c r="AH5">
        <v>1.92</v>
      </c>
      <c r="AI5">
        <v>1.75</v>
      </c>
      <c r="AJ5" s="22" t="s">
        <v>246</v>
      </c>
      <c r="AK5" s="4">
        <f>IF(TABLE1[[#This Row],[Buy/Sell]]="BUY",(TABLE1[[#This Row],[Highest Price]]-TABLE1[[#This Row],[Entry Price]])/(TABLE1[[#This Row],[Intended Entry]]-TABLE1[[#This Row],[SL Price]]),(TABLE1[[#This Row],[Entry Price]]-TABLE1[[#This Row],[Lowest Price]])/(TABLE1[[#This Row],[SL Price]]-TABLE1[[#This Row],[Intended Entry]]))</f>
        <v>4.1249999999999947</v>
      </c>
      <c r="AL5" s="19">
        <f>IF(TABLE1[[#This Row],[Buy/Sell]]="BUY",(TABLE1[[#This Row],[Entry Price]]-TABLE1[[#This Row],[Lowest Price]])/(TABLE1[[#This Row],[SL Price]]-TABLE1[[#This Row],[Intended Entry]]),(TABLE1[[#This Row],[Entry Price]]-TABLE1[[#This Row],[Highest Price]])/(TABLE1[[#This Row],[SL Price]]-TABLE1[[#This Row],[Intended Entry]]))</f>
        <v>-0.875</v>
      </c>
      <c r="AM5" s="4" t="str">
        <f>IF(AND(TABLE1[[#This Row],[RRR Realized]]&lt;0.5,TABLE1[[#This Row],[RRR Realized]]&gt;-0.6),"BE",IF(TABLE1[[#This Row],[Gain/Loss]]&lt;0, "LOSER", "WINNER"))</f>
        <v>WINNER</v>
      </c>
      <c r="AN5" s="4">
        <f>TABLE1[[#This Row],[Gain/Loss]]-TABLE1[[#This Row],[Comissions]]</f>
        <v>487.99666666666667</v>
      </c>
      <c r="AO5" s="3">
        <f>TABLE1[[#This Row],[Exit Time]]-TABLE1[[#This Row],[Entry Time]]</f>
        <v>2.9861111111111116E-2</v>
      </c>
      <c r="AP5" s="4">
        <f>TABLE1[[#This Row],[Net Gain/Loss]]+AP4</f>
        <v>360.62333333333333</v>
      </c>
      <c r="AQ5" s="4">
        <f>(IF(TABLE1[[#This Row],[Buy/Sell]]="BUY",(TABLE1[[#This Row],[Entry Price]]-TABLE1[[#This Row],[SL Price]])/(TABLE1[[#This Row],[Intended Entry]]-TABLE1[[#This Row],[SL Price]]),(TABLE1[[#This Row],[SL Price]]-TABLE1[[#This Row],[Entry Price]])/(TABLE1[[#This Row],[SL Price]]-TABLE1[[#This Row],[Intended Entry]])))-1</f>
        <v>0</v>
      </c>
      <c r="AR5" s="4">
        <f>ROUND((TABLE1[[#This Row],[Potential Price]]-TABLE1[[#This Row],[Intended Entry]])/(TABLE1[[#This Row],[Intended Entry]]-TABLE1[[#This Row],[SL Price]]),4)</f>
        <v>4.125</v>
      </c>
      <c r="AS5" s="19">
        <f>TABLE1[[#This Row],[Missed RRR on Entry]]</f>
        <v>0</v>
      </c>
      <c r="AT5" s="19">
        <f>ROUND((TABLE1[[#This Row],[In Trade Potential Price]]-TABLE1[[#This Row],[Entry Price]])/(TABLE1[[#This Row],[Intended Entry]]-TABLE1[[#This Row],[SL Price]]),4)</f>
        <v>4.125</v>
      </c>
      <c r="AU5" s="19">
        <f>ROUND((TABLE1[[#This Row],[In Trade Potential Price]]-TABLE1[[#This Row],[Intended Entry]])/(TABLE1[[#This Row],[Intended Entry]]-TABLE1[[#This Row],[SL Price]]),4)</f>
        <v>4.125</v>
      </c>
      <c r="AV5" s="19">
        <f>TABLE1[[#This Row],[RRR Potential in Trade]]-TABLE1[[#This Row],[RRR Realized]]</f>
        <v>1.375</v>
      </c>
      <c r="AW5" s="25">
        <f>ROUND((TABLE1[[#This Row],[Exit Price]]-TABLE1[[#This Row],[Entry Price]])/(TABLE1[[#This Row],[Intended Entry]]-TABLE1[[#This Row],[SL Price]]),4)</f>
        <v>2.75</v>
      </c>
      <c r="AX5" s="48">
        <f>IF((TABLE1[[#This Row],[Pattern SL]])&lt;&gt;FALSE,((TABLE1[[#This Row],[Pattern SL]])-(TABLE1[[#This Row],[Entry Price]]))/((TABLE1[[#This Row],[Intended Entry]])-(TABLE1[[#This Row],[SL Price]])),ROUND((TABLE1[[#This Row],[Exit Price]]-TABLE1[[#This Row],[Entry Price]])/(TABLE1[[#This Row],[Intended Entry]]-TABLE1[[#This Row],[SL Price]]),4))</f>
        <v>2.75</v>
      </c>
      <c r="AY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1.4999999999999973</v>
      </c>
      <c r="AZ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2.75</v>
      </c>
      <c r="BA5" s="21">
        <f>IF( TABLE1[[#This Row],[Wick Exit]]&lt;&gt; FALSE,TABLE1[[#This Row],[RRR Wick Exit]],IF(TABLE1[[#This Row],[Volume Exit]]&lt;&gt; FALSE,TABLE1[[#This Row],[RRR Volume Exit]],TABLE1[[#This Row],[RRR Realized]]))</f>
        <v>1.4999999999999973</v>
      </c>
      <c r="BB5"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2.75</v>
      </c>
      <c r="BC5"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D5" s="4">
        <f>IF(OR(AND(TABLE1[[#This Row],[Hard RRR Potential]]&gt;=3,TABLE1[[#This Row],[Volume Exit]]=FALSE,TABLE1[[#This Row],[Wick Exit]]=FALSE),AND(TABLE1[[#This Row],[Hard RRR Potential]]&gt;=3,TABLE1[[#This Row],[Volume Exit RRR Reach]]&gt;=3,TABLE1[[#This Row],[Wick Exit]]=FALSE)), 3-TABLE1[[#This Row],[Missed RRR on Entry]],TABLE1[[#This Row],[RRR Realized]])</f>
        <v>2.75</v>
      </c>
      <c r="BE5" s="4"/>
      <c r="BF5" s="4"/>
    </row>
    <row r="6" spans="1:58" x14ac:dyDescent="0.25">
      <c r="A6" t="s">
        <v>233</v>
      </c>
      <c r="B6">
        <v>5</v>
      </c>
      <c r="C6" s="2">
        <v>43615</v>
      </c>
      <c r="D6" s="1">
        <v>0.42083333333333334</v>
      </c>
      <c r="E6" s="1">
        <v>0.42430555555555555</v>
      </c>
      <c r="F6" s="4">
        <f>76.15/3</f>
        <v>25.383333333333336</v>
      </c>
      <c r="G6" s="4">
        <f>-218+25.38</f>
        <v>-192.62</v>
      </c>
      <c r="H6" s="15">
        <v>2500</v>
      </c>
      <c r="I6" t="s">
        <v>228</v>
      </c>
      <c r="J6" t="s">
        <v>21</v>
      </c>
      <c r="K6">
        <v>1.62</v>
      </c>
      <c r="L6">
        <v>1.6180000000000001</v>
      </c>
      <c r="M6">
        <v>1.54</v>
      </c>
      <c r="N6">
        <v>1.532</v>
      </c>
      <c r="O6">
        <v>1.62</v>
      </c>
      <c r="P6">
        <v>1.532</v>
      </c>
      <c r="Q6">
        <v>1.62</v>
      </c>
      <c r="R6">
        <v>1.92</v>
      </c>
      <c r="S6" t="b">
        <v>0</v>
      </c>
      <c r="T6" t="b">
        <v>0</v>
      </c>
      <c r="U6" t="b">
        <v>0</v>
      </c>
      <c r="X6" t="b">
        <v>0</v>
      </c>
      <c r="Y6" t="b">
        <v>0</v>
      </c>
      <c r="Z6" t="s">
        <v>24</v>
      </c>
      <c r="AA6" t="s">
        <v>31</v>
      </c>
      <c r="AB6" t="s">
        <v>33</v>
      </c>
      <c r="AC6">
        <v>50</v>
      </c>
      <c r="AE6" t="s">
        <v>137</v>
      </c>
      <c r="AF6" t="s">
        <v>165</v>
      </c>
      <c r="AG6">
        <v>21</v>
      </c>
      <c r="AH6">
        <v>1.62</v>
      </c>
      <c r="AI6">
        <v>1.75</v>
      </c>
      <c r="AJ6" s="22" t="s">
        <v>246</v>
      </c>
      <c r="AK6" s="4">
        <f>IF(TABLE1[[#This Row],[Buy/Sell]]="BUY",(TABLE1[[#This Row],[Highest Price]]-TABLE1[[#This Row],[Entry Price]])/(TABLE1[[#This Row],[Intended Entry]]-TABLE1[[#This Row],[SL Price]]),(TABLE1[[#This Row],[Entry Price]]-TABLE1[[#This Row],[Lowest Price]])/(TABLE1[[#This Row],[SL Price]]-TABLE1[[#This Row],[Intended Entry]]))</f>
        <v>2.5000000000000001E-2</v>
      </c>
      <c r="AL6" s="19">
        <f>IF(TABLE1[[#This Row],[Buy/Sell]]="BUY",(TABLE1[[#This Row],[Entry Price]]-TABLE1[[#This Row],[Lowest Price]])/(TABLE1[[#This Row],[SL Price]]-TABLE1[[#This Row],[Intended Entry]]),(TABLE1[[#This Row],[Entry Price]]-TABLE1[[#This Row],[Highest Price]])/(TABLE1[[#This Row],[SL Price]]-TABLE1[[#This Row],[Intended Entry]]))</f>
        <v>-1.075</v>
      </c>
      <c r="AM6" s="4" t="str">
        <f>IF(AND(TABLE1[[#This Row],[RRR Realized]]&lt;0.5,TABLE1[[#This Row],[RRR Realized]]&gt;-0.6),"BE",IF(TABLE1[[#This Row],[Gain/Loss]]&lt;0, "LOSER", "WINNER"))</f>
        <v>LOSER</v>
      </c>
      <c r="AN6" s="4">
        <f>TABLE1[[#This Row],[Gain/Loss]]-TABLE1[[#This Row],[Comissions]]</f>
        <v>-218.00333333333333</v>
      </c>
      <c r="AO6" s="3">
        <f>TABLE1[[#This Row],[Exit Time]]-TABLE1[[#This Row],[Entry Time]]</f>
        <v>3.4722222222222099E-3</v>
      </c>
      <c r="AP6" s="4">
        <f>TABLE1[[#This Row],[Net Gain/Loss]]+AP5</f>
        <v>142.62</v>
      </c>
      <c r="AQ6" s="4">
        <f>(IF(TABLE1[[#This Row],[Buy/Sell]]="BUY",(TABLE1[[#This Row],[Entry Price]]-TABLE1[[#This Row],[SL Price]])/(TABLE1[[#This Row],[Intended Entry]]-TABLE1[[#This Row],[SL Price]]),(TABLE1[[#This Row],[SL Price]]-TABLE1[[#This Row],[Entry Price]])/(TABLE1[[#This Row],[SL Price]]-TABLE1[[#This Row],[Intended Entry]])))-1</f>
        <v>-2.5000000000000022E-2</v>
      </c>
      <c r="AR6" s="4">
        <f>ROUND((TABLE1[[#This Row],[Potential Price]]-TABLE1[[#This Row],[Intended Entry]])/(TABLE1[[#This Row],[Intended Entry]]-TABLE1[[#This Row],[SL Price]]),4)</f>
        <v>3.75</v>
      </c>
      <c r="AS6" s="19">
        <f>TABLE1[[#This Row],[Missed RRR on Entry]]</f>
        <v>-2.5000000000000022E-2</v>
      </c>
      <c r="AT6" s="19">
        <f>ROUND((TABLE1[[#This Row],[In Trade Potential Price]]-TABLE1[[#This Row],[Entry Price]])/(TABLE1[[#This Row],[Intended Entry]]-TABLE1[[#This Row],[SL Price]]),4)</f>
        <v>2.5000000000000001E-2</v>
      </c>
      <c r="AU6" s="19">
        <f>ROUND((TABLE1[[#This Row],[In Trade Potential Price]]-TABLE1[[#This Row],[Intended Entry]])/(TABLE1[[#This Row],[Intended Entry]]-TABLE1[[#This Row],[SL Price]]),4)</f>
        <v>0</v>
      </c>
      <c r="AV6" s="19">
        <f>TABLE1[[#This Row],[RRR Potential in Trade]]-TABLE1[[#This Row],[RRR Realized]]</f>
        <v>1.0999999999999999</v>
      </c>
      <c r="AW6" s="25">
        <f>ROUND((TABLE1[[#This Row],[Exit Price]]-TABLE1[[#This Row],[Entry Price]])/(TABLE1[[#This Row],[Intended Entry]]-TABLE1[[#This Row],[SL Price]]),4)</f>
        <v>-1.075</v>
      </c>
      <c r="AX6" s="48">
        <f>IF((TABLE1[[#This Row],[Pattern SL]])&lt;&gt;FALSE,((TABLE1[[#This Row],[Pattern SL]])-(TABLE1[[#This Row],[Entry Price]]))/((TABLE1[[#This Row],[Intended Entry]])-(TABLE1[[#This Row],[SL Price]])),ROUND((TABLE1[[#This Row],[Exit Price]]-TABLE1[[#This Row],[Entry Price]])/(TABLE1[[#This Row],[Intended Entry]]-TABLE1[[#This Row],[SL Price]]),4))</f>
        <v>-1.075</v>
      </c>
      <c r="AY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-1.075</v>
      </c>
      <c r="AZ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-1.075</v>
      </c>
      <c r="BA6" s="21">
        <f>IF( TABLE1[[#This Row],[Wick Exit]]&lt;&gt; FALSE,TABLE1[[#This Row],[RRR Wick Exit]],IF(TABLE1[[#This Row],[Volume Exit]]&lt;&gt; FALSE,TABLE1[[#This Row],[RRR Volume Exit]],TABLE1[[#This Row],[RRR Realized]]))</f>
        <v>-1.075</v>
      </c>
      <c r="BB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-1.075</v>
      </c>
      <c r="BC6" s="4">
        <f>IF(OR(AND(TABLE1[[#This Row],[Hard RRR Potential]]&gt;=2.5,TABLE1[[#This Row],[Volume Exit]]=FALSE,TABLE1[[#This Row],[Wick Exit]]=FALSE),AND(TABLE1[[#This Row],[Hard RRR Potential]]&gt;=2.5,TABLE1[[#This Row],[Volume Exit RRR Reach]]&gt;=2.5,TABLE1[[#This Row],[Wick Exit]]=FALSE)), 2.5-TABLE1[[#This Row],[Missed RRR on Entry]],TABLE1[[#This Row],[RRR Realized]])</f>
        <v>-1.075</v>
      </c>
      <c r="BD6" s="4">
        <f>IF(OR(AND(TABLE1[[#This Row],[Hard RRR Potential]]&gt;=3,TABLE1[[#This Row],[Volume Exit]]=FALSE,TABLE1[[#This Row],[Wick Exit]]=FALSE),AND(TABLE1[[#This Row],[Hard RRR Potential]]&gt;=3,TABLE1[[#This Row],[Volume Exit RRR Reach]]&gt;=3,TABLE1[[#This Row],[Wick Exit]]=FALSE)), 3-TABLE1[[#This Row],[Missed RRR on Entry]],TABLE1[[#This Row],[RRR Realized]])</f>
        <v>-1.075</v>
      </c>
      <c r="BE6" s="4"/>
      <c r="BF6" s="4"/>
    </row>
    <row r="7" spans="1:58" x14ac:dyDescent="0.25">
      <c r="G7" s="4"/>
      <c r="H7" s="15"/>
      <c r="AJ7" s="22"/>
      <c r="AK7" s="4"/>
      <c r="AL7" s="19"/>
      <c r="AM7" s="4"/>
      <c r="AN7" s="4"/>
      <c r="AO7" s="3"/>
      <c r="AP7" s="4"/>
      <c r="AQ7" s="4"/>
      <c r="AR7" s="4"/>
      <c r="AS7" s="19"/>
      <c r="AT7" s="19"/>
      <c r="AU7" s="19"/>
      <c r="AV7" s="19"/>
      <c r="AW7" s="25"/>
      <c r="AX7" s="48"/>
      <c r="AY7" s="21"/>
      <c r="AZ7" s="21"/>
      <c r="BA7" s="21"/>
      <c r="BB7" s="21"/>
      <c r="BC7" s="4"/>
      <c r="BD7" s="4"/>
      <c r="BE7" s="4"/>
      <c r="BF7" s="4"/>
    </row>
    <row r="8" spans="1:58" x14ac:dyDescent="0.25">
      <c r="G8" s="4"/>
      <c r="H8" s="15"/>
      <c r="AJ8" s="22"/>
      <c r="AK8" s="4"/>
      <c r="AL8" s="19"/>
      <c r="AM8" s="4"/>
      <c r="AN8" s="4"/>
      <c r="AO8" s="3"/>
      <c r="AP8" s="4"/>
      <c r="AQ8" s="4"/>
      <c r="AR8" s="4"/>
      <c r="AS8" s="19"/>
      <c r="AT8" s="19"/>
      <c r="AU8" s="19"/>
      <c r="AV8" s="19"/>
      <c r="AW8" s="25"/>
      <c r="AX8" s="48"/>
      <c r="AY8" s="21"/>
      <c r="AZ8" s="21"/>
      <c r="BA8" s="21"/>
      <c r="BB8" s="21"/>
      <c r="BC8" s="4"/>
      <c r="BD8" s="4"/>
      <c r="BE8" s="4"/>
      <c r="BF8" s="4"/>
    </row>
    <row r="9" spans="1:58" x14ac:dyDescent="0.25">
      <c r="G9" s="4"/>
      <c r="H9" s="15"/>
      <c r="AJ9" s="22"/>
      <c r="AK9" s="4"/>
      <c r="AL9" s="19"/>
      <c r="AM9" s="4"/>
      <c r="AN9" s="4"/>
      <c r="AO9" s="3"/>
      <c r="AP9" s="4"/>
      <c r="AQ9" s="4"/>
      <c r="AR9" s="4"/>
      <c r="AS9" s="19"/>
      <c r="AT9" s="19"/>
      <c r="AU9" s="19"/>
      <c r="AV9" s="19"/>
      <c r="AW9" s="25"/>
      <c r="AX9" s="48"/>
      <c r="AY9" s="21"/>
      <c r="AZ9" s="21"/>
      <c r="BA9" s="21"/>
      <c r="BB9" s="21"/>
      <c r="BC9" s="4"/>
      <c r="BD9" s="4"/>
      <c r="BE9" s="4"/>
      <c r="BF9" s="4"/>
    </row>
    <row r="10" spans="1:58" x14ac:dyDescent="0.25">
      <c r="G10" s="4"/>
      <c r="H10" s="15"/>
      <c r="AJ10" s="22"/>
      <c r="AK10" s="4"/>
      <c r="AL10" s="19"/>
      <c r="AM10" s="4"/>
      <c r="AN10" s="4"/>
      <c r="AO10" s="3"/>
      <c r="AP10" s="4"/>
      <c r="AQ10" s="4"/>
      <c r="AR10" s="4"/>
      <c r="AS10" s="19"/>
      <c r="AT10" s="19"/>
      <c r="AU10" s="19"/>
      <c r="AV10" s="19"/>
      <c r="AW10" s="25"/>
      <c r="AX10" s="48"/>
      <c r="AY10" s="21"/>
      <c r="AZ10" s="21"/>
      <c r="BA10" s="21"/>
      <c r="BB10" s="21"/>
      <c r="BC10" s="4"/>
      <c r="BD10" s="4"/>
      <c r="BE10" s="4"/>
      <c r="BF10" s="4"/>
    </row>
    <row r="11" spans="1:58" x14ac:dyDescent="0.25">
      <c r="G11" s="4"/>
      <c r="H11" s="15"/>
      <c r="AJ11" s="22"/>
      <c r="AK11" s="4"/>
      <c r="AL11" s="19"/>
      <c r="AM11" s="4"/>
      <c r="AN11" s="4"/>
      <c r="AO11" s="3"/>
      <c r="AP11" s="4"/>
      <c r="AQ11" s="4"/>
      <c r="AR11" s="4"/>
      <c r="AS11" s="19"/>
      <c r="AT11" s="19"/>
      <c r="AU11" s="19"/>
      <c r="AV11" s="19"/>
      <c r="AW11" s="25"/>
      <c r="AX11" s="48"/>
      <c r="AY11" s="21"/>
      <c r="AZ11" s="21"/>
      <c r="BA11" s="21"/>
      <c r="BB11" s="21"/>
      <c r="BC11" s="4"/>
      <c r="BD11" s="4"/>
      <c r="BE11" s="4"/>
      <c r="BF11" s="4"/>
    </row>
    <row r="12" spans="1:58" x14ac:dyDescent="0.25">
      <c r="G12" s="4"/>
      <c r="H12" s="15"/>
      <c r="AJ12" s="22"/>
      <c r="AK12" s="21"/>
      <c r="AL12" s="52"/>
      <c r="AM12" s="4"/>
      <c r="AN12" s="4"/>
      <c r="AO12" s="3"/>
      <c r="AP12" s="4"/>
      <c r="AQ12" s="4"/>
      <c r="AR12" s="4"/>
      <c r="AS12" s="19"/>
      <c r="AT12" s="19"/>
      <c r="AU12" s="19"/>
      <c r="AV12" s="19"/>
      <c r="AW12" s="25"/>
      <c r="AX12" s="48"/>
      <c r="AY12" s="21"/>
      <c r="AZ12" s="21"/>
      <c r="BA12" s="21"/>
      <c r="BB12" s="4"/>
      <c r="BC12" s="4"/>
      <c r="BD12" s="4"/>
      <c r="BE12" s="4"/>
      <c r="BF12" s="4"/>
    </row>
    <row r="13" spans="1:58" x14ac:dyDescent="0.25">
      <c r="G13" s="4"/>
      <c r="H13" s="15"/>
      <c r="AJ13" s="22"/>
      <c r="AK13" s="21"/>
      <c r="AL13" s="52"/>
      <c r="AM13" s="4"/>
      <c r="AN13" s="4"/>
      <c r="AO13" s="3"/>
      <c r="AP13" s="4"/>
      <c r="AQ13" s="4"/>
      <c r="AR13" s="4"/>
      <c r="AS13" s="19"/>
      <c r="AT13" s="19"/>
      <c r="AU13" s="19"/>
      <c r="AV13" s="19"/>
      <c r="AW13" s="25"/>
      <c r="AX13" s="48"/>
      <c r="AY13" s="21"/>
      <c r="AZ13" s="21"/>
      <c r="BA13" s="21"/>
      <c r="BB13" s="4"/>
      <c r="BC13" s="4"/>
      <c r="BD13" s="4"/>
      <c r="BE13" s="4"/>
      <c r="BF13" s="4"/>
    </row>
    <row r="14" spans="1:58" x14ac:dyDescent="0.25">
      <c r="G14" s="4"/>
      <c r="H14" s="15"/>
      <c r="AJ14" s="22"/>
      <c r="AK14" s="21"/>
      <c r="AL14" s="52"/>
      <c r="AM14" s="4"/>
      <c r="AN14" s="4"/>
      <c r="AO14" s="3"/>
      <c r="AP14" s="4"/>
      <c r="AQ14" s="4"/>
      <c r="AR14" s="4"/>
      <c r="AS14" s="19"/>
      <c r="AT14" s="19"/>
      <c r="AU14" s="19"/>
      <c r="AV14" s="19"/>
      <c r="AW14" s="25"/>
      <c r="AX14" s="48"/>
      <c r="AY14" s="21"/>
      <c r="AZ14" s="21"/>
      <c r="BA14" s="21"/>
      <c r="BB14" s="4"/>
      <c r="BC14" s="4"/>
      <c r="BD14" s="4"/>
      <c r="BE14" s="4"/>
      <c r="BF14" s="4"/>
    </row>
    <row r="15" spans="1:58" x14ac:dyDescent="0.25">
      <c r="G15" s="4"/>
      <c r="H15" s="15"/>
      <c r="AJ15" s="22"/>
      <c r="AK15" s="21"/>
      <c r="AL15" s="52"/>
      <c r="AM15" s="4"/>
      <c r="AN15" s="4"/>
      <c r="AO15" s="3"/>
      <c r="AP15" s="4"/>
      <c r="AQ15" s="4"/>
      <c r="AR15" s="4"/>
      <c r="AS15" s="19"/>
      <c r="AT15" s="19"/>
      <c r="AU15" s="19"/>
      <c r="AV15" s="19"/>
      <c r="AW15" s="25"/>
      <c r="AX15" s="48"/>
      <c r="AY15" s="21"/>
      <c r="AZ15" s="21"/>
      <c r="BA15" s="21"/>
      <c r="BB15" s="4"/>
      <c r="BC15" s="4"/>
      <c r="BD15" s="4"/>
      <c r="BE15" s="4"/>
      <c r="BF15" s="4"/>
    </row>
    <row r="16" spans="1:58" x14ac:dyDescent="0.25">
      <c r="G16" s="4"/>
      <c r="H16" s="15"/>
      <c r="AJ16" s="22"/>
      <c r="AK16" s="4"/>
      <c r="AL16" s="19"/>
      <c r="AM16" s="4"/>
      <c r="AN16" s="4"/>
      <c r="AO16" s="3"/>
      <c r="AP16" s="4"/>
      <c r="AQ16" s="4"/>
      <c r="AR16" s="4"/>
      <c r="AS16" s="19"/>
      <c r="AT16" s="19"/>
      <c r="AU16" s="19"/>
      <c r="AV16" s="19"/>
      <c r="AW16" s="25"/>
      <c r="AX16" s="48"/>
      <c r="AY16" s="21"/>
      <c r="AZ16" s="21"/>
      <c r="BA16" s="21"/>
      <c r="BB16" s="21"/>
      <c r="BC16" s="4"/>
      <c r="BD16" s="4"/>
      <c r="BE16" s="4"/>
      <c r="BF16" s="4"/>
    </row>
    <row r="17" spans="7:58" x14ac:dyDescent="0.25">
      <c r="G17" s="4"/>
      <c r="H17" s="15"/>
      <c r="AJ17" s="22"/>
      <c r="AK17" s="4"/>
      <c r="AL17" s="19"/>
      <c r="AM17" s="4"/>
      <c r="AN17" s="4"/>
      <c r="AO17" s="3"/>
      <c r="AP17" s="4"/>
      <c r="AQ17" s="4"/>
      <c r="AR17" s="4"/>
      <c r="AS17" s="19"/>
      <c r="AT17" s="19"/>
      <c r="AU17" s="19"/>
      <c r="AV17" s="19"/>
      <c r="AW17" s="25"/>
      <c r="AX17" s="48"/>
      <c r="AY17" s="21"/>
      <c r="AZ17" s="21"/>
      <c r="BA17" s="21"/>
      <c r="BB17" s="21"/>
      <c r="BC17" s="4"/>
      <c r="BD17" s="4"/>
      <c r="BE17" s="4"/>
      <c r="BF17" s="4"/>
    </row>
    <row r="18" spans="7:58" x14ac:dyDescent="0.25">
      <c r="G18" s="4"/>
      <c r="H18" s="15"/>
      <c r="AJ18" s="22"/>
      <c r="AK18" s="4"/>
      <c r="AL18" s="19"/>
      <c r="AM18" s="4"/>
      <c r="AN18" s="4"/>
      <c r="AO18" s="3"/>
      <c r="AP18" s="4"/>
      <c r="AQ18" s="4"/>
      <c r="AR18" s="4"/>
      <c r="AS18" s="19"/>
      <c r="AT18" s="19"/>
      <c r="AU18" s="19"/>
      <c r="AV18" s="19"/>
      <c r="AW18" s="25"/>
      <c r="AX18" s="48"/>
      <c r="AY18" s="21"/>
      <c r="AZ18" s="21"/>
      <c r="BA18" s="21"/>
      <c r="BB18" s="21"/>
      <c r="BC18" s="4"/>
      <c r="BD18" s="4"/>
      <c r="BE18" s="4"/>
      <c r="BF18" s="4"/>
    </row>
    <row r="19" spans="7:58" x14ac:dyDescent="0.25">
      <c r="G19" s="4"/>
      <c r="H19" s="15"/>
      <c r="AJ19" s="22"/>
      <c r="AK19" s="4"/>
      <c r="AL19" s="19"/>
      <c r="AM19" s="4"/>
      <c r="AN19" s="4"/>
      <c r="AO19" s="3"/>
      <c r="AP19" s="4"/>
      <c r="AQ19" s="4"/>
      <c r="AR19" s="4"/>
      <c r="AS19" s="19"/>
      <c r="AT19" s="19"/>
      <c r="AU19" s="19"/>
      <c r="AV19" s="19"/>
      <c r="AW19" s="25"/>
      <c r="AX19" s="48"/>
      <c r="AY19" s="21"/>
      <c r="AZ19" s="21"/>
      <c r="BA19" s="21"/>
      <c r="BB19" s="21"/>
      <c r="BC19" s="4"/>
      <c r="BD19" s="4"/>
      <c r="BE19" s="4"/>
      <c r="BF19" s="4"/>
    </row>
    <row r="20" spans="7:58" x14ac:dyDescent="0.25">
      <c r="G20" s="4"/>
      <c r="H20" s="15"/>
      <c r="AJ20" s="22"/>
      <c r="AK20" s="4"/>
      <c r="AL20" s="19"/>
      <c r="AM20" s="4"/>
      <c r="AN20" s="4"/>
      <c r="AO20" s="3"/>
      <c r="AP20" s="4"/>
      <c r="AQ20" s="4"/>
      <c r="AR20" s="4"/>
      <c r="AS20" s="19"/>
      <c r="AT20" s="19"/>
      <c r="AU20" s="19"/>
      <c r="AV20" s="19"/>
      <c r="AW20" s="25"/>
      <c r="AX20" s="48"/>
      <c r="AY20" s="21"/>
      <c r="AZ20" s="21"/>
      <c r="BA20" s="21"/>
      <c r="BB20" s="21"/>
      <c r="BC20" s="4"/>
      <c r="BD20" s="4"/>
      <c r="BE20" s="4"/>
      <c r="BF20" s="4"/>
    </row>
    <row r="21" spans="7:58" x14ac:dyDescent="0.25">
      <c r="G21" s="4"/>
      <c r="H21" s="15"/>
      <c r="AJ21" s="22"/>
      <c r="AK21" s="4"/>
      <c r="AL21" s="19"/>
      <c r="AM21" s="4"/>
      <c r="AN21" s="4"/>
      <c r="AO21" s="3"/>
      <c r="AP21" s="4"/>
      <c r="AQ21" s="4"/>
      <c r="AR21" s="4"/>
      <c r="AS21" s="19"/>
      <c r="AT21" s="19"/>
      <c r="AU21" s="19"/>
      <c r="AV21" s="19"/>
      <c r="AW21" s="25"/>
      <c r="AX21" s="48"/>
      <c r="AY21" s="21"/>
      <c r="AZ21" s="21"/>
      <c r="BA21" s="21"/>
      <c r="BB21" s="21"/>
      <c r="BC21" s="4"/>
      <c r="BD21" s="4"/>
      <c r="BE21" s="4"/>
      <c r="BF21" s="4"/>
    </row>
    <row r="22" spans="7:58" x14ac:dyDescent="0.25">
      <c r="G22" s="4"/>
      <c r="H22" s="15"/>
      <c r="AJ22" s="22"/>
      <c r="AK22" s="4"/>
      <c r="AL22" s="19"/>
      <c r="AM22" s="4"/>
      <c r="AN22" s="4"/>
      <c r="AO22" s="3"/>
      <c r="AP22" s="4"/>
      <c r="AQ22" s="4"/>
      <c r="AR22" s="4"/>
      <c r="AS22" s="19"/>
      <c r="AT22" s="19"/>
      <c r="AU22" s="19"/>
      <c r="AV22" s="19"/>
      <c r="AW22" s="25"/>
      <c r="AX22" s="48"/>
      <c r="AY22" s="21"/>
      <c r="AZ22" s="21"/>
      <c r="BA22" s="21"/>
      <c r="BB22" s="21"/>
      <c r="BC22" s="4"/>
      <c r="BD22" s="4"/>
      <c r="BE22" s="4"/>
      <c r="BF22" s="4"/>
    </row>
    <row r="23" spans="7:58" x14ac:dyDescent="0.25">
      <c r="G23" s="4"/>
      <c r="H23" s="15"/>
      <c r="AJ23" s="22"/>
      <c r="AK23" s="4"/>
      <c r="AL23" s="19"/>
      <c r="AM23" s="4"/>
      <c r="AN23" s="4"/>
      <c r="AO23" s="3"/>
      <c r="AP23" s="4"/>
      <c r="AQ23" s="4"/>
      <c r="AR23" s="4"/>
      <c r="AS23" s="19"/>
      <c r="AT23" s="19"/>
      <c r="AU23" s="19"/>
      <c r="AV23" s="19"/>
      <c r="AW23" s="25"/>
      <c r="AX23" s="48"/>
      <c r="AY23" s="21"/>
      <c r="AZ23" s="21"/>
      <c r="BA23" s="21"/>
      <c r="BB23" s="4"/>
      <c r="BC23" s="4"/>
      <c r="BD23" s="4"/>
      <c r="BE23" s="4"/>
      <c r="BF23" s="4"/>
    </row>
    <row r="24" spans="7:58" x14ac:dyDescent="0.25">
      <c r="G24" s="4"/>
      <c r="H24" s="15"/>
      <c r="AJ24" s="22"/>
      <c r="AK24" s="4"/>
      <c r="AL24" s="19"/>
      <c r="AM24" s="4"/>
      <c r="AN24" s="4"/>
      <c r="AO24" s="3"/>
      <c r="AP24" s="4"/>
      <c r="AQ24" s="4"/>
      <c r="AR24" s="4"/>
      <c r="AS24" s="19"/>
      <c r="AT24" s="19"/>
      <c r="AU24" s="19"/>
      <c r="AV24" s="19"/>
      <c r="AW24" s="25"/>
      <c r="AX24" s="48"/>
      <c r="AY24" s="21"/>
      <c r="AZ24" s="21"/>
      <c r="BA24" s="21"/>
      <c r="BB24" s="4"/>
      <c r="BC24" s="4"/>
      <c r="BD24" s="4"/>
      <c r="BE24" s="4"/>
      <c r="BF24" s="4"/>
    </row>
    <row r="25" spans="7:58" x14ac:dyDescent="0.25">
      <c r="G25" s="4"/>
      <c r="H25" s="15"/>
      <c r="AJ25" s="22"/>
      <c r="AK25" s="4"/>
      <c r="AL25" s="19"/>
      <c r="AM25" s="4"/>
      <c r="AN25" s="4"/>
      <c r="AO25" s="3"/>
      <c r="AP25" s="4"/>
      <c r="AQ25" s="4"/>
      <c r="AR25" s="4"/>
      <c r="AS25" s="19"/>
      <c r="AT25" s="19"/>
      <c r="AU25" s="19"/>
      <c r="AV25" s="19"/>
      <c r="AW25" s="25"/>
      <c r="AX25" s="48"/>
      <c r="AY25" s="21"/>
      <c r="AZ25" s="21"/>
      <c r="BA25" s="21"/>
      <c r="BB25" s="4"/>
      <c r="BC25" s="4"/>
      <c r="BD25" s="4"/>
    </row>
    <row r="26" spans="7:58" x14ac:dyDescent="0.25">
      <c r="G26" s="4"/>
      <c r="H26" s="15"/>
      <c r="AJ26" s="22"/>
      <c r="AK26" s="4"/>
      <c r="AL26" s="19"/>
      <c r="AM26" s="4"/>
      <c r="AN26" s="4"/>
      <c r="AO26" s="3"/>
      <c r="AP26" s="4"/>
      <c r="AQ26" s="4"/>
      <c r="AR26" s="4"/>
      <c r="AS26" s="19"/>
      <c r="AT26" s="19"/>
      <c r="AU26" s="19"/>
      <c r="AV26" s="19"/>
      <c r="AW26" s="25"/>
      <c r="AX26" s="48"/>
      <c r="AY26" s="21"/>
      <c r="AZ26" s="21"/>
      <c r="BA26" s="21"/>
      <c r="BB26" s="4"/>
      <c r="BC26" s="4"/>
      <c r="BD26" s="4"/>
    </row>
    <row r="27" spans="7:58" x14ac:dyDescent="0.25">
      <c r="G27" s="4"/>
      <c r="H27" s="15"/>
      <c r="AJ27" s="22"/>
      <c r="AK27" s="4"/>
      <c r="AL27" s="19"/>
      <c r="AM27" s="4"/>
      <c r="AN27" s="4"/>
      <c r="AO27" s="3"/>
      <c r="AP27" s="4"/>
      <c r="AQ27" s="4"/>
      <c r="AR27" s="4"/>
      <c r="AS27" s="19"/>
      <c r="AT27" s="19"/>
      <c r="AU27" s="19"/>
      <c r="AV27" s="19"/>
      <c r="AW27" s="25"/>
      <c r="AX27" s="48"/>
      <c r="AY27" s="21"/>
      <c r="AZ27" s="21"/>
      <c r="BA27" s="21"/>
      <c r="BB27" s="4"/>
      <c r="BC27" s="4"/>
      <c r="BD27" s="4"/>
    </row>
    <row r="28" spans="7:58" x14ac:dyDescent="0.25">
      <c r="G28" s="4"/>
      <c r="H28" s="15"/>
      <c r="AJ28" s="22"/>
      <c r="AK28" s="4"/>
      <c r="AL28" s="19"/>
      <c r="AM28" s="4"/>
      <c r="AN28" s="4"/>
      <c r="AO28" s="3"/>
      <c r="AP28" s="4"/>
      <c r="AQ28" s="4"/>
      <c r="AR28" s="4"/>
      <c r="AS28" s="19"/>
      <c r="AT28" s="19"/>
      <c r="AU28" s="19"/>
      <c r="AV28" s="19"/>
      <c r="AW28" s="25"/>
      <c r="AX28" s="48"/>
      <c r="AY28" s="21"/>
      <c r="AZ28" s="21"/>
      <c r="BA28" s="21"/>
      <c r="BB28" s="4"/>
      <c r="BC28" s="4"/>
      <c r="BD28" s="4"/>
    </row>
    <row r="29" spans="7:58" x14ac:dyDescent="0.25">
      <c r="G29" s="4"/>
      <c r="H29" s="15"/>
      <c r="AJ29" s="22"/>
      <c r="AK29" s="4"/>
      <c r="AL29" s="19"/>
      <c r="AM29" s="4"/>
      <c r="AN29" s="4"/>
      <c r="AO29" s="3"/>
      <c r="AP29" s="4"/>
      <c r="AQ29" s="4"/>
      <c r="AR29" s="4"/>
      <c r="AS29" s="19"/>
      <c r="AT29" s="19"/>
      <c r="AU29" s="19"/>
      <c r="AV29" s="19"/>
      <c r="AW29" s="25"/>
      <c r="AX29" s="48"/>
      <c r="AY29" s="21"/>
      <c r="AZ29" s="21"/>
      <c r="BA29" s="21"/>
      <c r="BB29" s="4"/>
      <c r="BC29" s="4"/>
      <c r="BD29" s="4"/>
    </row>
    <row r="30" spans="7:58" x14ac:dyDescent="0.25">
      <c r="G30" s="4"/>
      <c r="H30" s="15"/>
      <c r="AJ30" s="22"/>
      <c r="AK30" s="4"/>
      <c r="AL30" s="19"/>
      <c r="AM30" s="4"/>
      <c r="AN30" s="4"/>
      <c r="AO30" s="3"/>
      <c r="AP30" s="4"/>
      <c r="AQ30" s="4"/>
      <c r="AR30" s="4"/>
      <c r="AS30" s="19"/>
      <c r="AT30" s="19"/>
      <c r="AU30" s="19"/>
      <c r="AV30" s="19"/>
      <c r="AW30" s="25"/>
      <c r="AX30" s="48"/>
      <c r="AY30" s="21"/>
      <c r="AZ30" s="21"/>
      <c r="BA30" s="21"/>
      <c r="BB30" s="4"/>
      <c r="BC30" s="4"/>
      <c r="BD30" s="4"/>
    </row>
    <row r="31" spans="7:58" x14ac:dyDescent="0.25">
      <c r="G31" s="4"/>
      <c r="H31" s="15"/>
      <c r="AJ31" s="22"/>
      <c r="AK31" s="4"/>
      <c r="AL31" s="19"/>
      <c r="AM31" s="4"/>
      <c r="AN31" s="4"/>
      <c r="AO31" s="3"/>
      <c r="AP31" s="4"/>
      <c r="AQ31" s="4"/>
      <c r="AR31" s="4"/>
      <c r="AS31" s="19"/>
      <c r="AT31" s="19"/>
      <c r="AU31" s="19"/>
      <c r="AV31" s="19"/>
      <c r="AW31" s="25"/>
      <c r="AX31" s="48"/>
      <c r="AY31" s="21"/>
      <c r="AZ31" s="21"/>
      <c r="BA31" s="21"/>
      <c r="BB31" s="4"/>
      <c r="BC31" s="4"/>
      <c r="BD31" s="4"/>
    </row>
    <row r="32" spans="7:58" x14ac:dyDescent="0.25">
      <c r="G32" s="4"/>
      <c r="H32" s="15"/>
      <c r="AJ32" s="22"/>
      <c r="AK32" s="4"/>
      <c r="AL32" s="19"/>
      <c r="AM32" s="4"/>
      <c r="AN32" s="4"/>
      <c r="AO32" s="3"/>
      <c r="AP32" s="4"/>
      <c r="AQ32" s="4"/>
      <c r="AR32" s="4"/>
      <c r="AS32" s="19"/>
      <c r="AT32" s="19"/>
      <c r="AU32" s="19"/>
      <c r="AV32" s="19"/>
      <c r="AW32" s="25"/>
      <c r="AX32" s="48"/>
      <c r="AY32" s="21"/>
      <c r="AZ32" s="21"/>
      <c r="BA32" s="21"/>
      <c r="BB32" s="4"/>
      <c r="BC32" s="4"/>
      <c r="BD32" s="4"/>
    </row>
    <row r="33" spans="7:56" x14ac:dyDescent="0.25">
      <c r="G33" s="4"/>
      <c r="H33" s="15"/>
      <c r="AJ33" s="22"/>
      <c r="AK33" s="4"/>
      <c r="AL33" s="19"/>
      <c r="AM33" s="4"/>
      <c r="AN33" s="4"/>
      <c r="AO33" s="3"/>
      <c r="AP33" s="4"/>
      <c r="AQ33" s="4"/>
      <c r="AR33" s="4"/>
      <c r="AS33" s="19"/>
      <c r="AT33" s="19"/>
      <c r="AU33" s="19"/>
      <c r="AV33" s="19"/>
      <c r="AW33" s="25"/>
      <c r="AX33" s="48"/>
      <c r="AY33" s="21"/>
      <c r="AZ33" s="21"/>
      <c r="BA33" s="21"/>
      <c r="BB33" s="4"/>
      <c r="BC33" s="4"/>
      <c r="BD33" s="4"/>
    </row>
    <row r="34" spans="7:56" x14ac:dyDescent="0.25">
      <c r="G34" s="4"/>
      <c r="H34" s="15"/>
      <c r="AJ34" s="22"/>
      <c r="AK34" s="4"/>
      <c r="AL34" s="19"/>
      <c r="AM34" s="4"/>
      <c r="AN34" s="4"/>
      <c r="AO34" s="3"/>
      <c r="AP34" s="4"/>
      <c r="AQ34" s="4"/>
      <c r="AR34" s="4"/>
      <c r="AS34" s="19"/>
      <c r="AT34" s="19"/>
      <c r="AU34" s="19"/>
      <c r="AV34" s="19"/>
      <c r="AW34" s="25"/>
      <c r="AX34" s="48"/>
      <c r="AY34" s="21"/>
      <c r="AZ34" s="21"/>
      <c r="BA34" s="21"/>
      <c r="BB34" s="4"/>
      <c r="BC34" s="4"/>
      <c r="BD34" s="4"/>
    </row>
    <row r="35" spans="7:56" x14ac:dyDescent="0.25">
      <c r="G35" s="4"/>
      <c r="H35" s="15"/>
      <c r="AJ35" s="22"/>
      <c r="AK35" s="4"/>
      <c r="AL35" s="19"/>
      <c r="AM35" s="4"/>
      <c r="AN35" s="4"/>
      <c r="AO35" s="3"/>
      <c r="AP35" s="4"/>
      <c r="AQ35" s="4"/>
      <c r="AR35" s="4"/>
      <c r="AS35" s="19"/>
      <c r="AT35" s="19"/>
      <c r="AU35" s="19"/>
      <c r="AV35" s="19"/>
      <c r="AW35" s="25"/>
      <c r="AX35" s="48"/>
      <c r="AY35" s="21"/>
      <c r="AZ35" s="21"/>
      <c r="BA35" s="21"/>
      <c r="BB35" s="4"/>
      <c r="BC35" s="4"/>
      <c r="BD35" s="4"/>
    </row>
    <row r="36" spans="7:56" x14ac:dyDescent="0.25">
      <c r="G36" s="4"/>
      <c r="H36" s="15"/>
      <c r="AJ36" s="22"/>
      <c r="AK36" s="4"/>
      <c r="AL36" s="19"/>
      <c r="AM36" s="4"/>
      <c r="AN36" s="4"/>
      <c r="AO36" s="3"/>
      <c r="AP36" s="4"/>
      <c r="AQ36" s="4"/>
      <c r="AR36" s="4"/>
      <c r="AS36" s="19"/>
      <c r="AT36" s="19"/>
      <c r="AU36" s="19"/>
      <c r="AV36" s="19"/>
      <c r="AW36" s="25"/>
      <c r="AX36" s="48"/>
      <c r="AY36" s="21"/>
      <c r="AZ36" s="21"/>
      <c r="BA36" s="21"/>
      <c r="BB36" s="4"/>
      <c r="BC36" s="4"/>
      <c r="BD36" s="4"/>
    </row>
    <row r="37" spans="7:56" x14ac:dyDescent="0.25">
      <c r="G37" s="4"/>
      <c r="H37" s="15"/>
      <c r="AJ37" s="22"/>
      <c r="AK37" s="4"/>
      <c r="AL37" s="19"/>
      <c r="AM37" s="4"/>
      <c r="AN37" s="4"/>
      <c r="AO37" s="3"/>
      <c r="AP37" s="4"/>
      <c r="AQ37" s="4"/>
      <c r="AR37" s="4"/>
      <c r="AS37" s="19"/>
      <c r="AT37" s="19"/>
      <c r="AU37" s="19"/>
      <c r="AV37" s="19"/>
      <c r="AW37" s="25"/>
      <c r="AX37" s="48"/>
      <c r="AY37" s="21"/>
      <c r="AZ37" s="21"/>
      <c r="BA37" s="21"/>
      <c r="BB37" s="4"/>
      <c r="BC37" s="4"/>
      <c r="BD37" s="4"/>
    </row>
    <row r="38" spans="7:56" x14ac:dyDescent="0.25">
      <c r="G38" s="4"/>
      <c r="H38" s="15"/>
      <c r="AJ38" s="22"/>
      <c r="AK38" s="4"/>
      <c r="AL38" s="19"/>
      <c r="AM38" s="4"/>
      <c r="AN38" s="4"/>
      <c r="AO38" s="3"/>
      <c r="AP38" s="4"/>
      <c r="AQ38" s="4"/>
      <c r="AR38" s="4"/>
      <c r="AS38" s="19"/>
      <c r="AT38" s="19"/>
      <c r="AU38" s="19"/>
      <c r="AV38" s="19"/>
      <c r="AW38" s="25"/>
      <c r="AX38" s="48"/>
      <c r="AY38" s="21"/>
      <c r="AZ38" s="4"/>
      <c r="BA38" s="4"/>
      <c r="BB38" s="4"/>
      <c r="BC38" s="4"/>
      <c r="BD38" s="4"/>
    </row>
    <row r="39" spans="7:56" x14ac:dyDescent="0.25">
      <c r="G39" s="4"/>
      <c r="H39" s="15"/>
      <c r="AJ39" s="22"/>
      <c r="AK39" s="4"/>
      <c r="AL39" s="19"/>
      <c r="AM39" s="4"/>
      <c r="AN39" s="4"/>
      <c r="AO39" s="3"/>
      <c r="AP39" s="4"/>
      <c r="AQ39" s="4"/>
      <c r="AR39" s="4"/>
      <c r="AS39" s="19"/>
      <c r="AT39" s="19"/>
      <c r="AU39" s="19"/>
      <c r="AV39" s="19"/>
      <c r="AW39" s="25"/>
      <c r="AX39" s="48"/>
      <c r="AY39" s="21"/>
      <c r="AZ39" s="4"/>
      <c r="BA39" s="4"/>
      <c r="BB39" s="4"/>
      <c r="BC39" s="4"/>
      <c r="BD39" s="4"/>
    </row>
    <row r="40" spans="7:56" x14ac:dyDescent="0.25">
      <c r="G40" s="4"/>
      <c r="H40" s="15"/>
      <c r="AJ40" s="22"/>
      <c r="AK40" s="4"/>
      <c r="AL40" s="19"/>
      <c r="AM40" s="4"/>
      <c r="AN40" s="4"/>
      <c r="AO40" s="3"/>
      <c r="AP40" s="4"/>
      <c r="AQ40" s="4"/>
      <c r="AR40" s="4"/>
      <c r="AS40" s="19"/>
      <c r="AT40" s="19"/>
      <c r="AU40" s="19"/>
      <c r="AV40" s="19"/>
      <c r="AW40" s="25"/>
      <c r="AX40" s="48"/>
      <c r="AY40" s="21"/>
      <c r="AZ40" s="4"/>
      <c r="BA40" s="4"/>
      <c r="BB40" s="4"/>
      <c r="BC40" s="4"/>
      <c r="BD40" s="4"/>
    </row>
    <row r="41" spans="7:56" x14ac:dyDescent="0.25">
      <c r="G41" s="4"/>
      <c r="H41" s="15"/>
      <c r="AJ41" s="22"/>
      <c r="AK41" s="4"/>
      <c r="AL41" s="19"/>
      <c r="AM41" s="4"/>
      <c r="AN41" s="4"/>
      <c r="AO41" s="3"/>
      <c r="AP41" s="4"/>
      <c r="AQ41" s="4"/>
      <c r="AR41" s="4"/>
      <c r="AS41" s="19"/>
      <c r="AT41" s="19"/>
      <c r="AU41" s="19"/>
      <c r="AV41" s="19"/>
      <c r="AW41" s="25"/>
      <c r="AX41" s="48"/>
      <c r="AY41" s="21"/>
      <c r="AZ41" s="4"/>
      <c r="BA41" s="4"/>
      <c r="BB41" s="4"/>
      <c r="BC41" s="4"/>
      <c r="BD41" s="4"/>
    </row>
    <row r="42" spans="7:56" x14ac:dyDescent="0.25">
      <c r="G42" s="4"/>
      <c r="H42" s="15"/>
      <c r="AJ42" s="22"/>
      <c r="AK42" s="4"/>
      <c r="AL42" s="19"/>
      <c r="AM42" s="4"/>
      <c r="AN42" s="4"/>
      <c r="AO42" s="3"/>
      <c r="AP42" s="4"/>
      <c r="AQ42" s="4"/>
      <c r="AR42" s="4"/>
      <c r="AS42" s="19"/>
      <c r="AT42" s="19"/>
      <c r="AU42" s="19"/>
      <c r="AV42" s="19"/>
      <c r="AW42" s="25"/>
      <c r="AX42" s="48"/>
      <c r="AY42" s="21"/>
      <c r="AZ42" s="4"/>
      <c r="BA42" s="4"/>
      <c r="BB42" s="4"/>
      <c r="BC42" s="4"/>
      <c r="BD42" s="4"/>
    </row>
    <row r="43" spans="7:56" x14ac:dyDescent="0.25">
      <c r="G43" s="4"/>
      <c r="H43" s="15"/>
      <c r="AJ43" s="22"/>
      <c r="AK43" s="4"/>
      <c r="AL43" s="19"/>
      <c r="AM43" s="4"/>
      <c r="AN43" s="4"/>
      <c r="AO43" s="3"/>
      <c r="AP43" s="4"/>
      <c r="AQ43" s="4"/>
      <c r="AR43" s="4"/>
      <c r="AS43" s="19"/>
      <c r="AT43" s="19"/>
      <c r="AU43" s="19"/>
      <c r="AV43" s="19"/>
      <c r="AW43" s="25"/>
      <c r="AX43" s="48"/>
      <c r="AY43" s="21"/>
      <c r="AZ43" s="4"/>
      <c r="BA43" s="4"/>
      <c r="BB43" s="4"/>
      <c r="BC43" s="4"/>
      <c r="BD43" s="4"/>
    </row>
    <row r="44" spans="7:56" x14ac:dyDescent="0.25">
      <c r="G44" s="15"/>
      <c r="H44" s="15"/>
      <c r="AJ44" s="22"/>
      <c r="AK44" s="4"/>
      <c r="AL44" s="19"/>
      <c r="AM44" s="4"/>
      <c r="AN44" s="4"/>
      <c r="AO44" s="3"/>
      <c r="AP44" s="4"/>
      <c r="AQ44" s="4"/>
      <c r="AR44" s="4"/>
      <c r="AS44" s="19"/>
      <c r="AT44" s="19"/>
      <c r="AU44" s="19"/>
      <c r="AV44" s="19"/>
      <c r="AW44" s="25"/>
      <c r="AX44" s="48"/>
      <c r="AY44" s="21"/>
      <c r="AZ44" s="4"/>
      <c r="BA44" s="4"/>
      <c r="BB44" s="4"/>
      <c r="BC44" s="4"/>
      <c r="BD44" s="4"/>
    </row>
    <row r="45" spans="7:56" x14ac:dyDescent="0.25">
      <c r="G45" s="15"/>
      <c r="H45" s="15"/>
      <c r="AJ45" s="22"/>
      <c r="AK45" s="4"/>
      <c r="AL45" s="19"/>
      <c r="AM45" s="4"/>
      <c r="AN45" s="4"/>
      <c r="AO45" s="3"/>
      <c r="AP45" s="4"/>
      <c r="AQ45" s="4"/>
      <c r="AR45" s="4"/>
      <c r="AS45" s="19"/>
      <c r="AT45" s="19"/>
      <c r="AU45" s="19"/>
      <c r="AV45" s="19"/>
      <c r="AW45" s="25"/>
      <c r="AX45" s="48"/>
      <c r="AY45" s="21"/>
      <c r="AZ45" s="4"/>
      <c r="BA45" s="4"/>
      <c r="BB45" s="4"/>
      <c r="BC45" s="4"/>
      <c r="BD45" s="4"/>
    </row>
    <row r="46" spans="7:56" x14ac:dyDescent="0.25">
      <c r="G46" s="4"/>
      <c r="H46" s="15"/>
      <c r="AJ46" s="22"/>
      <c r="AK46" s="4"/>
      <c r="AL46" s="19"/>
      <c r="AM46" s="4"/>
      <c r="AN46" s="4"/>
      <c r="AO46" s="3"/>
      <c r="AP46" s="4"/>
      <c r="AQ46" s="4"/>
      <c r="AR46" s="4"/>
      <c r="AS46" s="19"/>
      <c r="AT46" s="19"/>
      <c r="AU46" s="19"/>
      <c r="AV46" s="19"/>
      <c r="AW46" s="25"/>
      <c r="AX46" s="48"/>
      <c r="AY46" s="21"/>
      <c r="AZ46" s="4"/>
      <c r="BA46" s="4"/>
      <c r="BB46" s="4"/>
      <c r="BC46" s="4"/>
      <c r="BD46" s="4"/>
    </row>
    <row r="47" spans="7:56" x14ac:dyDescent="0.25">
      <c r="G47" s="4"/>
      <c r="H47" s="15"/>
      <c r="AJ47" s="22"/>
      <c r="AK47" s="4"/>
      <c r="AL47" s="19"/>
      <c r="AM47" s="4"/>
      <c r="AN47" s="4"/>
      <c r="AO47" s="3"/>
      <c r="AP47" s="4"/>
      <c r="AQ47" s="4"/>
      <c r="AR47" s="4"/>
      <c r="AS47" s="19"/>
      <c r="AT47" s="19"/>
      <c r="AU47" s="19"/>
      <c r="AV47" s="19"/>
      <c r="AW47" s="25"/>
      <c r="AX47" s="48"/>
      <c r="AY47" s="21"/>
      <c r="AZ47" s="4"/>
      <c r="BA47" s="4"/>
      <c r="BB47" s="4"/>
      <c r="BC47" s="4"/>
      <c r="BD47" s="4"/>
    </row>
    <row r="48" spans="7:56" x14ac:dyDescent="0.25">
      <c r="G48" s="4"/>
      <c r="H48" s="15"/>
      <c r="U48" s="27"/>
      <c r="AJ48" s="22"/>
      <c r="AK48" s="4"/>
      <c r="AL48" s="19"/>
      <c r="AM48" s="4"/>
      <c r="AN48" s="4"/>
      <c r="AO48" s="3"/>
      <c r="AP48" s="4"/>
      <c r="AQ48" s="4"/>
      <c r="AR48" s="4"/>
      <c r="AS48" s="19"/>
      <c r="AT48" s="19"/>
      <c r="AU48" s="19"/>
      <c r="AV48" s="19"/>
      <c r="AW48" s="25"/>
      <c r="AX48" s="48"/>
      <c r="AY48" s="21"/>
      <c r="AZ48" s="4"/>
      <c r="BA48" s="4"/>
      <c r="BB48" s="4"/>
      <c r="BC48" s="4"/>
      <c r="BD48" s="4"/>
    </row>
    <row r="49" spans="7:56" x14ac:dyDescent="0.25">
      <c r="G49" s="4"/>
      <c r="H49" s="15"/>
      <c r="AJ49" s="22"/>
      <c r="AK49" s="4"/>
      <c r="AL49" s="19"/>
      <c r="AM49" s="4"/>
      <c r="AN49" s="4"/>
      <c r="AO49" s="3"/>
      <c r="AP49" s="4"/>
      <c r="AQ49" s="4"/>
      <c r="AR49" s="4"/>
      <c r="AS49" s="19"/>
      <c r="AT49" s="19"/>
      <c r="AU49" s="19"/>
      <c r="AV49" s="19"/>
      <c r="AW49" s="25"/>
      <c r="AX49" s="48"/>
      <c r="AY49" s="21"/>
      <c r="AZ49" s="4"/>
      <c r="BA49" s="4"/>
      <c r="BB49" s="4"/>
      <c r="BC49" s="4"/>
      <c r="BD49" s="4"/>
    </row>
    <row r="50" spans="7:56" x14ac:dyDescent="0.25">
      <c r="G50" s="4"/>
      <c r="H50" s="15"/>
      <c r="AJ50" s="22"/>
      <c r="AK50" s="4"/>
      <c r="AL50" s="19"/>
      <c r="AM50" s="4"/>
      <c r="AN50" s="4"/>
      <c r="AO50" s="3"/>
      <c r="AP50" s="4"/>
      <c r="AQ50" s="4"/>
      <c r="AR50" s="4"/>
      <c r="AS50" s="19"/>
      <c r="AT50" s="19"/>
      <c r="AU50" s="19"/>
      <c r="AV50" s="19"/>
      <c r="AW50" s="25"/>
      <c r="AX50" s="48"/>
      <c r="AY50" s="21"/>
      <c r="AZ50" s="4"/>
      <c r="BA50" s="4"/>
      <c r="BB50" s="4"/>
      <c r="BC50" s="4"/>
      <c r="BD50" s="4"/>
    </row>
    <row r="51" spans="7:56" x14ac:dyDescent="0.25">
      <c r="G51" s="4"/>
      <c r="H51" s="15"/>
      <c r="AJ51" s="22"/>
      <c r="AK51" s="4"/>
      <c r="AL51" s="19"/>
      <c r="AM51" s="4"/>
      <c r="AN51" s="4"/>
      <c r="AO51" s="3"/>
      <c r="AP51" s="4"/>
      <c r="AQ51" s="4"/>
      <c r="AR51" s="4"/>
      <c r="AS51" s="19"/>
      <c r="AT51" s="19"/>
      <c r="AU51" s="19"/>
      <c r="AV51" s="19"/>
      <c r="AW51" s="25"/>
      <c r="AX51" s="48"/>
      <c r="AY51" s="21"/>
      <c r="AZ51" s="4"/>
      <c r="BA51" s="4"/>
      <c r="BB51" s="4"/>
      <c r="BC51" s="4"/>
      <c r="BD51" s="4"/>
    </row>
    <row r="52" spans="7:56" x14ac:dyDescent="0.25">
      <c r="G52" s="4"/>
      <c r="H52" s="15"/>
      <c r="AJ52" s="22"/>
      <c r="AK52" s="4"/>
      <c r="AL52" s="19"/>
      <c r="AM52" s="4"/>
      <c r="AN52" s="4"/>
      <c r="AO52" s="3"/>
      <c r="AP52" s="4"/>
      <c r="AQ52" s="4"/>
      <c r="AR52" s="4"/>
      <c r="AS52" s="19"/>
      <c r="AT52" s="19"/>
      <c r="AU52" s="19"/>
      <c r="AV52" s="19"/>
      <c r="AW52" s="25"/>
      <c r="AX52" s="48"/>
      <c r="AY52" s="21"/>
      <c r="AZ52" s="4"/>
      <c r="BA52" s="4"/>
      <c r="BB52" s="4"/>
      <c r="BC52" s="4"/>
      <c r="BD52" s="4"/>
    </row>
    <row r="53" spans="7:56" x14ac:dyDescent="0.25">
      <c r="G53" s="4"/>
      <c r="H53" s="15"/>
      <c r="AJ53" s="22"/>
      <c r="AK53" s="4"/>
      <c r="AL53" s="19"/>
      <c r="AM53" s="4"/>
      <c r="AN53" s="4"/>
      <c r="AO53" s="3"/>
      <c r="AP53" s="4"/>
      <c r="AQ53" s="4"/>
      <c r="AR53" s="4"/>
      <c r="AS53" s="19"/>
      <c r="AT53" s="19"/>
      <c r="AU53" s="19"/>
      <c r="AV53" s="19"/>
      <c r="AW53" s="25"/>
      <c r="AX53" s="48"/>
      <c r="AY53" s="21"/>
      <c r="AZ53" s="4"/>
      <c r="BA53" s="4"/>
      <c r="BB53" s="4"/>
      <c r="BC53" s="4"/>
      <c r="BD53" s="4"/>
    </row>
    <row r="54" spans="7:56" x14ac:dyDescent="0.25">
      <c r="G54" s="4"/>
      <c r="H54" s="15"/>
      <c r="AJ54" s="22"/>
      <c r="AK54" s="4"/>
      <c r="AL54" s="19"/>
      <c r="AM54" s="4"/>
      <c r="AN54" s="4"/>
      <c r="AO54" s="3"/>
      <c r="AP54" s="4"/>
      <c r="AQ54" s="4"/>
      <c r="AR54" s="4"/>
      <c r="AS54" s="19"/>
      <c r="AT54" s="19"/>
      <c r="AU54" s="19"/>
      <c r="AV54" s="19"/>
      <c r="AW54" s="25"/>
      <c r="AX54" s="48"/>
      <c r="AY54" s="21"/>
      <c r="AZ54" s="4"/>
      <c r="BA54" s="4"/>
      <c r="BB54" s="4"/>
      <c r="BC54" s="4"/>
      <c r="BD54" s="4"/>
    </row>
    <row r="55" spans="7:56" x14ac:dyDescent="0.25">
      <c r="G55" s="4"/>
      <c r="H55" s="15"/>
      <c r="AJ55" s="22"/>
      <c r="AK55" s="4"/>
      <c r="AL55" s="19"/>
      <c r="AM55" s="4"/>
      <c r="AN55" s="4"/>
      <c r="AO55" s="3"/>
      <c r="AP55" s="4"/>
      <c r="AQ55" s="4"/>
      <c r="AR55" s="4"/>
      <c r="AS55" s="19"/>
      <c r="AT55" s="19"/>
      <c r="AU55" s="19"/>
      <c r="AV55" s="19"/>
      <c r="AW55" s="25"/>
      <c r="AX55" s="48"/>
      <c r="AY55" s="21"/>
      <c r="AZ55" s="4"/>
      <c r="BA55" s="4"/>
      <c r="BB55" s="4"/>
      <c r="BC55" s="4"/>
      <c r="BD55" s="4"/>
    </row>
    <row r="56" spans="7:56" x14ac:dyDescent="0.25">
      <c r="G56" s="4"/>
      <c r="H56" s="15"/>
      <c r="AJ56" s="22"/>
      <c r="AK56" s="4"/>
      <c r="AL56" s="19"/>
      <c r="AM56" s="4"/>
      <c r="AN56" s="4"/>
      <c r="AO56" s="3"/>
      <c r="AP56" s="4"/>
      <c r="AQ56" s="4"/>
      <c r="AR56" s="4"/>
      <c r="AS56" s="19"/>
      <c r="AT56" s="19"/>
      <c r="AU56" s="19"/>
      <c r="AV56" s="19"/>
      <c r="AW56" s="25"/>
      <c r="AX56" s="48"/>
      <c r="AY56" s="21"/>
      <c r="AZ56" s="4"/>
      <c r="BA56" s="4"/>
      <c r="BB56" s="4"/>
      <c r="BC56" s="4"/>
      <c r="BD56" s="4"/>
    </row>
    <row r="57" spans="7:56" x14ac:dyDescent="0.25">
      <c r="G57" s="4"/>
      <c r="H57" s="15"/>
      <c r="AJ57" s="22"/>
      <c r="AK57" s="4"/>
      <c r="AL57" s="19"/>
      <c r="AM57" s="4"/>
      <c r="AN57" s="4"/>
      <c r="AO57" s="3"/>
      <c r="AP57" s="4"/>
      <c r="AQ57" s="4"/>
      <c r="AR57" s="4"/>
      <c r="AS57" s="19"/>
      <c r="AT57" s="19"/>
      <c r="AU57" s="19"/>
      <c r="AV57" s="19"/>
      <c r="AW57" s="25"/>
      <c r="AX57" s="48"/>
      <c r="AY57" s="21"/>
      <c r="AZ57" s="4"/>
      <c r="BA57" s="4"/>
      <c r="BB57" s="4"/>
      <c r="BC57" s="4"/>
      <c r="BD57" s="4"/>
    </row>
    <row r="58" spans="7:56" x14ac:dyDescent="0.25">
      <c r="G58" s="4"/>
      <c r="H58" s="15"/>
      <c r="AJ58" s="22"/>
      <c r="AK58" s="4"/>
      <c r="AL58" s="19"/>
      <c r="AM58" s="4"/>
      <c r="AN58" s="4"/>
      <c r="AO58" s="3"/>
      <c r="AP58" s="4"/>
      <c r="AQ58" s="4"/>
      <c r="AR58" s="4"/>
      <c r="AS58" s="19"/>
      <c r="AT58" s="19"/>
      <c r="AU58" s="19"/>
      <c r="AV58" s="19"/>
      <c r="AW58" s="25"/>
      <c r="AX58" s="48"/>
      <c r="AY58" s="21"/>
      <c r="AZ58" s="4"/>
      <c r="BA58" s="4"/>
      <c r="BB58" s="4"/>
      <c r="BC58" s="4"/>
      <c r="BD58" s="4"/>
    </row>
    <row r="59" spans="7:56" x14ac:dyDescent="0.25">
      <c r="G59" s="4"/>
      <c r="H59" s="15"/>
      <c r="AJ59" s="22"/>
      <c r="AK59" s="4"/>
      <c r="AL59" s="19"/>
      <c r="AM59" s="4"/>
      <c r="AN59" s="4"/>
      <c r="AO59" s="3"/>
      <c r="AP59" s="4"/>
      <c r="AQ59" s="4"/>
      <c r="AR59" s="4"/>
      <c r="AS59" s="19"/>
      <c r="AT59" s="19"/>
      <c r="AU59" s="19"/>
      <c r="AV59" s="19"/>
      <c r="AW59" s="25"/>
      <c r="AX59" s="48"/>
      <c r="AY59" s="21"/>
      <c r="AZ59" s="4"/>
      <c r="BA59" s="4"/>
      <c r="BB59" s="4"/>
      <c r="BC59" s="4"/>
      <c r="BD59" s="4"/>
    </row>
    <row r="60" spans="7:56" x14ac:dyDescent="0.25">
      <c r="G60" s="4"/>
      <c r="H60" s="15"/>
      <c r="AJ60" s="22"/>
      <c r="AK60" s="4"/>
      <c r="AL60" s="19"/>
      <c r="AM60" s="4"/>
      <c r="AN60" s="4"/>
      <c r="AO60" s="3"/>
      <c r="AP60" s="4"/>
      <c r="AQ60" s="4"/>
      <c r="AR60" s="4"/>
      <c r="AS60" s="19"/>
      <c r="AT60" s="19"/>
      <c r="AU60" s="19"/>
      <c r="AV60" s="19"/>
      <c r="AW60" s="25"/>
      <c r="AX60" s="48"/>
      <c r="AY60" s="21"/>
      <c r="AZ60" s="4"/>
      <c r="BA60" s="4"/>
      <c r="BB60" s="4"/>
      <c r="BC60" s="4"/>
      <c r="BD60" s="4"/>
    </row>
    <row r="61" spans="7:56" x14ac:dyDescent="0.25">
      <c r="G61" s="4"/>
      <c r="H61" s="15"/>
      <c r="AJ61" s="22"/>
      <c r="AK61" s="4"/>
      <c r="AL61" s="19"/>
      <c r="AM61" s="4"/>
      <c r="AN61" s="4"/>
      <c r="AO61" s="3"/>
      <c r="AP61" s="4"/>
      <c r="AQ61" s="4"/>
      <c r="AR61" s="4"/>
      <c r="AS61" s="19"/>
      <c r="AT61" s="19"/>
      <c r="AU61" s="19"/>
      <c r="AV61" s="19"/>
      <c r="AW61" s="25"/>
      <c r="AX61" s="48"/>
      <c r="AY61" s="21"/>
      <c r="AZ61" s="4"/>
      <c r="BA61" s="4"/>
      <c r="BB61" s="4"/>
      <c r="BC61" s="4"/>
      <c r="BD61" s="4"/>
    </row>
    <row r="62" spans="7:56" x14ac:dyDescent="0.25">
      <c r="G62" s="4"/>
      <c r="H62" s="15"/>
      <c r="AJ62" s="22"/>
      <c r="AK62" s="4"/>
      <c r="AL62" s="19"/>
      <c r="AM62" s="4"/>
      <c r="AN62" s="4"/>
      <c r="AO62" s="3"/>
      <c r="AP62" s="4"/>
      <c r="AQ62" s="4"/>
      <c r="AR62" s="4"/>
      <c r="AS62" s="19"/>
      <c r="AT62" s="19"/>
      <c r="AU62" s="19"/>
      <c r="AV62" s="19"/>
      <c r="AW62" s="25"/>
      <c r="AX62" s="48"/>
      <c r="AY62" s="21"/>
      <c r="AZ62" s="4"/>
      <c r="BA62" s="4"/>
      <c r="BB62" s="4"/>
      <c r="BC62" s="4"/>
      <c r="BD62" s="4"/>
    </row>
    <row r="63" spans="7:56" x14ac:dyDescent="0.25">
      <c r="G63" s="4"/>
      <c r="H63" s="15"/>
      <c r="AJ63" s="22"/>
      <c r="AK63" s="4"/>
      <c r="AL63" s="19"/>
      <c r="AM63" s="4"/>
      <c r="AN63" s="4"/>
      <c r="AO63" s="3"/>
      <c r="AP63" s="4"/>
      <c r="AQ63" s="4"/>
      <c r="AR63" s="4"/>
      <c r="AS63" s="19"/>
      <c r="AT63" s="19"/>
      <c r="AU63" s="19"/>
      <c r="AV63" s="19"/>
      <c r="AW63" s="25"/>
      <c r="AX63" s="48"/>
      <c r="AY63" s="21"/>
      <c r="AZ63" s="4"/>
      <c r="BA63" s="4"/>
      <c r="BB63" s="4"/>
      <c r="BC63" s="4"/>
      <c r="BD63" s="4"/>
    </row>
    <row r="64" spans="7:56" x14ac:dyDescent="0.25">
      <c r="G64" s="4"/>
      <c r="H64" s="15"/>
      <c r="AJ64" s="22"/>
      <c r="AK64" s="4"/>
      <c r="AL64" s="19"/>
      <c r="AM64" s="4"/>
      <c r="AN64" s="4"/>
      <c r="AO64" s="3"/>
      <c r="AP64" s="4"/>
      <c r="AQ64" s="4"/>
      <c r="AR64" s="4"/>
      <c r="AS64" s="19"/>
      <c r="AT64" s="19"/>
      <c r="AU64" s="19"/>
      <c r="AV64" s="19"/>
      <c r="AW64" s="25"/>
      <c r="AX64" s="48"/>
      <c r="AY64" s="21"/>
      <c r="AZ64" s="4"/>
      <c r="BA64" s="4"/>
      <c r="BB64" s="4"/>
      <c r="BC64" s="4"/>
      <c r="BD64" s="4"/>
    </row>
    <row r="65" spans="3:56" x14ac:dyDescent="0.25">
      <c r="G65" s="4"/>
      <c r="H65" s="15"/>
      <c r="AJ65" s="22"/>
      <c r="AK65" s="4"/>
      <c r="AL65" s="19"/>
      <c r="AM65" s="4"/>
      <c r="AN65" s="4"/>
      <c r="AO65" s="3"/>
      <c r="AP65" s="4"/>
      <c r="AQ65" s="4"/>
      <c r="AR65" s="4"/>
      <c r="AS65" s="19"/>
      <c r="AT65" s="19"/>
      <c r="AU65" s="19"/>
      <c r="AV65" s="19"/>
      <c r="AW65" s="25"/>
      <c r="AX65" s="48"/>
      <c r="AY65" s="21"/>
      <c r="AZ65" s="4"/>
      <c r="BA65" s="4"/>
      <c r="BB65" s="4"/>
      <c r="BC65" s="4"/>
      <c r="BD65" s="4"/>
    </row>
    <row r="66" spans="3:56" x14ac:dyDescent="0.25">
      <c r="C66"/>
      <c r="D66"/>
      <c r="E66"/>
      <c r="F66"/>
      <c r="AK66"/>
      <c r="AL66"/>
      <c r="AQ66"/>
      <c r="AR66"/>
    </row>
    <row r="67" spans="3:56" x14ac:dyDescent="0.25">
      <c r="C67"/>
      <c r="D67"/>
      <c r="E67"/>
      <c r="F67"/>
      <c r="AK67"/>
      <c r="AL67"/>
      <c r="AQ67"/>
      <c r="AR67"/>
    </row>
    <row r="68" spans="3:56" x14ac:dyDescent="0.25">
      <c r="C68"/>
      <c r="D68"/>
      <c r="E68"/>
      <c r="F68"/>
      <c r="AK68"/>
      <c r="AL68"/>
      <c r="AQ68"/>
      <c r="AR68"/>
    </row>
    <row r="69" spans="3:56" x14ac:dyDescent="0.25">
      <c r="C69"/>
      <c r="D69"/>
      <c r="E69"/>
      <c r="F69"/>
      <c r="AK69"/>
      <c r="AL69"/>
      <c r="AQ69"/>
      <c r="AR69"/>
    </row>
    <row r="70" spans="3:56" x14ac:dyDescent="0.25">
      <c r="C70"/>
      <c r="D70"/>
      <c r="E70"/>
      <c r="F70"/>
      <c r="AK70"/>
      <c r="AL70"/>
      <c r="AQ70"/>
      <c r="AR70"/>
    </row>
    <row r="71" spans="3:56" x14ac:dyDescent="0.25">
      <c r="C71"/>
      <c r="D71"/>
      <c r="E71"/>
      <c r="F71"/>
      <c r="AK71"/>
      <c r="AL71"/>
      <c r="AQ71"/>
      <c r="AR71"/>
    </row>
    <row r="72" spans="3:56" x14ac:dyDescent="0.25">
      <c r="C72"/>
      <c r="D72"/>
      <c r="E72"/>
      <c r="F72"/>
      <c r="AK72"/>
      <c r="AL72"/>
      <c r="AQ72"/>
      <c r="AR72"/>
    </row>
    <row r="73" spans="3:56" x14ac:dyDescent="0.25">
      <c r="C73"/>
      <c r="D73"/>
      <c r="E73"/>
      <c r="F73"/>
      <c r="AK73"/>
      <c r="AL73"/>
      <c r="AQ73"/>
      <c r="AR73"/>
    </row>
    <row r="74" spans="3:56" x14ac:dyDescent="0.25">
      <c r="C74"/>
      <c r="D74"/>
      <c r="E74"/>
      <c r="F74"/>
      <c r="AK74"/>
      <c r="AL74"/>
      <c r="AQ74"/>
      <c r="AR74"/>
    </row>
    <row r="75" spans="3:56" x14ac:dyDescent="0.25">
      <c r="C75"/>
      <c r="D75"/>
      <c r="E75"/>
      <c r="F75"/>
      <c r="AK75"/>
      <c r="AL75"/>
      <c r="AQ75"/>
      <c r="AR75"/>
    </row>
    <row r="76" spans="3:56" x14ac:dyDescent="0.25">
      <c r="C76"/>
      <c r="D76"/>
      <c r="E76"/>
      <c r="F76"/>
      <c r="AK76"/>
      <c r="AL76"/>
      <c r="AQ76"/>
      <c r="AR76"/>
    </row>
    <row r="77" spans="3:56" x14ac:dyDescent="0.25">
      <c r="C77"/>
      <c r="D77"/>
      <c r="E77"/>
      <c r="F77"/>
      <c r="AK77"/>
      <c r="AL77"/>
      <c r="AQ77"/>
      <c r="AR77"/>
    </row>
    <row r="78" spans="3:56" x14ac:dyDescent="0.25">
      <c r="C78"/>
      <c r="D78"/>
      <c r="E78"/>
      <c r="F78"/>
      <c r="AK78"/>
      <c r="AL78"/>
      <c r="AQ78"/>
      <c r="AR78"/>
    </row>
    <row r="79" spans="3:56" x14ac:dyDescent="0.25">
      <c r="C79"/>
      <c r="D79"/>
      <c r="E79"/>
      <c r="F79"/>
      <c r="AK79"/>
      <c r="AL79"/>
      <c r="AQ79"/>
      <c r="AR79"/>
    </row>
    <row r="80" spans="3:56" x14ac:dyDescent="0.25">
      <c r="C80"/>
      <c r="D80"/>
      <c r="E80"/>
      <c r="F80"/>
      <c r="AK80"/>
      <c r="AL80"/>
      <c r="AQ80"/>
      <c r="AR80"/>
    </row>
    <row r="81" spans="3:44" x14ac:dyDescent="0.25">
      <c r="C81"/>
      <c r="D81"/>
      <c r="E81"/>
      <c r="F81"/>
      <c r="AK81"/>
      <c r="AL81"/>
      <c r="AQ81"/>
      <c r="AR81"/>
    </row>
    <row r="82" spans="3:44" x14ac:dyDescent="0.25">
      <c r="C82"/>
      <c r="D82"/>
      <c r="E82"/>
      <c r="F82"/>
      <c r="AK82"/>
      <c r="AL82"/>
      <c r="AQ82"/>
      <c r="AR82"/>
    </row>
    <row r="83" spans="3:44" x14ac:dyDescent="0.25">
      <c r="C83"/>
      <c r="D83"/>
      <c r="E83"/>
      <c r="F83"/>
      <c r="AK83"/>
      <c r="AL83"/>
      <c r="AQ83"/>
      <c r="AR83"/>
    </row>
    <row r="84" spans="3:44" x14ac:dyDescent="0.25">
      <c r="C84"/>
      <c r="D84"/>
      <c r="E84"/>
      <c r="F84"/>
      <c r="AK84"/>
      <c r="AL84"/>
      <c r="AQ84"/>
      <c r="AR84"/>
    </row>
    <row r="85" spans="3:44" x14ac:dyDescent="0.25">
      <c r="C85"/>
      <c r="D85"/>
      <c r="E85"/>
      <c r="F85"/>
      <c r="AK85"/>
      <c r="AL85"/>
      <c r="AQ85"/>
      <c r="AR85"/>
    </row>
    <row r="86" spans="3:44" x14ac:dyDescent="0.25">
      <c r="C86"/>
      <c r="D86"/>
      <c r="E86"/>
      <c r="F86"/>
      <c r="AK86"/>
      <c r="AL86"/>
      <c r="AQ86"/>
      <c r="AR86"/>
    </row>
    <row r="87" spans="3:44" x14ac:dyDescent="0.25">
      <c r="C87"/>
      <c r="D87"/>
      <c r="E87"/>
      <c r="F87"/>
      <c r="AK87"/>
      <c r="AL87"/>
      <c r="AQ87"/>
      <c r="AR87"/>
    </row>
    <row r="88" spans="3:44" x14ac:dyDescent="0.25">
      <c r="C88"/>
      <c r="D88"/>
      <c r="E88"/>
      <c r="F88"/>
      <c r="AK88"/>
      <c r="AL88"/>
      <c r="AQ88"/>
      <c r="AR88"/>
    </row>
    <row r="89" spans="3:44" x14ac:dyDescent="0.25">
      <c r="C89"/>
      <c r="D89"/>
      <c r="E89"/>
      <c r="F89"/>
      <c r="AK89"/>
      <c r="AL89"/>
      <c r="AQ89"/>
      <c r="AR89"/>
    </row>
    <row r="90" spans="3:44" x14ac:dyDescent="0.25">
      <c r="C90"/>
      <c r="D90"/>
      <c r="E90"/>
      <c r="F90"/>
      <c r="AK90"/>
      <c r="AL90"/>
      <c r="AQ90"/>
      <c r="AR90"/>
    </row>
    <row r="91" spans="3:44" x14ac:dyDescent="0.25">
      <c r="C91"/>
      <c r="D91"/>
      <c r="E91"/>
      <c r="F91"/>
      <c r="AK91"/>
      <c r="AL91"/>
      <c r="AQ91"/>
      <c r="AR91"/>
    </row>
    <row r="92" spans="3:44" x14ac:dyDescent="0.25">
      <c r="C92"/>
      <c r="D92"/>
      <c r="E92"/>
      <c r="F92"/>
      <c r="AK92"/>
      <c r="AL92"/>
      <c r="AQ92"/>
      <c r="AR92"/>
    </row>
    <row r="93" spans="3:44" x14ac:dyDescent="0.25">
      <c r="C93"/>
      <c r="D93"/>
      <c r="E93"/>
      <c r="F93"/>
      <c r="AK93"/>
      <c r="AL93"/>
      <c r="AQ93"/>
      <c r="AR93"/>
    </row>
    <row r="94" spans="3:44" x14ac:dyDescent="0.25">
      <c r="C94"/>
      <c r="D94"/>
      <c r="E94"/>
      <c r="F94"/>
      <c r="AK94"/>
      <c r="AL94"/>
      <c r="AQ94"/>
      <c r="AR94"/>
    </row>
    <row r="95" spans="3:44" x14ac:dyDescent="0.25">
      <c r="C95"/>
      <c r="D95"/>
      <c r="E95"/>
      <c r="F95"/>
      <c r="AK95"/>
      <c r="AL95"/>
      <c r="AQ95"/>
      <c r="AR95"/>
    </row>
    <row r="96" spans="3:44" x14ac:dyDescent="0.25">
      <c r="C96"/>
      <c r="D96"/>
      <c r="E96"/>
      <c r="F96"/>
      <c r="AK96"/>
      <c r="AL96"/>
      <c r="AQ96"/>
      <c r="AR96"/>
    </row>
    <row r="97" spans="3:44" x14ac:dyDescent="0.25">
      <c r="C97"/>
      <c r="D97"/>
      <c r="E97"/>
      <c r="F97"/>
      <c r="AK97"/>
      <c r="AL97"/>
      <c r="AQ97"/>
      <c r="AR97"/>
    </row>
    <row r="98" spans="3:44" x14ac:dyDescent="0.25">
      <c r="C98"/>
      <c r="D98"/>
      <c r="E98"/>
      <c r="F98"/>
      <c r="AK98"/>
      <c r="AL98"/>
      <c r="AQ98"/>
      <c r="AR98"/>
    </row>
    <row r="99" spans="3:44" x14ac:dyDescent="0.25">
      <c r="C99"/>
      <c r="D99"/>
      <c r="E99"/>
      <c r="F99"/>
      <c r="AK99"/>
      <c r="AL99"/>
      <c r="AQ99"/>
      <c r="AR99"/>
    </row>
    <row r="100" spans="3:44" x14ac:dyDescent="0.25">
      <c r="C100"/>
      <c r="D100"/>
      <c r="E100"/>
      <c r="F100"/>
      <c r="AK100"/>
      <c r="AL100"/>
      <c r="AQ100"/>
      <c r="AR100"/>
    </row>
    <row r="101" spans="3:44" x14ac:dyDescent="0.25">
      <c r="C101"/>
      <c r="D101"/>
      <c r="E101"/>
      <c r="F101"/>
      <c r="AK101"/>
      <c r="AL101"/>
      <c r="AQ101"/>
      <c r="AR101"/>
    </row>
    <row r="102" spans="3:44" x14ac:dyDescent="0.25">
      <c r="C102"/>
      <c r="D102"/>
      <c r="E102"/>
      <c r="F102"/>
      <c r="AK102"/>
      <c r="AL102"/>
      <c r="AQ102"/>
      <c r="AR102"/>
    </row>
    <row r="103" spans="3:44" x14ac:dyDescent="0.25">
      <c r="C103"/>
      <c r="D103"/>
      <c r="E103"/>
      <c r="F103"/>
      <c r="AK103"/>
      <c r="AL103"/>
      <c r="AQ103"/>
      <c r="AR103"/>
    </row>
    <row r="104" spans="3:44" x14ac:dyDescent="0.25">
      <c r="C104"/>
      <c r="D104"/>
      <c r="E104"/>
      <c r="F104"/>
      <c r="AK104"/>
      <c r="AL104"/>
      <c r="AQ104"/>
      <c r="AR104"/>
    </row>
    <row r="105" spans="3:44" x14ac:dyDescent="0.25">
      <c r="C105"/>
      <c r="D105"/>
      <c r="E105"/>
      <c r="F105"/>
      <c r="AK105"/>
      <c r="AL105"/>
      <c r="AQ105"/>
      <c r="AR105"/>
    </row>
    <row r="106" spans="3:44" x14ac:dyDescent="0.25">
      <c r="C106"/>
      <c r="D106"/>
      <c r="E106"/>
      <c r="F106"/>
      <c r="AK106"/>
      <c r="AL106"/>
      <c r="AQ106"/>
      <c r="AR106"/>
    </row>
  </sheetData>
  <dataConsolidate/>
  <dataValidations disablePrompts="1"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J2" r:id="rId1" xr:uid="{E4CCCB3E-001A-467E-9931-1FD554158C91}"/>
    <hyperlink ref="AJ3" r:id="rId2" xr:uid="{32EE1602-2D78-4695-9400-2662976E84AC}"/>
    <hyperlink ref="AJ4" r:id="rId3" xr:uid="{62878BF4-D58B-4C1B-86EE-A5932DFD6628}"/>
    <hyperlink ref="AJ5" r:id="rId4" xr:uid="{16097A3D-E8E6-4C47-B516-EC4B9EB778AD}"/>
    <hyperlink ref="AJ6" r:id="rId5" xr:uid="{EC7FE6F1-71D0-4E92-9FD9-2A9A402AB5F5}"/>
  </hyperlinks>
  <pageMargins left="0.7" right="0.7" top="0.75" bottom="0.75" header="0.3" footer="0.3"/>
  <pageSetup paperSize="9" orientation="portrait" r:id="rId6"/>
  <ignoredErrors>
    <ignoredError sqref="D1:E1 A1 A101:A1048576 J1 D101:E1048576 AC101:AC1048576" listDataValidation="1"/>
  </ignoredErrors>
  <tableParts count="1">
    <tablePart r:id="rId7"/>
  </tablePart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4E71CD1D-B99B-4295-B35D-53F4197F3B8F}">
          <x14:formula1>
            <xm:f>Notes!$M$2:$M$3</xm:f>
          </x14:formula1>
          <xm:sqref>AC101:AC1048576</xm:sqref>
        </x14:dataValidation>
        <x14:dataValidation type="list" allowBlank="1" showInputMessage="1" showErrorMessage="1" xr:uid="{25E7D479-F421-42BD-8EF0-B522FDBBEC04}">
          <x14:formula1>
            <xm:f>Notes!$D$2:$D$3</xm:f>
          </x14:formula1>
          <xm:sqref>J1:J11</xm:sqref>
        </x14:dataValidation>
        <x14:dataValidation type="list" allowBlank="1" showInputMessage="1" showErrorMessage="1" xr:uid="{ADB060BA-7846-4416-AEB8-9CB096EA4272}">
          <x14:formula1>
            <xm:f>'F:\Live day trading 3\[Live day trading 3.xlsx]Notes'!#REF!</xm:f>
          </x14:formula1>
          <xm:sqref>J2:J11</xm:sqref>
        </x14:dataValidation>
        <x14:dataValidation type="list" allowBlank="1" showInputMessage="1" showErrorMessage="1" xr:uid="{5F317588-8A70-454A-8680-CC008BD7709D}">
          <x14:formula1>
            <xm:f>Notes!$I$3:$I$18</xm:f>
          </x14:formula1>
          <xm:sqref>AJ52:AJ1048576</xm:sqref>
        </x14:dataValidation>
        <x14:dataValidation type="list" allowBlank="1" showInputMessage="1" showErrorMessage="1" xr:uid="{24B9D03D-B383-420E-9EDE-3DDB29D5D92F}">
          <x14:formula1>
            <xm:f>Notes!$K$2:$K$10</xm:f>
          </x14:formula1>
          <xm:sqref>AK33:AL1048576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6"/>
  <sheetViews>
    <sheetView workbookViewId="0">
      <selection activeCell="AI16" sqref="AI16"/>
    </sheetView>
  </sheetViews>
  <sheetFormatPr defaultRowHeight="15" x14ac:dyDescent="0.25"/>
  <cols>
    <col min="1" max="1" width="13" customWidth="1"/>
    <col min="3" max="3" width="12.28515625" customWidth="1"/>
    <col min="4" max="4" width="12.5703125" customWidth="1"/>
    <col min="5" max="5" width="11.28515625" customWidth="1"/>
    <col min="6" max="6" width="15.42578125" customWidth="1"/>
    <col min="7" max="7" width="10.5703125" customWidth="1"/>
    <col min="8" max="8" width="16.28515625" customWidth="1"/>
    <col min="9" max="9" width="12.5703125" customWidth="1"/>
    <col min="10" max="10" width="10.42578125" customWidth="1"/>
    <col min="11" max="11" width="13.7109375" customWidth="1"/>
    <col min="12" max="12" width="14.7109375" customWidth="1"/>
    <col min="13" max="13" width="15.5703125" customWidth="1"/>
    <col min="14" max="14" width="16.5703125" customWidth="1"/>
    <col min="15" max="15" width="16.140625" customWidth="1"/>
    <col min="16" max="16" width="12.7109375" customWidth="1"/>
    <col min="17" max="17" width="13.7109375" customWidth="1"/>
    <col min="19" max="19" width="12" customWidth="1"/>
    <col min="20" max="20" width="13.85546875" customWidth="1"/>
    <col min="21" max="21" width="23.42578125" customWidth="1"/>
    <col min="22" max="22" width="16.42578125" customWidth="1"/>
    <col min="23" max="23" width="13" customWidth="1"/>
    <col min="24" max="24" width="11.28515625" customWidth="1"/>
    <col min="25" max="25" width="17" customWidth="1"/>
    <col min="26" max="26" width="9.5703125" customWidth="1"/>
    <col min="27" max="27" width="22.5703125" customWidth="1"/>
    <col min="28" max="28" width="17.85546875" customWidth="1"/>
    <col min="29" max="29" width="20.5703125" customWidth="1"/>
    <col min="30" max="30" width="13.28515625" customWidth="1"/>
    <col min="31" max="31" width="21.28515625" customWidth="1"/>
    <col min="32" max="32" width="10.7109375" customWidth="1"/>
    <col min="33" max="33" width="14.5703125" customWidth="1"/>
    <col min="34" max="34" width="9.42578125" customWidth="1"/>
    <col min="35" max="35" width="14.7109375" customWidth="1"/>
    <col min="36" max="36" width="22.5703125" customWidth="1"/>
    <col min="37" max="37" width="11.28515625" customWidth="1"/>
    <col min="38" max="38" width="18.7109375" customWidth="1"/>
    <col min="39" max="39" width="18.28515625" customWidth="1"/>
    <col min="40" max="40" width="14.28515625" customWidth="1"/>
    <col min="41" max="41" width="20.140625" customWidth="1"/>
    <col min="42" max="42" width="21.140625" customWidth="1"/>
    <col min="43" max="43" width="17.5703125" customWidth="1"/>
    <col min="44" max="44" width="19.140625" customWidth="1"/>
    <col min="45" max="45" width="19.7109375" customWidth="1"/>
    <col min="46" max="46" width="19" customWidth="1"/>
    <col min="47" max="47" width="20.5703125" customWidth="1"/>
    <col min="48" max="48" width="19" customWidth="1"/>
    <col min="49" max="49" width="18.7109375" customWidth="1"/>
    <col min="50" max="50" width="20.28515625" customWidth="1"/>
    <col min="51" max="51" width="20.5703125" customWidth="1"/>
    <col min="52" max="53" width="25" customWidth="1"/>
    <col min="54" max="54" width="26.5703125" customWidth="1"/>
    <col min="55" max="55" width="25" customWidth="1"/>
    <col min="56" max="57" width="26.5703125" customWidth="1"/>
    <col min="58" max="58" width="28.140625" customWidth="1"/>
    <col min="59" max="59" width="26.5703125" customWidth="1"/>
    <col min="60" max="60" width="30.7109375" customWidth="1"/>
    <col min="61" max="61" width="32.28515625" customWidth="1"/>
    <col min="63" max="64" width="26" customWidth="1"/>
    <col min="65" max="65" width="27.5703125" customWidth="1"/>
    <col min="66" max="66" width="26" customWidth="1"/>
    <col min="67" max="68" width="27.5703125" customWidth="1"/>
    <col min="69" max="69" width="29.140625" customWidth="1"/>
    <col min="70" max="70" width="27.5703125" customWidth="1"/>
    <col min="71" max="71" width="31.7109375" customWidth="1"/>
    <col min="72" max="72" width="33.28515625" customWidth="1"/>
  </cols>
  <sheetData>
    <row r="1" spans="1:57" x14ac:dyDescent="0.25">
      <c r="A1" s="30" t="s">
        <v>0</v>
      </c>
      <c r="B1" s="30" t="s">
        <v>1</v>
      </c>
      <c r="C1" s="44" t="s">
        <v>2</v>
      </c>
      <c r="D1" s="42" t="s">
        <v>56</v>
      </c>
      <c r="E1" s="42" t="s">
        <v>57</v>
      </c>
      <c r="F1" s="30" t="s">
        <v>3</v>
      </c>
      <c r="G1" s="30" t="s">
        <v>4</v>
      </c>
      <c r="H1" s="30" t="s">
        <v>106</v>
      </c>
      <c r="I1" s="30" t="s">
        <v>6</v>
      </c>
      <c r="J1" s="30" t="s">
        <v>11</v>
      </c>
      <c r="K1" s="30" t="s">
        <v>7</v>
      </c>
      <c r="L1" s="30" t="s">
        <v>8</v>
      </c>
      <c r="M1" s="30" t="s">
        <v>9</v>
      </c>
      <c r="N1" s="30" t="s">
        <v>61</v>
      </c>
      <c r="O1" s="30" t="s">
        <v>10</v>
      </c>
      <c r="P1" s="30" t="s">
        <v>117</v>
      </c>
      <c r="Q1" s="30" t="s">
        <v>144</v>
      </c>
      <c r="R1" s="30" t="s">
        <v>12</v>
      </c>
      <c r="S1" s="30" t="s">
        <v>118</v>
      </c>
      <c r="T1" s="30" t="s">
        <v>156</v>
      </c>
      <c r="U1" s="30" t="s">
        <v>163</v>
      </c>
      <c r="V1" s="30" t="s">
        <v>158</v>
      </c>
      <c r="W1" s="30" t="s">
        <v>166</v>
      </c>
      <c r="X1" s="30" t="s">
        <v>160</v>
      </c>
      <c r="Y1" s="30" t="s">
        <v>16</v>
      </c>
      <c r="Z1" s="30" t="s">
        <v>15</v>
      </c>
      <c r="AA1" s="30" t="s">
        <v>13</v>
      </c>
      <c r="AB1" s="30" t="s">
        <v>167</v>
      </c>
      <c r="AC1" s="30" t="s">
        <v>63</v>
      </c>
      <c r="AD1" s="30" t="s">
        <v>168</v>
      </c>
      <c r="AE1" s="30" t="s">
        <v>138</v>
      </c>
      <c r="AF1" s="30" t="s">
        <v>197</v>
      </c>
      <c r="AG1" s="30" t="s">
        <v>169</v>
      </c>
      <c r="AH1" s="30" t="s">
        <v>177</v>
      </c>
      <c r="AI1" s="31" t="s">
        <v>69</v>
      </c>
      <c r="AJ1" s="30" t="s">
        <v>73</v>
      </c>
      <c r="AK1" s="30" t="s">
        <v>123</v>
      </c>
      <c r="AL1" s="40" t="s">
        <v>67</v>
      </c>
      <c r="AM1" s="30" t="s">
        <v>107</v>
      </c>
      <c r="AN1" s="30" t="s">
        <v>93</v>
      </c>
      <c r="AO1" s="30" t="s">
        <v>159</v>
      </c>
      <c r="AP1" s="30" t="s">
        <v>126</v>
      </c>
      <c r="AQ1" s="30" t="s">
        <v>109</v>
      </c>
      <c r="AR1" s="30" t="s">
        <v>68</v>
      </c>
      <c r="AS1" s="30" t="s">
        <v>108</v>
      </c>
      <c r="AT1" s="30" t="s">
        <v>178</v>
      </c>
      <c r="AU1" s="37" t="s">
        <v>64</v>
      </c>
      <c r="AV1" s="30" t="s">
        <v>174</v>
      </c>
      <c r="AW1" s="30" t="s">
        <v>173</v>
      </c>
      <c r="AX1" s="30" t="s">
        <v>172</v>
      </c>
      <c r="AY1" s="30" t="s">
        <v>171</v>
      </c>
      <c r="AZ1" s="55" t="s">
        <v>170</v>
      </c>
      <c r="BA1" s="33" t="s">
        <v>157</v>
      </c>
      <c r="BB1" s="32" t="s">
        <v>186</v>
      </c>
      <c r="BC1" s="30" t="s">
        <v>187</v>
      </c>
      <c r="BD1" s="30" t="s">
        <v>179</v>
      </c>
      <c r="BE1" s="30" t="s">
        <v>180</v>
      </c>
    </row>
    <row r="2" spans="1:57" x14ac:dyDescent="0.25">
      <c r="A2" s="39" t="s">
        <v>188</v>
      </c>
      <c r="B2" s="39">
        <v>1</v>
      </c>
      <c r="C2" s="29">
        <v>43592</v>
      </c>
      <c r="D2" s="43">
        <v>0.4597222222222222</v>
      </c>
      <c r="E2" s="43">
        <v>0.51944444444444449</v>
      </c>
      <c r="F2" s="39" t="s">
        <v>189</v>
      </c>
      <c r="G2" s="39" t="s">
        <v>22</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27</v>
      </c>
      <c r="Z2" s="39" t="s">
        <v>28</v>
      </c>
      <c r="AA2" s="39" t="s">
        <v>33</v>
      </c>
      <c r="AB2" s="39">
        <v>23</v>
      </c>
      <c r="AC2" s="34" t="s">
        <v>192</v>
      </c>
      <c r="AD2" s="39"/>
      <c r="AE2" s="39" t="s">
        <v>135</v>
      </c>
      <c r="AF2" s="39">
        <v>50</v>
      </c>
      <c r="AG2" s="39">
        <v>8.17</v>
      </c>
      <c r="AH2" s="39">
        <v>5.12</v>
      </c>
      <c r="AI2" s="45" t="s">
        <v>190</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25">
      <c r="A3" s="39" t="s">
        <v>184</v>
      </c>
      <c r="B3" s="39">
        <v>2</v>
      </c>
      <c r="C3" s="29">
        <v>43602</v>
      </c>
      <c r="D3" s="43">
        <v>0.45277777777777778</v>
      </c>
      <c r="E3" s="43">
        <v>0.4680555555555555</v>
      </c>
      <c r="F3" s="39" t="s">
        <v>189</v>
      </c>
      <c r="G3" s="39" t="s">
        <v>22</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24</v>
      </c>
      <c r="Z3" s="39" t="s">
        <v>30</v>
      </c>
      <c r="AA3" s="39" t="s">
        <v>38</v>
      </c>
      <c r="AB3" s="39">
        <v>5</v>
      </c>
      <c r="AC3" s="34" t="s">
        <v>193</v>
      </c>
      <c r="AD3" s="39">
        <v>3</v>
      </c>
      <c r="AE3" s="39" t="s">
        <v>135</v>
      </c>
      <c r="AF3" s="39">
        <v>17</v>
      </c>
      <c r="AG3" s="39">
        <v>3.66</v>
      </c>
      <c r="AH3" s="39">
        <v>2</v>
      </c>
      <c r="AI3" s="45" t="s">
        <v>194</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25">
      <c r="A4" s="39" t="s">
        <v>184</v>
      </c>
      <c r="B4" s="39">
        <v>3</v>
      </c>
      <c r="C4" s="29">
        <v>43602</v>
      </c>
      <c r="D4" s="43">
        <v>0.49861111111111112</v>
      </c>
      <c r="E4" s="43">
        <v>0.62013888888888891</v>
      </c>
      <c r="F4" s="39" t="s">
        <v>189</v>
      </c>
      <c r="G4" s="39" t="s">
        <v>22</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25</v>
      </c>
      <c r="Z4" s="39" t="s">
        <v>30</v>
      </c>
      <c r="AA4" s="39" t="s">
        <v>38</v>
      </c>
      <c r="AB4" s="39">
        <v>5</v>
      </c>
      <c r="AC4" s="34" t="s">
        <v>192</v>
      </c>
      <c r="AD4" s="39">
        <v>3</v>
      </c>
      <c r="AE4" s="39" t="s">
        <v>135</v>
      </c>
      <c r="AF4" s="39">
        <v>17</v>
      </c>
      <c r="AG4" s="39">
        <v>3.66</v>
      </c>
      <c r="AH4" s="39">
        <v>2</v>
      </c>
      <c r="AI4" s="45" t="s">
        <v>194</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25">
      <c r="A5" s="39" t="s">
        <v>198</v>
      </c>
      <c r="B5" s="39">
        <v>4</v>
      </c>
      <c r="C5" s="29">
        <v>43605</v>
      </c>
      <c r="D5" s="43">
        <v>0.47013888888888888</v>
      </c>
      <c r="E5" s="43">
        <v>0.62569444444444444</v>
      </c>
      <c r="F5" s="39" t="s">
        <v>189</v>
      </c>
      <c r="G5" s="39" t="s">
        <v>22</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24</v>
      </c>
      <c r="Z5" s="39" t="s">
        <v>28</v>
      </c>
      <c r="AA5" s="39" t="s">
        <v>33</v>
      </c>
      <c r="AB5" s="39">
        <v>1.5</v>
      </c>
      <c r="AC5" s="34" t="s">
        <v>192</v>
      </c>
      <c r="AD5" s="39">
        <v>1.3</v>
      </c>
      <c r="AE5" s="39" t="s">
        <v>137</v>
      </c>
      <c r="AF5" s="39">
        <v>9.2799999999999994</v>
      </c>
      <c r="AG5" s="39">
        <v>23</v>
      </c>
      <c r="AH5" s="39">
        <v>17.8</v>
      </c>
      <c r="AI5" s="45" t="s">
        <v>200</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25">
      <c r="A6" s="39" t="s">
        <v>199</v>
      </c>
      <c r="B6" s="39">
        <v>5</v>
      </c>
      <c r="C6" s="29">
        <v>43605</v>
      </c>
      <c r="D6" s="43">
        <v>0.5</v>
      </c>
      <c r="E6" s="43">
        <v>0.64444444444444449</v>
      </c>
      <c r="F6" s="39" t="s">
        <v>189</v>
      </c>
      <c r="G6" s="39" t="s">
        <v>22</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27</v>
      </c>
      <c r="Z6" s="39" t="s">
        <v>28</v>
      </c>
      <c r="AA6" s="39" t="s">
        <v>39</v>
      </c>
      <c r="AB6" s="39">
        <v>3</v>
      </c>
      <c r="AC6" s="34" t="s">
        <v>192</v>
      </c>
      <c r="AD6" s="39">
        <v>2.1</v>
      </c>
      <c r="AE6" s="39" t="s">
        <v>137</v>
      </c>
      <c r="AF6" s="39">
        <v>22.8</v>
      </c>
      <c r="AG6" s="39">
        <v>9.9700000000000006</v>
      </c>
      <c r="AH6" s="39">
        <v>4.2</v>
      </c>
      <c r="AI6" s="45" t="s">
        <v>201</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25">
      <c r="A7" s="39" t="s">
        <v>185</v>
      </c>
      <c r="B7" s="39">
        <v>6</v>
      </c>
      <c r="C7" s="29">
        <v>43607</v>
      </c>
      <c r="D7" s="43">
        <v>0.44444444444444442</v>
      </c>
      <c r="E7" s="43">
        <v>0.45069444444444445</v>
      </c>
      <c r="F7" s="39" t="s">
        <v>189</v>
      </c>
      <c r="G7" s="39" t="s">
        <v>22</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24</v>
      </c>
      <c r="Z7" s="39" t="s">
        <v>31</v>
      </c>
      <c r="AA7" s="39" t="s">
        <v>33</v>
      </c>
      <c r="AB7" s="39">
        <v>3.95</v>
      </c>
      <c r="AC7" s="34" t="s">
        <v>193</v>
      </c>
      <c r="AD7" s="39"/>
      <c r="AE7" s="39" t="s">
        <v>137</v>
      </c>
      <c r="AF7" s="39">
        <v>30.4</v>
      </c>
      <c r="AG7" s="39">
        <v>16.8</v>
      </c>
      <c r="AH7" s="39">
        <v>0.5</v>
      </c>
      <c r="AI7" s="45" t="s">
        <v>202</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25">
      <c r="A8" s="39" t="s">
        <v>203</v>
      </c>
      <c r="B8" s="39">
        <v>7</v>
      </c>
      <c r="C8" s="29">
        <v>43607</v>
      </c>
      <c r="D8" s="43">
        <v>0.44027777777777777</v>
      </c>
      <c r="E8" s="43">
        <v>0.56458333333333333</v>
      </c>
      <c r="F8" s="39" t="s">
        <v>189</v>
      </c>
      <c r="G8" s="39" t="s">
        <v>22</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27</v>
      </c>
      <c r="Z8" s="39" t="s">
        <v>29</v>
      </c>
      <c r="AA8" s="39" t="s">
        <v>33</v>
      </c>
      <c r="AB8" s="39">
        <v>1.26</v>
      </c>
      <c r="AC8" s="34" t="s">
        <v>192</v>
      </c>
      <c r="AD8" s="39">
        <v>1.5</v>
      </c>
      <c r="AE8" s="39" t="s">
        <v>137</v>
      </c>
      <c r="AF8" s="39">
        <v>14.8</v>
      </c>
      <c r="AG8" s="39">
        <v>9.9700000000000006</v>
      </c>
      <c r="AH8" s="39">
        <v>4.29</v>
      </c>
      <c r="AI8" s="45" t="s">
        <v>204</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25">
      <c r="A9" s="39" t="s">
        <v>205</v>
      </c>
      <c r="B9" s="39">
        <v>8</v>
      </c>
      <c r="C9" s="29">
        <v>43608</v>
      </c>
      <c r="D9" s="43">
        <v>0.47430555555555554</v>
      </c>
      <c r="E9" s="43">
        <v>0.61597222222222225</v>
      </c>
      <c r="F9" s="39" t="s">
        <v>189</v>
      </c>
      <c r="G9" s="39" t="s">
        <v>22</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27</v>
      </c>
      <c r="Z9" s="39" t="s">
        <v>30</v>
      </c>
      <c r="AA9" s="39" t="s">
        <v>35</v>
      </c>
      <c r="AB9" s="39">
        <v>20</v>
      </c>
      <c r="AC9" s="34" t="s">
        <v>193</v>
      </c>
      <c r="AD9" s="39">
        <v>30</v>
      </c>
      <c r="AE9" s="39" t="s">
        <v>137</v>
      </c>
      <c r="AF9" s="39">
        <v>155</v>
      </c>
      <c r="AG9" s="39">
        <v>21.9</v>
      </c>
      <c r="AH9" s="39">
        <v>4.8</v>
      </c>
      <c r="AI9" s="45" t="s">
        <v>206</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25">
      <c r="A10" s="39" t="s">
        <v>207</v>
      </c>
      <c r="B10" s="39">
        <v>9</v>
      </c>
      <c r="C10" s="29">
        <v>43608</v>
      </c>
      <c r="D10" s="43">
        <v>0.44930555555555557</v>
      </c>
      <c r="E10" s="43">
        <v>0.65694444444444444</v>
      </c>
      <c r="F10" s="39" t="s">
        <v>189</v>
      </c>
      <c r="G10" s="39" t="s">
        <v>22</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27</v>
      </c>
      <c r="Z10" s="39" t="s">
        <v>29</v>
      </c>
      <c r="AA10" s="39" t="s">
        <v>34</v>
      </c>
      <c r="AB10" s="39">
        <v>3</v>
      </c>
      <c r="AC10" s="34" t="s">
        <v>192</v>
      </c>
      <c r="AD10" s="39">
        <v>1.1000000000000001</v>
      </c>
      <c r="AE10" s="39" t="s">
        <v>135</v>
      </c>
      <c r="AF10" s="39">
        <v>25.8</v>
      </c>
      <c r="AG10" s="39">
        <v>23.4</v>
      </c>
      <c r="AH10" s="39">
        <v>2.4</v>
      </c>
      <c r="AI10" s="45" t="s">
        <v>208</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25">
      <c r="A11" s="39" t="s">
        <v>196</v>
      </c>
      <c r="B11" s="39">
        <v>10</v>
      </c>
      <c r="C11" s="29">
        <v>43609</v>
      </c>
      <c r="D11" s="43">
        <v>0.48749999999999999</v>
      </c>
      <c r="E11" s="43">
        <v>0.66180555555555554</v>
      </c>
      <c r="F11" s="39" t="s">
        <v>189</v>
      </c>
      <c r="G11" s="39" t="s">
        <v>22</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25</v>
      </c>
      <c r="Z11" s="39" t="s">
        <v>28</v>
      </c>
      <c r="AA11" s="39" t="s">
        <v>33</v>
      </c>
      <c r="AB11" s="39">
        <v>5</v>
      </c>
      <c r="AC11" s="34" t="s">
        <v>192</v>
      </c>
      <c r="AD11" s="39">
        <v>11</v>
      </c>
      <c r="AE11" s="39" t="s">
        <v>137</v>
      </c>
      <c r="AF11" s="39">
        <v>30.7</v>
      </c>
      <c r="AG11" s="39">
        <v>18</v>
      </c>
      <c r="AH11" s="39">
        <v>4.4000000000000004</v>
      </c>
      <c r="AI11" s="45" t="s">
        <v>209</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25">
      <c r="A12" s="39" t="s">
        <v>191</v>
      </c>
      <c r="B12" s="39">
        <v>11</v>
      </c>
      <c r="C12" s="29">
        <v>43613</v>
      </c>
      <c r="D12" s="43">
        <v>0.47013888888888888</v>
      </c>
      <c r="E12" s="43">
        <v>0.48819444444444443</v>
      </c>
      <c r="F12" s="39" t="s">
        <v>189</v>
      </c>
      <c r="G12" s="39" t="s">
        <v>22</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24</v>
      </c>
      <c r="Z12" s="39" t="s">
        <v>29</v>
      </c>
      <c r="AA12" s="39" t="s">
        <v>33</v>
      </c>
      <c r="AB12" s="39">
        <v>3.11</v>
      </c>
      <c r="AC12" s="34" t="s">
        <v>193</v>
      </c>
      <c r="AD12" s="39"/>
      <c r="AE12" s="39" t="s">
        <v>137</v>
      </c>
      <c r="AF12" s="39">
        <v>14</v>
      </c>
      <c r="AG12" s="39">
        <v>14.4</v>
      </c>
      <c r="AH12" s="39">
        <v>3.77</v>
      </c>
      <c r="AI12" s="45" t="s">
        <v>217</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25">
      <c r="A13" s="39" t="s">
        <v>216</v>
      </c>
      <c r="B13" s="39">
        <v>12</v>
      </c>
      <c r="C13" s="29">
        <v>43613</v>
      </c>
      <c r="D13" s="43">
        <v>0.47569444444444442</v>
      </c>
      <c r="E13" s="43">
        <v>0.58819444444444446</v>
      </c>
      <c r="F13" s="39" t="s">
        <v>189</v>
      </c>
      <c r="G13" s="39" t="s">
        <v>22</v>
      </c>
      <c r="H13" s="39">
        <v>1.1499999999999999</v>
      </c>
      <c r="I13" s="39">
        <v>1.1499999999999999</v>
      </c>
      <c r="J13" s="39">
        <v>1.19</v>
      </c>
      <c r="K13" s="39">
        <v>1.05</v>
      </c>
      <c r="L13" s="39">
        <v>1.1599999999999999</v>
      </c>
      <c r="M13" s="39">
        <v>1.05</v>
      </c>
      <c r="N13" s="39" t="b">
        <v>0</v>
      </c>
      <c r="O13" s="39">
        <v>1.03</v>
      </c>
      <c r="P13" s="39" t="b">
        <v>0</v>
      </c>
      <c r="Q13" s="39" t="b">
        <v>0</v>
      </c>
      <c r="R13" s="39" t="b">
        <v>0</v>
      </c>
      <c r="S13" s="39"/>
      <c r="T13" s="39" t="b">
        <v>0</v>
      </c>
      <c r="U13" s="39"/>
      <c r="V13" s="39"/>
      <c r="W13" s="39" t="b">
        <v>0</v>
      </c>
      <c r="X13" s="39" t="b">
        <v>0</v>
      </c>
      <c r="Y13" s="39" t="s">
        <v>25</v>
      </c>
      <c r="Z13" s="39" t="s">
        <v>28</v>
      </c>
      <c r="AA13" s="39" t="s">
        <v>218</v>
      </c>
      <c r="AB13" s="39">
        <v>6.58</v>
      </c>
      <c r="AC13" s="34" t="s">
        <v>192</v>
      </c>
      <c r="AD13" s="39">
        <v>0.89</v>
      </c>
      <c r="AE13" s="39" t="s">
        <v>137</v>
      </c>
      <c r="AF13" s="39">
        <v>17</v>
      </c>
      <c r="AG13" s="39">
        <v>28</v>
      </c>
      <c r="AH13" s="39">
        <v>0.79</v>
      </c>
      <c r="AI13" s="45" t="s">
        <v>219</v>
      </c>
      <c r="AJ13" s="34">
        <f>IF(table2[[#This Row],[Buy/Sell]]="BUY",(table2[[#This Row],[Highest Price]]-table2[[#This Row],[Entry Price]])/(table2[[#This Row],[Intended Entry]]-table2[[#This Row],[SL Price]]),(table2[[#This Row],[Entry Price]]-table2[[#This Row],[Lowest Price]])/(table2[[#This Row],[SL Price]]-table2[[#This Row],[Intended Entry]]))</f>
        <v>2.4999999999999947</v>
      </c>
      <c r="AK13" s="38">
        <f>IF(table2[[#This Row],[Buy/Sell]]="BUY",(table2[[#This Row],[Entry Price]]-table2[[#This Row],[Lowest Price]])/(table2[[#This Row],[SL Price]]-table2[[#This Row],[Intended Entry]]),(table2[[#This Row],[Entry Price]]-table2[[#This Row],[Highest Price]])/(table2[[#This Row],[SL Price]]-table2[[#This Row],[Intended Entry]]))</f>
        <v>-0.25</v>
      </c>
      <c r="AL13" s="41">
        <f>table2[[#This Row],[Exit Time]]-table2[[#This Row],[Entry Time]]</f>
        <v>0.11250000000000004</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f>(IF(table2[[#This Row],[Buy/Sell]]="BUY",(table2[[#This Row],[Entry Price]]-table2[[#This Row],[SL Price]])/(table2[[#This Row],[Intended Entry]]-table2[[#This Row],[SL Price]]),(table2[[#This Row],[SL Price]]-table2[[#This Row],[Entry Price]])/(table2[[#This Row],[SL Price]]-table2[[#This Row],[Intended Entry]])))-1</f>
        <v>0</v>
      </c>
      <c r="AQ13" s="38">
        <f>table2[[#This Row],[Missed RRR on Entry]]</f>
        <v>0</v>
      </c>
      <c r="AR13" s="38">
        <f>ROUND((table2[[#This Row],[Potential Price]]-table2[[#This Row],[Entry Price]])/(table2[[#This Row],[Intended Entry]]-table2[[#This Row],[SL Price]]),4)</f>
        <v>3</v>
      </c>
      <c r="AS13" s="38">
        <f>ROUND((table2[[#This Row],[Potential Price]]-table2[[#This Row],[Intended Entry]])/(table2[[#This Row],[Intended Entry]]-table2[[#This Row],[SL Price]]),4)</f>
        <v>3</v>
      </c>
      <c r="AT13" s="38">
        <f>table2[[#This Row],[RRR Potential]]-table2[[#This Row],[RRR Realized]]</f>
        <v>0.5</v>
      </c>
      <c r="AU13" s="53">
        <f>ROUND((table2[[#This Row],[Exit Price]]-table2[[#This Row],[Entry Price]])/(table2[[#This Row],[Intended Entry]]-table2[[#This Row],[SL Price]]),4)</f>
        <v>2.5</v>
      </c>
      <c r="AV13" s="34">
        <f>IF(AND((table2[[#This Row],[Back to BE]])=TRUE,(table2[[#This Row],[Price Behaviour]])="Fast Reversal"), 0-(table2[[#This Row],[Missed RRR on Entry]]),ROUND((table2[[#This Row],[Exit Price]]-table2[[#This Row],[Entry Price]])/(table2[[#This Row],[Intended Entry]]-table2[[#This Row],[SL Price]]),4))</f>
        <v>2.5</v>
      </c>
      <c r="AW13" s="34">
        <f>IF(AND((table2[[#This Row],[Hard RRR Potential]])&gt;=1,(table2[[#This Row],[Back to BE]])="True",(table2[[#This Row],[Price Behaviour]])="Fast Reversal"), 1-(table2[[#This Row],[Missed RRR on Entry]]),ROUND((table2[[#This Row],[Exit Price]]-table2[[#This Row],[Entry Price]])/(table2[[#This Row],[Intended Entry]]-table2[[#This Row],[SL Price]]),4))</f>
        <v>2.5</v>
      </c>
      <c r="AX13" s="34">
        <f>IF(AND((table2[[#This Row],[Hard RRR Potential]])&gt;=1.5,(table2[[#This Row],[Back to BE]])="True",(table2[[#This Row],[Price Behaviour]])="Fast Reversal"), 1.5-(table2[[#This Row],[Missed RRR on Entry]]),ROUND((table2[[#This Row],[Exit Price]]-table2[[#This Row],[Entry Price]])/(table2[[#This Row],[Intended Entry]]-table2[[#This Row],[SL Price]]),4))</f>
        <v>2.5</v>
      </c>
      <c r="AY13" s="34">
        <f>IF(AND((table2[[#This Row],[Hard RRR Potential]])&gt;=2,(table2[[#This Row],[Back to BE]])="True",(table2[[#This Row],[Price Behaviour]])="Fast Reversal"), 2-(table2[[#This Row],[Missed RRR on Entry]]),ROUND((table2[[#This Row],[Exit Price]]-table2[[#This Row],[Entry Price]])/(table2[[#This Row],[Intended Entry]]-table2[[#This Row],[SL Price]]),4))</f>
        <v>2.5</v>
      </c>
      <c r="AZ13" s="54">
        <f>IF((table2[[#This Row],[Pattern SL]])&lt;&gt;FALSE,((table2[[#This Row],[Pattern SL]])-(table2[[#This Row],[Entry Price]]))/((table2[[#This Row],[Intended Entry]])-(table2[[#This Row],[SL Price]])),ROUND((table2[[#This Row],[Exit Price]]-table2[[#This Row],[Entry Price]])/(table2[[#This Row],[Intended Entry]]-table2[[#This Row],[SL Price]]),4))</f>
        <v>2.5</v>
      </c>
      <c r="BA1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2.5</v>
      </c>
      <c r="BB1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2.5</v>
      </c>
      <c r="BC1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2.5</v>
      </c>
      <c r="BD13"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13"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14" spans="1:57" x14ac:dyDescent="0.25">
      <c r="A14" s="39" t="s">
        <v>207</v>
      </c>
      <c r="B14" s="39">
        <v>13</v>
      </c>
      <c r="C14" s="29">
        <v>43613</v>
      </c>
      <c r="D14" s="43">
        <v>0.4458333333333333</v>
      </c>
      <c r="E14" s="43">
        <v>0.66319444444444442</v>
      </c>
      <c r="F14" s="39" t="s">
        <v>189</v>
      </c>
      <c r="G14" s="39" t="s">
        <v>22</v>
      </c>
      <c r="H14" s="39">
        <v>1.02</v>
      </c>
      <c r="I14" s="39">
        <v>1.02</v>
      </c>
      <c r="J14" s="39">
        <v>1.06</v>
      </c>
      <c r="K14" s="39">
        <v>1.03</v>
      </c>
      <c r="L14" s="39">
        <v>1.05</v>
      </c>
      <c r="M14" s="39">
        <v>0.95</v>
      </c>
      <c r="N14" s="39">
        <v>0.96</v>
      </c>
      <c r="O14" s="39">
        <v>0.95</v>
      </c>
      <c r="P14" s="39" t="b">
        <v>0</v>
      </c>
      <c r="Q14" s="39" t="b">
        <v>0</v>
      </c>
      <c r="R14" s="39" t="b">
        <v>0</v>
      </c>
      <c r="S14" s="39"/>
      <c r="T14" s="39" t="b">
        <v>0</v>
      </c>
      <c r="U14" s="39"/>
      <c r="V14" s="39"/>
      <c r="W14" s="39" t="b">
        <v>0</v>
      </c>
      <c r="X14" s="39" t="b">
        <v>0</v>
      </c>
      <c r="Y14" s="39" t="s">
        <v>27</v>
      </c>
      <c r="Z14" s="39" t="s">
        <v>29</v>
      </c>
      <c r="AA14" s="39" t="s">
        <v>34</v>
      </c>
      <c r="AB14" s="39">
        <v>3</v>
      </c>
      <c r="AC14" s="34" t="s">
        <v>193</v>
      </c>
      <c r="AD14" s="39">
        <v>1.1100000000000001</v>
      </c>
      <c r="AE14" s="39" t="s">
        <v>137</v>
      </c>
      <c r="AF14" s="39">
        <v>6.63</v>
      </c>
      <c r="AG14" s="39">
        <v>22.9</v>
      </c>
      <c r="AH14" s="39">
        <v>2.48</v>
      </c>
      <c r="AI14" s="45"/>
      <c r="AJ14" s="34">
        <f>IF(table2[[#This Row],[Buy/Sell]]="BUY",(table2[[#This Row],[Highest Price]]-table2[[#This Row],[Entry Price]])/(table2[[#This Row],[Intended Entry]]-table2[[#This Row],[SL Price]]),(table2[[#This Row],[Entry Price]]-table2[[#This Row],[Lowest Price]])/(table2[[#This Row],[SL Price]]-table2[[#This Row],[Intended Entry]]))</f>
        <v>1.75</v>
      </c>
      <c r="AK14" s="38">
        <f>IF(table2[[#This Row],[Buy/Sell]]="BUY",(table2[[#This Row],[Entry Price]]-table2[[#This Row],[Lowest Price]])/(table2[[#This Row],[SL Price]]-table2[[#This Row],[Intended Entry]]),(table2[[#This Row],[Entry Price]]-table2[[#This Row],[Highest Price]])/(table2[[#This Row],[SL Price]]-table2[[#This Row],[Intended Entry]]))</f>
        <v>-0.75</v>
      </c>
      <c r="AL14" s="41">
        <f>table2[[#This Row],[Exit Time]]-table2[[#This Row],[Entry Time]]</f>
        <v>0.21736111111111112</v>
      </c>
      <c r="AM14" s="38" t="str">
        <f>IF(table2[[#This Row],[Retest Price]]&lt;&gt;FALSE,ROUND((table2[[#This Row],[Retest Price]]-table2[[#This Row],[Entry Price]])/(table2[[#This Row],[Intended Entry]]-table2[[#This Row],[SL Price]]),4), "FALSE")</f>
        <v>FALSE</v>
      </c>
      <c r="AN14" s="34">
        <f>232</f>
        <v>232</v>
      </c>
      <c r="AO14" s="34">
        <f>IF(table2[[#This Row],[Price Before BE]]=FALSE,"FALSE",( table2[[#This Row],[Price Before BE]]-table2[[#This Row],[Intended Entry]])/(table2[[#This Row],[Intended Entry]]-table2[[#This Row],[SL Price]]))</f>
        <v>1.5</v>
      </c>
      <c r="AP14" s="34">
        <f>(IF(table2[[#This Row],[Buy/Sell]]="BUY",(table2[[#This Row],[Entry Price]]-table2[[#This Row],[SL Price]])/(table2[[#This Row],[Intended Entry]]-table2[[#This Row],[SL Price]]),(table2[[#This Row],[SL Price]]-table2[[#This Row],[Entry Price]])/(table2[[#This Row],[SL Price]]-table2[[#This Row],[Intended Entry]])))-1</f>
        <v>0</v>
      </c>
      <c r="AQ14" s="38">
        <f>table2[[#This Row],[Missed RRR on Entry]]</f>
        <v>0</v>
      </c>
      <c r="AR14" s="38">
        <f>ROUND((table2[[#This Row],[Potential Price]]-table2[[#This Row],[Entry Price]])/(table2[[#This Row],[Intended Entry]]-table2[[#This Row],[SL Price]]),4)</f>
        <v>1.75</v>
      </c>
      <c r="AS14" s="38">
        <f>ROUND((table2[[#This Row],[Potential Price]]-table2[[#This Row],[Intended Entry]])/(table2[[#This Row],[Intended Entry]]-table2[[#This Row],[SL Price]]),4)</f>
        <v>1.75</v>
      </c>
      <c r="AT14" s="38">
        <f>table2[[#This Row],[RRR Potential]]-table2[[#This Row],[RRR Realized]]</f>
        <v>2</v>
      </c>
      <c r="AU14" s="53">
        <f>ROUND((table2[[#This Row],[Exit Price]]-table2[[#This Row],[Entry Price]])/(table2[[#This Row],[Intended Entry]]-table2[[#This Row],[SL Price]]),4)</f>
        <v>-0.25</v>
      </c>
      <c r="AV14" s="34">
        <f>IF(AND((table2[[#This Row],[Back to BE]])=TRUE,(table2[[#This Row],[Price Behaviour]])="Fast Reversal"), 0-(table2[[#This Row],[Missed RRR on Entry]]),ROUND((table2[[#This Row],[Exit Price]]-table2[[#This Row],[Entry Price]])/(table2[[#This Row],[Intended Entry]]-table2[[#This Row],[SL Price]]),4))</f>
        <v>-0.25</v>
      </c>
      <c r="AW14" s="34">
        <f>IF(AND((table2[[#This Row],[Hard RRR Potential]])&gt;=1,(table2[[#This Row],[Back to BE]])="True",(table2[[#This Row],[Price Behaviour]])="Fast Reversal"), 1-(table2[[#This Row],[Missed RRR on Entry]]),ROUND((table2[[#This Row],[Exit Price]]-table2[[#This Row],[Entry Price]])/(table2[[#This Row],[Intended Entry]]-table2[[#This Row],[SL Price]]),4))</f>
        <v>-0.25</v>
      </c>
      <c r="AX14" s="34">
        <f>IF(AND((table2[[#This Row],[Hard RRR Potential]])&gt;=1.5,(table2[[#This Row],[Back to BE]])="True",(table2[[#This Row],[Price Behaviour]])="Fast Reversal"), 1.5-(table2[[#This Row],[Missed RRR on Entry]]),ROUND((table2[[#This Row],[Exit Price]]-table2[[#This Row],[Entry Price]])/(table2[[#This Row],[Intended Entry]]-table2[[#This Row],[SL Price]]),4))</f>
        <v>-0.25</v>
      </c>
      <c r="AY14" s="34">
        <f>IF(AND((table2[[#This Row],[Hard RRR Potential]])&gt;=2,(table2[[#This Row],[Back to BE]])="True",(table2[[#This Row],[Price Behaviour]])="Fast Reversal"), 2-(table2[[#This Row],[Missed RRR on Entry]]),ROUND((table2[[#This Row],[Exit Price]]-table2[[#This Row],[Entry Price]])/(table2[[#This Row],[Intended Entry]]-table2[[#This Row],[SL Price]]),4))</f>
        <v>-0.25</v>
      </c>
      <c r="AZ14" s="54">
        <f>IF((table2[[#This Row],[Pattern SL]])&lt;&gt;FALSE,((table2[[#This Row],[Pattern SL]])-(table2[[#This Row],[Entry Price]]))/((table2[[#This Row],[Intended Entry]])-(table2[[#This Row],[SL Price]])),ROUND((table2[[#This Row],[Exit Price]]-table2[[#This Row],[Entry Price]])/(table2[[#This Row],[Intended Entry]]-table2[[#This Row],[SL Price]]),4))</f>
        <v>-0.25</v>
      </c>
      <c r="BA1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-0.25</v>
      </c>
      <c r="BB1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-0.25</v>
      </c>
      <c r="BC1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-0.25</v>
      </c>
      <c r="BD14" s="34">
        <f>IF(OR(AND(table2[[#This Row],[Hard RRR Potential]]&gt;=2.5,table2[[#This Row],[Volume Exit]]=FALSE,table2[[#This Row],[Wick Exit]]=FALSE),AND(table2[[#This Row],[Hard RRR Potential]]&gt;=2.5,table2[[#This Row],[Volume Exit RRR Reach]]&gt;=2.5,table2[[#This Row],[Wick Exit]]=FALSE)), 2.5-table2[[#This Row],[Missed RRR on Entry]],table2[[#This Row],[RRR Realized]])</f>
        <v>-0.25</v>
      </c>
      <c r="BE14" s="34">
        <f>IF(OR(AND(table2[[#This Row],[Hard RRR Potential]]&gt;=3,table2[[#This Row],[Volume Exit]]=FALSE,table2[[#This Row],[Wick Exit]]=FALSE),AND(table2[[#This Row],[Hard RRR Potential]]&gt;=3,table2[[#This Row],[Volume Exit RRR Reach]]&gt;=3,table2[[#This Row],[Wick Exit]]=FALSE)), 3-table2[[#This Row],[Missed RRR on Entry]],table2[[#This Row],[RRR Realized]])</f>
        <v>-0.25</v>
      </c>
    </row>
    <row r="15" spans="1:57" x14ac:dyDescent="0.25">
      <c r="A15" s="39" t="s">
        <v>230</v>
      </c>
      <c r="B15" s="39">
        <v>14</v>
      </c>
      <c r="C15" s="29">
        <v>43614</v>
      </c>
      <c r="D15" s="43">
        <v>0.46458333333333335</v>
      </c>
      <c r="E15" s="43">
        <v>0.51736111111111105</v>
      </c>
      <c r="F15" s="39" t="s">
        <v>189</v>
      </c>
      <c r="G15" s="39" t="s">
        <v>22</v>
      </c>
      <c r="H15" s="39">
        <v>9.34</v>
      </c>
      <c r="I15" s="39">
        <v>9.34</v>
      </c>
      <c r="J15" s="39">
        <v>9.44</v>
      </c>
      <c r="K15" s="39">
        <v>9.44</v>
      </c>
      <c r="L15" s="39">
        <v>9.44</v>
      </c>
      <c r="M15" s="39">
        <v>9.2100000000000009</v>
      </c>
      <c r="N15" s="39">
        <v>9.2100000000000009</v>
      </c>
      <c r="O15" s="39">
        <v>9.2100000000000009</v>
      </c>
      <c r="P15" s="39" t="b">
        <v>0</v>
      </c>
      <c r="Q15" s="39" t="b">
        <v>0</v>
      </c>
      <c r="R15" s="39" t="b">
        <v>0</v>
      </c>
      <c r="S15" s="39"/>
      <c r="T15" s="39" t="b">
        <v>0</v>
      </c>
      <c r="U15" s="39"/>
      <c r="V15" s="39"/>
      <c r="W15" s="39" t="b">
        <v>0</v>
      </c>
      <c r="X15" s="39" t="b">
        <v>0</v>
      </c>
      <c r="Y15" s="39" t="s">
        <v>25</v>
      </c>
      <c r="Z15" s="39" t="s">
        <v>30</v>
      </c>
      <c r="AA15" s="39" t="s">
        <v>34</v>
      </c>
      <c r="AB15" s="39">
        <v>2</v>
      </c>
      <c r="AC15" s="34" t="s">
        <v>193</v>
      </c>
      <c r="AD15" s="39"/>
      <c r="AE15" s="39" t="s">
        <v>137</v>
      </c>
      <c r="AF15" s="39">
        <v>6.52</v>
      </c>
      <c r="AG15" s="39">
        <v>12.42</v>
      </c>
      <c r="AH15" s="39">
        <v>52</v>
      </c>
      <c r="AI15" s="45" t="s">
        <v>231</v>
      </c>
      <c r="AJ15" s="34">
        <f>IF(table2[[#This Row],[Buy/Sell]]="BUY",(table2[[#This Row],[Highest Price]]-table2[[#This Row],[Entry Price]])/(table2[[#This Row],[Intended Entry]]-table2[[#This Row],[SL Price]]),(table2[[#This Row],[Entry Price]]-table2[[#This Row],[Lowest Price]])/(table2[[#This Row],[SL Price]]-table2[[#This Row],[Intended Entry]]))</f>
        <v>1.2999999999999947</v>
      </c>
      <c r="AK15" s="38">
        <f>IF(table2[[#This Row],[Buy/Sell]]="BUY",(table2[[#This Row],[Entry Price]]-table2[[#This Row],[Lowest Price]])/(table2[[#This Row],[SL Price]]-table2[[#This Row],[Intended Entry]]),(table2[[#This Row],[Entry Price]]-table2[[#This Row],[Highest Price]])/(table2[[#This Row],[SL Price]]-table2[[#This Row],[Intended Entry]]))</f>
        <v>-1</v>
      </c>
      <c r="AL15" s="41">
        <f>table2[[#This Row],[Exit Time]]-table2[[#This Row],[Entry Time]]</f>
        <v>5.2777777777777701E-2</v>
      </c>
      <c r="AM15" s="38" t="str">
        <f>IF(table2[[#This Row],[Retest Price]]&lt;&gt;FALSE,ROUND((table2[[#This Row],[Retest Price]]-table2[[#This Row],[Entry Price]])/(table2[[#This Row],[Intended Entry]]-table2[[#This Row],[SL Price]]),4), "FALSE")</f>
        <v>FALSE</v>
      </c>
      <c r="AN15" s="34">
        <f>232</f>
        <v>232</v>
      </c>
      <c r="AO15" s="34">
        <f>IF(table2[[#This Row],[Price Before BE]]=FALSE,"FALSE",( table2[[#This Row],[Price Before BE]]-table2[[#This Row],[Intended Entry]])/(table2[[#This Row],[Intended Entry]]-table2[[#This Row],[SL Price]]))</f>
        <v>1.2999999999999947</v>
      </c>
      <c r="AP15" s="34">
        <f>(IF(table2[[#This Row],[Buy/Sell]]="BUY",(table2[[#This Row],[Entry Price]]-table2[[#This Row],[SL Price]])/(table2[[#This Row],[Intended Entry]]-table2[[#This Row],[SL Price]]),(table2[[#This Row],[SL Price]]-table2[[#This Row],[Entry Price]])/(table2[[#This Row],[SL Price]]-table2[[#This Row],[Intended Entry]])))-1</f>
        <v>0</v>
      </c>
      <c r="AQ15" s="38">
        <f>table2[[#This Row],[Missed RRR on Entry]]</f>
        <v>0</v>
      </c>
      <c r="AR15" s="38">
        <f>ROUND((table2[[#This Row],[Potential Price]]-table2[[#This Row],[Entry Price]])/(table2[[#This Row],[Intended Entry]]-table2[[#This Row],[SL Price]]),4)</f>
        <v>1.3</v>
      </c>
      <c r="AS15" s="38">
        <f>ROUND((table2[[#This Row],[Potential Price]]-table2[[#This Row],[Intended Entry]])/(table2[[#This Row],[Intended Entry]]-table2[[#This Row],[SL Price]]),4)</f>
        <v>1.3</v>
      </c>
      <c r="AT15" s="38">
        <f>table2[[#This Row],[RRR Potential]]-table2[[#This Row],[RRR Realized]]</f>
        <v>2.2999999999999998</v>
      </c>
      <c r="AU15" s="53">
        <f>ROUND((table2[[#This Row],[Exit Price]]-table2[[#This Row],[Entry Price]])/(table2[[#This Row],[Intended Entry]]-table2[[#This Row],[SL Price]]),4)</f>
        <v>-1</v>
      </c>
      <c r="AV15" s="34">
        <f>IF(AND((table2[[#This Row],[Back to BE]])=TRUE,(table2[[#This Row],[Price Behaviour]])="Fast Reversal"), 0-(table2[[#This Row],[Missed RRR on Entry]]),ROUND((table2[[#This Row],[Exit Price]]-table2[[#This Row],[Entry Price]])/(table2[[#This Row],[Intended Entry]]-table2[[#This Row],[SL Price]]),4))</f>
        <v>-1</v>
      </c>
      <c r="AW15" s="34">
        <f>IF(AND((table2[[#This Row],[Hard RRR Potential]])&gt;=1,(table2[[#This Row],[Back to BE]])="True",(table2[[#This Row],[Price Behaviour]])="Fast Reversal"), 1-(table2[[#This Row],[Missed RRR on Entry]]),ROUND((table2[[#This Row],[Exit Price]]-table2[[#This Row],[Entry Price]])/(table2[[#This Row],[Intended Entry]]-table2[[#This Row],[SL Price]]),4))</f>
        <v>-1</v>
      </c>
      <c r="AX15" s="34">
        <f>IF(AND((table2[[#This Row],[Hard RRR Potential]])&gt;=1.5,(table2[[#This Row],[Back to BE]])="True",(table2[[#This Row],[Price Behaviour]])="Fast Reversal"), 1.5-(table2[[#This Row],[Missed RRR on Entry]]),ROUND((table2[[#This Row],[Exit Price]]-table2[[#This Row],[Entry Price]])/(table2[[#This Row],[Intended Entry]]-table2[[#This Row],[SL Price]]),4))</f>
        <v>-1</v>
      </c>
      <c r="AY15" s="34">
        <f>IF(AND((table2[[#This Row],[Hard RRR Potential]])&gt;=2,(table2[[#This Row],[Back to BE]])="True",(table2[[#This Row],[Price Behaviour]])="Fast Reversal"), 2-(table2[[#This Row],[Missed RRR on Entry]]),ROUND((table2[[#This Row],[Exit Price]]-table2[[#This Row],[Entry Price]])/(table2[[#This Row],[Intended Entry]]-table2[[#This Row],[SL Price]]),4))</f>
        <v>-1</v>
      </c>
      <c r="AZ15" s="54">
        <f>IF((table2[[#This Row],[Pattern SL]])&lt;&gt;FALSE,((table2[[#This Row],[Pattern SL]])-(table2[[#This Row],[Entry Price]]))/((table2[[#This Row],[Intended Entry]])-(table2[[#This Row],[SL Price]])),ROUND((table2[[#This Row],[Exit Price]]-table2[[#This Row],[Entry Price]])/(table2[[#This Row],[Intended Entry]]-table2[[#This Row],[SL Price]]),4))</f>
        <v>-1</v>
      </c>
      <c r="BA1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5"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5"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6" spans="1:57" x14ac:dyDescent="0.25">
      <c r="A16" s="39" t="s">
        <v>224</v>
      </c>
      <c r="B16" s="39">
        <v>15</v>
      </c>
      <c r="C16" s="29">
        <v>43614</v>
      </c>
      <c r="D16" s="43">
        <v>0.42083333333333334</v>
      </c>
      <c r="E16" s="43">
        <v>0.42708333333333331</v>
      </c>
      <c r="F16" s="39" t="s">
        <v>189</v>
      </c>
      <c r="G16" s="39" t="s">
        <v>22</v>
      </c>
      <c r="H16" s="39">
        <v>0.8</v>
      </c>
      <c r="I16" s="39">
        <v>0.8</v>
      </c>
      <c r="J16" s="39">
        <v>0.85</v>
      </c>
      <c r="K16" s="39">
        <v>0.85</v>
      </c>
      <c r="L16" s="39">
        <v>0.85</v>
      </c>
      <c r="M16" s="39">
        <v>0.75</v>
      </c>
      <c r="N16" s="39">
        <v>0.75</v>
      </c>
      <c r="O16" s="39">
        <v>0.75</v>
      </c>
      <c r="P16" s="39" t="b">
        <v>0</v>
      </c>
      <c r="Q16" s="39" t="b">
        <v>0</v>
      </c>
      <c r="R16" s="39" t="b">
        <v>0</v>
      </c>
      <c r="S16" s="39" t="b">
        <v>0</v>
      </c>
      <c r="T16" s="39" t="b">
        <v>0</v>
      </c>
      <c r="U16" s="39"/>
      <c r="V16" s="39"/>
      <c r="W16" s="39" t="b">
        <v>0</v>
      </c>
      <c r="X16" s="39" t="b">
        <v>0</v>
      </c>
      <c r="Y16" s="39" t="s">
        <v>24</v>
      </c>
      <c r="Z16" s="39" t="s">
        <v>30</v>
      </c>
      <c r="AA16" s="39" t="s">
        <v>38</v>
      </c>
      <c r="AB16" s="39">
        <v>36</v>
      </c>
      <c r="AC16" s="34" t="s">
        <v>193</v>
      </c>
      <c r="AD16" s="39"/>
      <c r="AE16" s="39" t="s">
        <v>137</v>
      </c>
      <c r="AF16" s="39">
        <v>60</v>
      </c>
      <c r="AG16" s="39">
        <v>27</v>
      </c>
      <c r="AH16" s="39">
        <v>0.4</v>
      </c>
      <c r="AI16" s="45" t="s">
        <v>232</v>
      </c>
      <c r="AJ16" s="34">
        <f>IF(table2[[#This Row],[Buy/Sell]]="BUY",(table2[[#This Row],[Highest Price]]-table2[[#This Row],[Entry Price]])/(table2[[#This Row],[Intended Entry]]-table2[[#This Row],[SL Price]]),(table2[[#This Row],[Entry Price]]-table2[[#This Row],[Lowest Price]])/(table2[[#This Row],[SL Price]]-table2[[#This Row],[Intended Entry]]))</f>
        <v>1.0000000000000022</v>
      </c>
      <c r="AK16" s="38">
        <f>IF(table2[[#This Row],[Buy/Sell]]="BUY",(table2[[#This Row],[Entry Price]]-table2[[#This Row],[Lowest Price]])/(table2[[#This Row],[SL Price]]-table2[[#This Row],[Intended Entry]]),(table2[[#This Row],[Entry Price]]-table2[[#This Row],[Highest Price]])/(table2[[#This Row],[SL Price]]-table2[[#This Row],[Intended Entry]]))</f>
        <v>-1</v>
      </c>
      <c r="AL16" s="41">
        <f>table2[[#This Row],[Exit Time]]-table2[[#This Row],[Entry Time]]</f>
        <v>6.2499999999999778E-3</v>
      </c>
      <c r="AM16" s="38" t="str">
        <f>IF(table2[[#This Row],[Retest Price]]&lt;&gt;FALSE,ROUND((table2[[#This Row],[Retest Price]]-table2[[#This Row],[Entry Price]])/(table2[[#This Row],[Intended Entry]]-table2[[#This Row],[SL Price]]),4), "FALSE")</f>
        <v>FALSE</v>
      </c>
      <c r="AN16" s="34">
        <f>232</f>
        <v>232</v>
      </c>
      <c r="AO16" s="34">
        <f>IF(table2[[#This Row],[Price Before BE]]=FALSE,"FALSE",( table2[[#This Row],[Price Before BE]]-table2[[#This Row],[Intended Entry]])/(table2[[#This Row],[Intended Entry]]-table2[[#This Row],[SL Price]]))</f>
        <v>1.0000000000000022</v>
      </c>
      <c r="AP16" s="34">
        <f>(IF(table2[[#This Row],[Buy/Sell]]="BUY",(table2[[#This Row],[Entry Price]]-table2[[#This Row],[SL Price]])/(table2[[#This Row],[Intended Entry]]-table2[[#This Row],[SL Price]]),(table2[[#This Row],[SL Price]]-table2[[#This Row],[Entry Price]])/(table2[[#This Row],[SL Price]]-table2[[#This Row],[Intended Entry]])))-1</f>
        <v>0</v>
      </c>
      <c r="AQ16" s="38">
        <f>table2[[#This Row],[Missed RRR on Entry]]</f>
        <v>0</v>
      </c>
      <c r="AR16" s="38">
        <f>ROUND((table2[[#This Row],[Potential Price]]-table2[[#This Row],[Entry Price]])/(table2[[#This Row],[Intended Entry]]-table2[[#This Row],[SL Price]]),4)</f>
        <v>1</v>
      </c>
      <c r="AS16" s="38">
        <f>ROUND((table2[[#This Row],[Potential Price]]-table2[[#This Row],[Intended Entry]])/(table2[[#This Row],[Intended Entry]]-table2[[#This Row],[SL Price]]),4)</f>
        <v>1</v>
      </c>
      <c r="AT16" s="38">
        <f>table2[[#This Row],[RRR Potential]]-table2[[#This Row],[RRR Realized]]</f>
        <v>2</v>
      </c>
      <c r="AU16" s="53">
        <f>ROUND((table2[[#This Row],[Exit Price]]-table2[[#This Row],[Entry Price]])/(table2[[#This Row],[Intended Entry]]-table2[[#This Row],[SL Price]]),4)</f>
        <v>-1</v>
      </c>
      <c r="AV16" s="34">
        <f>IF(AND((table2[[#This Row],[Back to BE]])=TRUE,(table2[[#This Row],[Price Behaviour]])="Fast Reversal"), 0-(table2[[#This Row],[Missed RRR on Entry]]),ROUND((table2[[#This Row],[Exit Price]]-table2[[#This Row],[Entry Price]])/(table2[[#This Row],[Intended Entry]]-table2[[#This Row],[SL Price]]),4))</f>
        <v>-1</v>
      </c>
      <c r="AW16" s="34">
        <f>IF(AND((table2[[#This Row],[Hard RRR Potential]])&gt;=1,(table2[[#This Row],[Back to BE]])="True",(table2[[#This Row],[Price Behaviour]])="Fast Reversal"), 1-(table2[[#This Row],[Missed RRR on Entry]]),ROUND((table2[[#This Row],[Exit Price]]-table2[[#This Row],[Entry Price]])/(table2[[#This Row],[Intended Entry]]-table2[[#This Row],[SL Price]]),4))</f>
        <v>-1</v>
      </c>
      <c r="AX16" s="34">
        <f>IF(AND((table2[[#This Row],[Hard RRR Potential]])&gt;=1.5,(table2[[#This Row],[Back to BE]])="True",(table2[[#This Row],[Price Behaviour]])="Fast Reversal"), 1.5-(table2[[#This Row],[Missed RRR on Entry]]),ROUND((table2[[#This Row],[Exit Price]]-table2[[#This Row],[Entry Price]])/(table2[[#This Row],[Intended Entry]]-table2[[#This Row],[SL Price]]),4))</f>
        <v>-1</v>
      </c>
      <c r="AY16" s="34">
        <f>IF(AND((table2[[#This Row],[Hard RRR Potential]])&gt;=2,(table2[[#This Row],[Back to BE]])="True",(table2[[#This Row],[Price Behaviour]])="Fast Reversal"), 2-(table2[[#This Row],[Missed RRR on Entry]]),ROUND((table2[[#This Row],[Exit Price]]-table2[[#This Row],[Entry Price]])/(table2[[#This Row],[Intended Entry]]-table2[[#This Row],[SL Price]]),4))</f>
        <v>-1</v>
      </c>
      <c r="AZ16" s="54">
        <f>IF((table2[[#This Row],[Pattern SL]])&lt;&gt;FALSE,((table2[[#This Row],[Pattern SL]])-(table2[[#This Row],[Entry Price]]))/((table2[[#This Row],[Intended Entry]])-(table2[[#This Row],[SL Price]])),ROUND((table2[[#This Row],[Exit Price]]-table2[[#This Row],[Entry Price]])/(table2[[#This Row],[Intended Entry]]-table2[[#This Row],[SL Price]]),4))</f>
        <v>-1</v>
      </c>
      <c r="BA1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6"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sheetData>
  <dataValidations count="2">
    <dataValidation type="time" allowBlank="1" showInputMessage="1" showErrorMessage="1" sqref="D1:E16" xr:uid="{4D2BB0C8-D7F1-4AAD-9AC5-FC2048FB1ECF}">
      <formula1>0.395138888888889</formula1>
      <formula2>0.667361111111111</formula2>
    </dataValidation>
    <dataValidation type="textLength" allowBlank="1" showInputMessage="1" showErrorMessage="1" sqref="A1:A16"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 ref="AI13" r:id="rId12" xr:uid="{27C0D8BA-1CEC-4181-99D8-53AF513D5796}"/>
    <hyperlink ref="AI15" r:id="rId13" xr:uid="{B91C5093-E808-41D4-8035-83EDE67AF635}"/>
    <hyperlink ref="AI16" r:id="rId14" xr:uid="{B2280189-4CFA-4F65-B321-EBE1A0B75FB4}"/>
  </hyperlinks>
  <pageMargins left="0.7" right="0.7" top="0.75" bottom="0.75" header="0.3" footer="0.3"/>
  <pageSetup orientation="portrait" r:id="rId15"/>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topLeftCell="J1" workbookViewId="0">
      <selection activeCell="C3" sqref="C3"/>
    </sheetView>
  </sheetViews>
  <sheetFormatPr defaultRowHeight="15" x14ac:dyDescent="0.25"/>
  <cols>
    <col min="1" max="1" width="19" bestFit="1" customWidth="1"/>
    <col min="2" max="2" width="16.7109375" bestFit="1" customWidth="1"/>
    <col min="3" max="3" width="15.140625" bestFit="1" customWidth="1"/>
    <col min="4" max="4" width="29" bestFit="1" customWidth="1"/>
    <col min="5" max="5" width="28" bestFit="1" customWidth="1"/>
    <col min="6" max="6" width="13.7109375" bestFit="1" customWidth="1"/>
    <col min="7" max="7" width="11.28515625" bestFit="1" customWidth="1"/>
    <col min="8" max="8" width="25.42578125" bestFit="1" customWidth="1"/>
    <col min="9" max="9" width="28" bestFit="1" customWidth="1"/>
    <col min="10" max="11" width="30.7109375" bestFit="1" customWidth="1"/>
    <col min="12" max="12" width="32.28515625" bestFit="1" customWidth="1"/>
    <col min="13" max="13" width="30.7109375" bestFit="1" customWidth="1"/>
    <col min="14" max="15" width="32.28515625" bestFit="1" customWidth="1"/>
    <col min="16" max="16" width="34" bestFit="1" customWidth="1"/>
    <col min="17" max="17" width="32.28515625" bestFit="1" customWidth="1"/>
    <col min="18" max="18" width="34.42578125" bestFit="1" customWidth="1"/>
    <col min="19" max="19" width="36.5703125" bestFit="1" customWidth="1"/>
    <col min="20" max="20" width="38.28515625" bestFit="1" customWidth="1"/>
    <col min="21" max="21" width="28.28515625" bestFit="1" customWidth="1"/>
    <col min="22" max="22" width="30.5703125" bestFit="1" customWidth="1"/>
    <col min="23" max="23" width="32.140625" bestFit="1" customWidth="1"/>
    <col min="24" max="24" width="28.28515625" bestFit="1" customWidth="1"/>
    <col min="25" max="25" width="30.5703125" bestFit="1" customWidth="1"/>
    <col min="26" max="26" width="32.140625" bestFit="1" customWidth="1"/>
    <col min="27" max="27" width="23.5703125" bestFit="1" customWidth="1"/>
    <col min="28" max="28" width="25.7109375" bestFit="1" customWidth="1"/>
    <col min="29" max="29" width="27.28515625" bestFit="1" customWidth="1"/>
    <col min="30" max="30" width="23.5703125" bestFit="1" customWidth="1"/>
    <col min="31" max="31" width="25.7109375" bestFit="1" customWidth="1"/>
    <col min="32" max="32" width="27.28515625" bestFit="1" customWidth="1"/>
    <col min="33" max="33" width="23" bestFit="1" customWidth="1"/>
    <col min="34" max="34" width="25.140625" bestFit="1" customWidth="1"/>
    <col min="35" max="35" width="27.28515625" bestFit="1" customWidth="1"/>
    <col min="36" max="36" width="17.7109375" bestFit="1" customWidth="1"/>
    <col min="37" max="37" width="20.28515625" bestFit="1" customWidth="1"/>
    <col min="38" max="38" width="22" bestFit="1" customWidth="1"/>
    <col min="39" max="39" width="21.140625" bestFit="1" customWidth="1"/>
    <col min="40" max="40" width="23.7109375" bestFit="1" customWidth="1"/>
    <col min="41" max="41" width="25.42578125" bestFit="1" customWidth="1"/>
    <col min="42" max="42" width="21.140625" bestFit="1" customWidth="1"/>
    <col min="43" max="43" width="23.7109375" bestFit="1" customWidth="1"/>
    <col min="44" max="44" width="25.42578125" bestFit="1" customWidth="1"/>
    <col min="45" max="45" width="26.7109375" bestFit="1" customWidth="1"/>
    <col min="46" max="46" width="22.42578125" bestFit="1" customWidth="1"/>
    <col min="47" max="47" width="25" bestFit="1" customWidth="1"/>
    <col min="48" max="48" width="26.7109375" bestFit="1" customWidth="1"/>
  </cols>
  <sheetData>
    <row r="3" spans="1:17" x14ac:dyDescent="0.25">
      <c r="A3" t="s">
        <v>105</v>
      </c>
      <c r="B3" t="s">
        <v>182</v>
      </c>
      <c r="C3" t="s">
        <v>183</v>
      </c>
      <c r="D3" t="s">
        <v>181</v>
      </c>
    </row>
    <row r="4" spans="1:17" x14ac:dyDescent="0.25">
      <c r="A4" s="4">
        <v>2.75</v>
      </c>
      <c r="B4" s="4">
        <v>1.55</v>
      </c>
      <c r="C4" s="4">
        <v>2.2999999999999998</v>
      </c>
      <c r="D4" s="4">
        <v>2.75</v>
      </c>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10" spans="1:17" x14ac:dyDescent="0.25">
      <c r="A10" s="16" t="s">
        <v>94</v>
      </c>
      <c r="B10" t="s">
        <v>125</v>
      </c>
      <c r="C10" t="s">
        <v>122</v>
      </c>
      <c r="D10" t="s">
        <v>124</v>
      </c>
      <c r="F10" s="16" t="s">
        <v>94</v>
      </c>
      <c r="G10" t="s">
        <v>125</v>
      </c>
      <c r="H10" t="s">
        <v>122</v>
      </c>
      <c r="I10" t="s">
        <v>124</v>
      </c>
    </row>
    <row r="11" spans="1:17" x14ac:dyDescent="0.25">
      <c r="A11" s="18" t="s">
        <v>28</v>
      </c>
      <c r="B11" s="4">
        <v>2</v>
      </c>
      <c r="C11" s="4">
        <v>1.875</v>
      </c>
      <c r="D11" s="4">
        <v>-0.91249999999999898</v>
      </c>
      <c r="F11" s="18" t="s">
        <v>24</v>
      </c>
      <c r="G11" s="4">
        <v>3</v>
      </c>
      <c r="H11" s="4">
        <v>9.9999999999999992E-2</v>
      </c>
      <c r="I11" s="4">
        <v>-1.0416666666666659</v>
      </c>
    </row>
    <row r="12" spans="1:17" x14ac:dyDescent="0.25">
      <c r="A12" s="28" t="s">
        <v>24</v>
      </c>
      <c r="B12" s="4">
        <v>1</v>
      </c>
      <c r="C12" s="4">
        <v>0.3</v>
      </c>
      <c r="D12" s="4">
        <v>-1.0999999999999979</v>
      </c>
      <c r="F12" s="28" t="s">
        <v>28</v>
      </c>
      <c r="G12" s="4">
        <v>1</v>
      </c>
      <c r="H12" s="4">
        <v>0.3</v>
      </c>
      <c r="I12" s="4">
        <v>-1.0999999999999979</v>
      </c>
    </row>
    <row r="13" spans="1:17" x14ac:dyDescent="0.25">
      <c r="A13" s="28" t="s">
        <v>25</v>
      </c>
      <c r="B13" s="4">
        <v>1</v>
      </c>
      <c r="C13" s="4">
        <v>3.45</v>
      </c>
      <c r="D13" s="4">
        <v>-0.72499999999999998</v>
      </c>
      <c r="F13" s="28" t="s">
        <v>31</v>
      </c>
      <c r="G13" s="4">
        <v>2</v>
      </c>
      <c r="H13" s="4">
        <v>0</v>
      </c>
      <c r="I13" s="4">
        <v>-1.0125</v>
      </c>
    </row>
    <row r="14" spans="1:17" x14ac:dyDescent="0.25">
      <c r="A14" s="18" t="s">
        <v>30</v>
      </c>
      <c r="B14" s="4">
        <v>1</v>
      </c>
      <c r="C14" s="4">
        <v>2.75</v>
      </c>
      <c r="D14" s="4">
        <v>-0.875</v>
      </c>
      <c r="F14" s="18" t="s">
        <v>25</v>
      </c>
      <c r="G14" s="4">
        <v>1</v>
      </c>
      <c r="H14" s="4">
        <v>3.45</v>
      </c>
      <c r="I14" s="4">
        <v>-0.72499999999999998</v>
      </c>
    </row>
    <row r="15" spans="1:17" x14ac:dyDescent="0.25">
      <c r="A15" s="28" t="s">
        <v>245</v>
      </c>
      <c r="B15" s="4">
        <v>1</v>
      </c>
      <c r="C15" s="4">
        <v>2.75</v>
      </c>
      <c r="D15" s="4">
        <v>-0.875</v>
      </c>
      <c r="F15" s="28" t="s">
        <v>28</v>
      </c>
      <c r="G15" s="4">
        <v>1</v>
      </c>
      <c r="H15" s="4">
        <v>3.45</v>
      </c>
      <c r="I15" s="4">
        <v>-0.72499999999999998</v>
      </c>
    </row>
    <row r="16" spans="1:17" x14ac:dyDescent="0.25">
      <c r="A16" s="18" t="s">
        <v>31</v>
      </c>
      <c r="B16" s="4">
        <v>2</v>
      </c>
      <c r="C16" s="4">
        <v>0</v>
      </c>
      <c r="D16" s="4">
        <v>-1.0125</v>
      </c>
      <c r="F16" s="18" t="s">
        <v>245</v>
      </c>
      <c r="G16" s="4">
        <v>1</v>
      </c>
      <c r="H16" s="4">
        <v>2.75</v>
      </c>
      <c r="I16" s="4">
        <v>-0.875</v>
      </c>
    </row>
    <row r="17" spans="1:9" x14ac:dyDescent="0.25">
      <c r="A17" s="28" t="s">
        <v>24</v>
      </c>
      <c r="B17" s="4">
        <v>2</v>
      </c>
      <c r="C17" s="4">
        <v>0</v>
      </c>
      <c r="D17" s="4">
        <v>-1.0125</v>
      </c>
      <c r="F17" s="28" t="s">
        <v>30</v>
      </c>
      <c r="G17" s="4">
        <v>1</v>
      </c>
      <c r="H17" s="4">
        <v>2.75</v>
      </c>
      <c r="I17" s="4">
        <v>-0.875</v>
      </c>
    </row>
    <row r="18" spans="1:9" x14ac:dyDescent="0.25">
      <c r="A18" s="18" t="s">
        <v>95</v>
      </c>
      <c r="B18" s="4">
        <v>5</v>
      </c>
      <c r="C18" s="4">
        <v>1.3</v>
      </c>
      <c r="D18" s="4">
        <v>-0.94499999999999962</v>
      </c>
      <c r="F18" s="18" t="s">
        <v>95</v>
      </c>
      <c r="G18" s="4">
        <v>5</v>
      </c>
      <c r="H18" s="4">
        <v>1.3</v>
      </c>
      <c r="I18" s="4">
        <v>-0.94499999999999962</v>
      </c>
    </row>
    <row r="26" spans="1:9" ht="13.9" customHeight="1" x14ac:dyDescent="0.25"/>
    <row r="33" spans="1:6" x14ac:dyDescent="0.25">
      <c r="A33" s="16" t="s">
        <v>94</v>
      </c>
      <c r="B33" t="s">
        <v>125</v>
      </c>
      <c r="C33" t="s">
        <v>148</v>
      </c>
      <c r="D33" t="s">
        <v>149</v>
      </c>
      <c r="E33" t="s">
        <v>124</v>
      </c>
      <c r="F33" t="s">
        <v>122</v>
      </c>
    </row>
    <row r="34" spans="1:6" x14ac:dyDescent="0.25">
      <c r="A34" s="18" t="s">
        <v>146</v>
      </c>
      <c r="B34" s="4">
        <v>3</v>
      </c>
      <c r="C34" s="1">
        <v>2.7777777777777779E-3</v>
      </c>
      <c r="D34" s="4">
        <v>8.333333333333337E-2</v>
      </c>
      <c r="E34" s="4">
        <v>-1.0416666666666659</v>
      </c>
      <c r="F34" s="4">
        <v>9.9999999999999992E-2</v>
      </c>
    </row>
    <row r="35" spans="1:6" x14ac:dyDescent="0.25">
      <c r="A35" s="18" t="s">
        <v>147</v>
      </c>
      <c r="B35" s="4">
        <v>2</v>
      </c>
      <c r="C35" s="1">
        <v>2.361111111111111E-2</v>
      </c>
      <c r="D35" s="4">
        <v>2.9624999999999972</v>
      </c>
      <c r="E35" s="4">
        <v>-0.8</v>
      </c>
      <c r="F35" s="4">
        <v>3.1</v>
      </c>
    </row>
    <row r="36" spans="1:6" x14ac:dyDescent="0.25">
      <c r="A36" s="18" t="s">
        <v>95</v>
      </c>
      <c r="B36" s="4">
        <v>5</v>
      </c>
      <c r="C36" s="1">
        <v>1.111111111111111E-2</v>
      </c>
      <c r="D36" s="4">
        <v>1.234999999999999</v>
      </c>
      <c r="E36" s="4">
        <v>-0.94499999999999962</v>
      </c>
      <c r="F36" s="4">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40" workbookViewId="0">
      <selection activeCell="Q70" sqref="Q70"/>
    </sheetView>
  </sheetViews>
  <sheetFormatPr defaultRowHeight="15" x14ac:dyDescent="0.25"/>
  <sheetData>
    <row r="7" spans="4:5" x14ac:dyDescent="0.25">
      <c r="D7" s="30" t="s">
        <v>215</v>
      </c>
      <c r="E7" s="37" t="s">
        <v>64</v>
      </c>
    </row>
    <row r="8" spans="4:5" x14ac:dyDescent="0.25">
      <c r="D8" s="39">
        <v>-1</v>
      </c>
      <c r="E8" s="53">
        <v>0.15</v>
      </c>
    </row>
    <row r="9" spans="4:5" x14ac:dyDescent="0.25">
      <c r="D9" s="56">
        <v>-1</v>
      </c>
      <c r="E9" s="57">
        <v>0.125</v>
      </c>
    </row>
    <row r="10" spans="4:5" x14ac:dyDescent="0.25">
      <c r="D10" s="39">
        <v>-0.67</v>
      </c>
      <c r="E10" s="53">
        <v>-0.98750000000000004</v>
      </c>
    </row>
    <row r="11" spans="4:5" x14ac:dyDescent="0.25">
      <c r="D11" s="56">
        <v>-0.6</v>
      </c>
      <c r="E11" s="57">
        <v>2.4863</v>
      </c>
    </row>
    <row r="12" spans="4:5" x14ac:dyDescent="0.25">
      <c r="D12" s="39">
        <v>-0.6</v>
      </c>
      <c r="E12" s="53">
        <v>0.48</v>
      </c>
    </row>
    <row r="13" spans="4:5" x14ac:dyDescent="0.25">
      <c r="D13" s="56">
        <v>-0.35</v>
      </c>
      <c r="E13" s="57">
        <v>3.3</v>
      </c>
    </row>
    <row r="14" spans="4:5" x14ac:dyDescent="0.25">
      <c r="D14" s="39">
        <v>-0.35</v>
      </c>
      <c r="E14" s="53">
        <v>-1.0703</v>
      </c>
    </row>
    <row r="15" spans="4:5" x14ac:dyDescent="0.25">
      <c r="D15" s="56">
        <v>-0.35</v>
      </c>
      <c r="E15" s="57">
        <v>-1.0909</v>
      </c>
    </row>
    <row r="16" spans="4:5" x14ac:dyDescent="0.25">
      <c r="D16" s="39">
        <v>-0.35</v>
      </c>
      <c r="E16" s="53">
        <v>-0.48170000000000002</v>
      </c>
    </row>
    <row r="17" spans="4:5" x14ac:dyDescent="0.25">
      <c r="D17" s="56">
        <v>-0.31</v>
      </c>
      <c r="E17" s="57">
        <v>-1</v>
      </c>
    </row>
    <row r="18" spans="4:5" x14ac:dyDescent="0.25">
      <c r="D18" s="39">
        <v>-0.3</v>
      </c>
      <c r="E18" s="53">
        <v>2.7692000000000001</v>
      </c>
    </row>
    <row r="19" spans="4:5" x14ac:dyDescent="0.25">
      <c r="D19" s="56">
        <v>-0.3</v>
      </c>
      <c r="E19" s="57">
        <v>-1.1599999999999999</v>
      </c>
    </row>
    <row r="20" spans="4:5" x14ac:dyDescent="0.25">
      <c r="D20" s="39">
        <v>-0.3</v>
      </c>
      <c r="E20" s="53">
        <v>-0.5333</v>
      </c>
    </row>
    <row r="21" spans="4:5" x14ac:dyDescent="0.25">
      <c r="D21" s="56">
        <v>-0.3</v>
      </c>
      <c r="E21" s="57">
        <v>2.5499999999999998</v>
      </c>
    </row>
    <row r="22" spans="4:5" x14ac:dyDescent="0.25">
      <c r="D22" s="39">
        <v>-0.3</v>
      </c>
      <c r="E22" s="53">
        <v>0.2</v>
      </c>
    </row>
    <row r="23" spans="4:5" x14ac:dyDescent="0.25">
      <c r="D23" s="56">
        <v>-0.28000000000000003</v>
      </c>
      <c r="E23" s="57">
        <v>-1.2857000000000001</v>
      </c>
    </row>
    <row r="24" spans="4:5" x14ac:dyDescent="0.25">
      <c r="D24" s="39">
        <v>-0.25</v>
      </c>
      <c r="E24" s="53">
        <v>0.5</v>
      </c>
    </row>
    <row r="25" spans="4:5" x14ac:dyDescent="0.25">
      <c r="D25" s="56">
        <v>-0.25</v>
      </c>
      <c r="E25" s="57">
        <v>0.2</v>
      </c>
    </row>
    <row r="26" spans="4:5" x14ac:dyDescent="0.25">
      <c r="D26" s="39">
        <v>-0.2</v>
      </c>
      <c r="E26" s="53">
        <v>1.2333000000000001</v>
      </c>
    </row>
    <row r="27" spans="4:5" x14ac:dyDescent="0.25">
      <c r="D27" s="56">
        <v>-0.2</v>
      </c>
      <c r="E27" s="57">
        <v>0.24</v>
      </c>
    </row>
    <row r="28" spans="4:5" x14ac:dyDescent="0.25">
      <c r="D28" s="39">
        <v>-0.16</v>
      </c>
      <c r="E28" s="53">
        <v>-1</v>
      </c>
    </row>
    <row r="29" spans="4:5" x14ac:dyDescent="0.25">
      <c r="D29" s="56">
        <v>-0.16</v>
      </c>
      <c r="E29" s="57">
        <v>1.35</v>
      </c>
    </row>
    <row r="30" spans="4:5" x14ac:dyDescent="0.25">
      <c r="D30" s="39">
        <v>-0.14000000000000001</v>
      </c>
      <c r="E30" s="53">
        <v>0.1</v>
      </c>
    </row>
    <row r="31" spans="4:5" x14ac:dyDescent="0.25">
      <c r="D31" s="56">
        <v>-0.1</v>
      </c>
      <c r="E31" s="57">
        <v>0.34</v>
      </c>
    </row>
    <row r="32" spans="4:5" x14ac:dyDescent="0.25">
      <c r="D32" s="39">
        <v>-0.1</v>
      </c>
      <c r="E32" s="53">
        <v>-0.97499999999999998</v>
      </c>
    </row>
    <row r="33" spans="4:5" x14ac:dyDescent="0.25">
      <c r="D33" s="56">
        <v>-0.1</v>
      </c>
      <c r="E33" s="57">
        <v>-1</v>
      </c>
    </row>
    <row r="34" spans="4:5" x14ac:dyDescent="0.25">
      <c r="D34" s="39">
        <v>-0.04</v>
      </c>
      <c r="E34" s="53">
        <v>-1.1929000000000001</v>
      </c>
    </row>
    <row r="35" spans="4:5" x14ac:dyDescent="0.25">
      <c r="D35" s="56">
        <v>-0.04</v>
      </c>
      <c r="E35" s="57">
        <v>2.0750000000000002</v>
      </c>
    </row>
    <row r="36" spans="4:5" x14ac:dyDescent="0.25">
      <c r="D36" s="39">
        <v>-0.04</v>
      </c>
      <c r="E36" s="53">
        <v>2.6</v>
      </c>
    </row>
    <row r="37" spans="4:5" x14ac:dyDescent="0.25">
      <c r="D37" s="56">
        <v>-0.03</v>
      </c>
      <c r="E37" s="57">
        <v>-1.05</v>
      </c>
    </row>
    <row r="38" spans="4:5" x14ac:dyDescent="0.25">
      <c r="D38" s="39">
        <v>-0.02</v>
      </c>
      <c r="E38" s="53">
        <v>-0.875</v>
      </c>
    </row>
    <row r="39" spans="4:5" x14ac:dyDescent="0.25">
      <c r="D39" s="56">
        <v>-0.02</v>
      </c>
      <c r="E39" s="57">
        <v>-0.99</v>
      </c>
    </row>
    <row r="40" spans="4:5" x14ac:dyDescent="0.25">
      <c r="D40" s="39">
        <v>0</v>
      </c>
      <c r="E40" s="53">
        <v>-0.4</v>
      </c>
    </row>
    <row r="41" spans="4:5" x14ac:dyDescent="0.25">
      <c r="D41" s="56">
        <v>0.02</v>
      </c>
      <c r="E41" s="57">
        <v>-1.1499999999999999</v>
      </c>
    </row>
    <row r="42" spans="4:5" x14ac:dyDescent="0.25">
      <c r="D42" s="39">
        <v>7.0000000000000007E-2</v>
      </c>
      <c r="E42" s="53">
        <v>0.57140000000000002</v>
      </c>
    </row>
    <row r="43" spans="4:5" x14ac:dyDescent="0.25">
      <c r="D43" s="56">
        <v>7.0000000000000007E-2</v>
      </c>
      <c r="E43" s="57">
        <v>3.0467</v>
      </c>
    </row>
    <row r="44" spans="4:5" x14ac:dyDescent="0.25">
      <c r="D44" s="39">
        <v>0.12</v>
      </c>
      <c r="E44" s="53">
        <v>0.16669999999999999</v>
      </c>
    </row>
    <row r="45" spans="4:5" x14ac:dyDescent="0.25">
      <c r="D45" s="56">
        <v>0.14000000000000001</v>
      </c>
      <c r="E45" s="57">
        <v>-1.0305</v>
      </c>
    </row>
    <row r="46" spans="4:5" x14ac:dyDescent="0.25">
      <c r="D46" s="39">
        <v>0.15</v>
      </c>
      <c r="E46" s="53">
        <v>-0.5</v>
      </c>
    </row>
    <row r="47" spans="4:5" x14ac:dyDescent="0.25">
      <c r="D47" s="56">
        <v>0.23</v>
      </c>
      <c r="E47" s="57">
        <v>-1.0832999999999999</v>
      </c>
    </row>
    <row r="48" spans="4:5" x14ac:dyDescent="0.25">
      <c r="D48" s="39">
        <v>0.23</v>
      </c>
      <c r="E48" s="53">
        <v>-1.2415</v>
      </c>
    </row>
    <row r="49" spans="4:5" x14ac:dyDescent="0.25">
      <c r="D49" s="56">
        <v>0.23</v>
      </c>
      <c r="E49" s="57">
        <v>-1</v>
      </c>
    </row>
    <row r="50" spans="4:5" x14ac:dyDescent="0.25">
      <c r="D50" s="39">
        <v>0.24</v>
      </c>
      <c r="E50" s="53">
        <v>0.875</v>
      </c>
    </row>
    <row r="51" spans="4:5" x14ac:dyDescent="0.25">
      <c r="D51" s="56">
        <v>0.34</v>
      </c>
      <c r="E51" s="57">
        <v>0.15709999999999999</v>
      </c>
    </row>
    <row r="52" spans="4:5" x14ac:dyDescent="0.25">
      <c r="D52" s="39">
        <v>0.38</v>
      </c>
      <c r="E52" s="53">
        <v>3.25</v>
      </c>
    </row>
    <row r="53" spans="4:5" x14ac:dyDescent="0.25">
      <c r="D53" s="56">
        <v>0.38</v>
      </c>
      <c r="E53" s="57">
        <v>-0.86</v>
      </c>
    </row>
    <row r="54" spans="4:5" x14ac:dyDescent="0.25">
      <c r="D54" s="39">
        <v>0.62</v>
      </c>
      <c r="E54" s="53">
        <v>2.35</v>
      </c>
    </row>
    <row r="55" spans="4:5" x14ac:dyDescent="0.25">
      <c r="D55" s="56">
        <v>0.62</v>
      </c>
      <c r="E55" s="57">
        <v>-0.2</v>
      </c>
    </row>
    <row r="56" spans="4:5" x14ac:dyDescent="0.25">
      <c r="D56" s="39">
        <v>0.72</v>
      </c>
      <c r="E56" s="53">
        <v>0.44440000000000002</v>
      </c>
    </row>
    <row r="57" spans="4:5" x14ac:dyDescent="0.25">
      <c r="D57" s="56">
        <v>0.85</v>
      </c>
      <c r="E57" s="57">
        <v>3.41</v>
      </c>
    </row>
    <row r="58" spans="4:5" x14ac:dyDescent="0.25">
      <c r="D58" s="39">
        <v>0.85</v>
      </c>
      <c r="E58" s="53">
        <v>-1.0249999999999999</v>
      </c>
    </row>
    <row r="59" spans="4:5" x14ac:dyDescent="0.25">
      <c r="D59" s="56">
        <v>0.85</v>
      </c>
      <c r="E59" s="57">
        <v>-0.97860000000000003</v>
      </c>
    </row>
    <row r="60" spans="4:5" x14ac:dyDescent="0.25">
      <c r="D60" s="39">
        <v>0.88</v>
      </c>
      <c r="E60" s="53">
        <v>3.5</v>
      </c>
    </row>
    <row r="61" spans="4:5" x14ac:dyDescent="0.25">
      <c r="D61" s="56">
        <v>0.88</v>
      </c>
      <c r="E61" s="57">
        <v>1.8332999999999999</v>
      </c>
    </row>
    <row r="62" spans="4:5" x14ac:dyDescent="0.25">
      <c r="D62" s="39">
        <v>1.06</v>
      </c>
      <c r="E62" s="53">
        <v>-1</v>
      </c>
    </row>
    <row r="63" spans="4:5" x14ac:dyDescent="0.25">
      <c r="D63" s="56">
        <v>1.06</v>
      </c>
      <c r="E63" s="57">
        <v>2.5</v>
      </c>
    </row>
    <row r="64" spans="4:5" x14ac:dyDescent="0.25">
      <c r="D64" s="39">
        <v>1.06</v>
      </c>
      <c r="E64" s="53">
        <v>-0.93330000000000002</v>
      </c>
    </row>
    <row r="65" spans="4:5" x14ac:dyDescent="0.25">
      <c r="D65" s="56">
        <v>1.23</v>
      </c>
      <c r="E65" s="57">
        <v>-1.3257000000000001</v>
      </c>
    </row>
    <row r="66" spans="4:5" x14ac:dyDescent="0.25">
      <c r="D66" s="39">
        <v>1.23</v>
      </c>
      <c r="E66" s="53">
        <v>-0.98570000000000002</v>
      </c>
    </row>
    <row r="67" spans="4:5" x14ac:dyDescent="0.25">
      <c r="D67" s="56">
        <v>1.23</v>
      </c>
      <c r="E67" s="57">
        <v>-0.85709999999999997</v>
      </c>
    </row>
    <row r="68" spans="4:5" x14ac:dyDescent="0.25">
      <c r="D68" s="39">
        <v>1.23</v>
      </c>
      <c r="E68" s="53">
        <v>0.9</v>
      </c>
    </row>
    <row r="69" spans="4:5" x14ac:dyDescent="0.25">
      <c r="D69" s="56">
        <v>1.23</v>
      </c>
      <c r="E69" s="57">
        <v>1.1833</v>
      </c>
    </row>
    <row r="70" spans="4:5" x14ac:dyDescent="0.25">
      <c r="D70" s="39">
        <v>1.23</v>
      </c>
      <c r="E70" s="53">
        <v>4.4400000000000002E-2</v>
      </c>
    </row>
    <row r="71" spans="4:5" x14ac:dyDescent="0.25">
      <c r="D71" s="56">
        <v>1.32</v>
      </c>
      <c r="E71" s="57">
        <v>1.4429000000000001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9"/>
  <sheetViews>
    <sheetView workbookViewId="0">
      <selection activeCell="E6" sqref="E6"/>
    </sheetView>
  </sheetViews>
  <sheetFormatPr defaultRowHeight="15" x14ac:dyDescent="0.25"/>
  <cols>
    <col min="1" max="1" width="11.7109375" bestFit="1" customWidth="1"/>
    <col min="2" max="2" width="16.28515625" bestFit="1" customWidth="1"/>
    <col min="3" max="3" width="17.28515625" bestFit="1" customWidth="1"/>
    <col min="4" max="4" width="11.140625" bestFit="1" customWidth="1"/>
  </cols>
  <sheetData>
    <row r="3" spans="1:2" x14ac:dyDescent="0.25">
      <c r="A3" s="16" t="s">
        <v>94</v>
      </c>
      <c r="B3" t="s">
        <v>96</v>
      </c>
    </row>
    <row r="4" spans="1:2" x14ac:dyDescent="0.25">
      <c r="A4" s="18">
        <v>1</v>
      </c>
      <c r="B4" s="4">
        <v>459.19</v>
      </c>
    </row>
    <row r="5" spans="1:2" x14ac:dyDescent="0.25">
      <c r="A5" s="18">
        <v>2</v>
      </c>
      <c r="B5" s="4">
        <v>80.63</v>
      </c>
    </row>
    <row r="6" spans="1:2" x14ac:dyDescent="0.25">
      <c r="A6" s="18">
        <v>3</v>
      </c>
      <c r="B6" s="4">
        <v>-127.37333333333333</v>
      </c>
    </row>
    <row r="7" spans="1:2" x14ac:dyDescent="0.25">
      <c r="A7" s="18">
        <v>4</v>
      </c>
      <c r="B7" s="4">
        <v>360.62333333333333</v>
      </c>
    </row>
    <row r="8" spans="1:2" x14ac:dyDescent="0.25">
      <c r="A8" s="18">
        <v>5</v>
      </c>
      <c r="B8" s="4">
        <v>142.62</v>
      </c>
    </row>
    <row r="9" spans="1:2" x14ac:dyDescent="0.25">
      <c r="A9" s="18" t="s">
        <v>95</v>
      </c>
      <c r="B9" s="4">
        <v>915.68999999999994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H19" zoomScaleNormal="100" workbookViewId="0">
      <selection activeCell="K44" sqref="K44"/>
    </sheetView>
  </sheetViews>
  <sheetFormatPr defaultRowHeight="15" x14ac:dyDescent="0.25"/>
  <cols>
    <col min="1" max="1" width="22.140625" bestFit="1" customWidth="1"/>
    <col min="16" max="16" width="10.5703125" bestFit="1" customWidth="1"/>
    <col min="17" max="17" width="10.5703125" customWidth="1"/>
    <col min="18" max="23" width="10.5703125" bestFit="1" customWidth="1"/>
    <col min="26" max="26" width="11.7109375" bestFit="1" customWidth="1"/>
    <col min="27" max="27" width="16.28515625" bestFit="1" customWidth="1"/>
    <col min="28" max="28" width="21.42578125" bestFit="1" customWidth="1"/>
    <col min="29" max="29" width="11.7109375" bestFit="1" customWidth="1"/>
    <col min="30" max="30" width="16.28515625" bestFit="1" customWidth="1"/>
    <col min="38" max="38" width="11.7109375" bestFit="1" customWidth="1"/>
    <col min="39" max="39" width="26.85546875" bestFit="1" customWidth="1"/>
    <col min="40" max="83" width="12.5703125" bestFit="1" customWidth="1"/>
    <col min="84" max="84" width="8.5703125" bestFit="1" customWidth="1"/>
  </cols>
  <sheetData>
    <row r="1" spans="1:42" x14ac:dyDescent="0.25">
      <c r="A1" t="s">
        <v>58</v>
      </c>
      <c r="B1" t="s">
        <v>58</v>
      </c>
      <c r="C1" t="s">
        <v>17</v>
      </c>
      <c r="D1" t="s">
        <v>19</v>
      </c>
      <c r="E1" t="s">
        <v>20</v>
      </c>
      <c r="F1" t="s">
        <v>23</v>
      </c>
      <c r="G1" t="s">
        <v>15</v>
      </c>
      <c r="H1" t="s">
        <v>32</v>
      </c>
      <c r="I1" t="s">
        <v>14</v>
      </c>
      <c r="J1" t="s">
        <v>138</v>
      </c>
      <c r="K1" t="s">
        <v>128</v>
      </c>
      <c r="L1" t="s">
        <v>76</v>
      </c>
      <c r="M1" t="s">
        <v>90</v>
      </c>
      <c r="O1" t="s">
        <v>63</v>
      </c>
      <c r="P1" t="s">
        <v>2</v>
      </c>
      <c r="R1" t="s">
        <v>63</v>
      </c>
    </row>
    <row r="2" spans="1:42" ht="15.75" thickBot="1" x14ac:dyDescent="0.3">
      <c r="A2" s="1" t="s">
        <v>60</v>
      </c>
      <c r="B2" s="1" t="s">
        <v>59</v>
      </c>
      <c r="C2" t="s">
        <v>18</v>
      </c>
      <c r="D2" t="s">
        <v>21</v>
      </c>
      <c r="E2" t="b">
        <v>0</v>
      </c>
      <c r="F2" t="s">
        <v>24</v>
      </c>
      <c r="G2" t="s">
        <v>28</v>
      </c>
      <c r="H2" t="s">
        <v>70</v>
      </c>
      <c r="I2" t="s">
        <v>62</v>
      </c>
      <c r="J2" t="s">
        <v>135</v>
      </c>
      <c r="K2" t="s">
        <v>84</v>
      </c>
      <c r="L2" t="s">
        <v>77</v>
      </c>
      <c r="M2" t="b">
        <v>1</v>
      </c>
      <c r="O2" t="str">
        <f>"=WINNER"</f>
        <v>=WINNER</v>
      </c>
      <c r="P2" s="29">
        <f ca="1">TODAY()</f>
        <v>44183</v>
      </c>
    </row>
    <row r="3" spans="1:42" x14ac:dyDescent="0.25">
      <c r="A3" s="1"/>
      <c r="C3" t="s">
        <v>127</v>
      </c>
      <c r="D3" t="s">
        <v>22</v>
      </c>
      <c r="E3" t="b">
        <v>1</v>
      </c>
      <c r="F3" t="s">
        <v>25</v>
      </c>
      <c r="G3" t="s">
        <v>29</v>
      </c>
      <c r="H3" t="s">
        <v>71</v>
      </c>
      <c r="I3" t="s">
        <v>41</v>
      </c>
      <c r="J3" t="s">
        <v>137</v>
      </c>
      <c r="K3" t="s">
        <v>131</v>
      </c>
      <c r="L3" t="s">
        <v>78</v>
      </c>
      <c r="M3" t="b">
        <v>0</v>
      </c>
      <c r="P3" s="10"/>
      <c r="AO3" s="51"/>
      <c r="AP3" s="51"/>
    </row>
    <row r="4" spans="1:42" x14ac:dyDescent="0.25">
      <c r="A4" s="1"/>
      <c r="F4" t="s">
        <v>26</v>
      </c>
      <c r="G4" t="s">
        <v>30</v>
      </c>
      <c r="H4" t="s">
        <v>40</v>
      </c>
      <c r="I4" t="s">
        <v>42</v>
      </c>
      <c r="J4" t="s">
        <v>139</v>
      </c>
      <c r="K4" t="s">
        <v>132</v>
      </c>
      <c r="L4" t="s">
        <v>79</v>
      </c>
      <c r="O4" t="s">
        <v>63</v>
      </c>
      <c r="P4" s="10" t="s">
        <v>2</v>
      </c>
      <c r="Q4" s="10" t="s">
        <v>2</v>
      </c>
      <c r="R4" s="10" t="s">
        <v>2</v>
      </c>
      <c r="S4" s="10" t="s">
        <v>2</v>
      </c>
      <c r="T4" s="10" t="s">
        <v>2</v>
      </c>
      <c r="U4" s="10" t="s">
        <v>2</v>
      </c>
      <c r="V4" s="10" t="s">
        <v>2</v>
      </c>
      <c r="W4" s="10"/>
      <c r="Z4" s="16" t="s">
        <v>94</v>
      </c>
      <c r="AA4" t="s">
        <v>96</v>
      </c>
      <c r="AC4" s="16" t="s">
        <v>94</v>
      </c>
      <c r="AD4" t="s">
        <v>96</v>
      </c>
      <c r="AF4" s="10"/>
      <c r="AO4" s="49"/>
      <c r="AP4" s="49"/>
    </row>
    <row r="5" spans="1:42" x14ac:dyDescent="0.25">
      <c r="A5" s="1"/>
      <c r="F5" t="s">
        <v>27</v>
      </c>
      <c r="G5" t="s">
        <v>31</v>
      </c>
      <c r="H5" t="s">
        <v>33</v>
      </c>
      <c r="I5" t="s">
        <v>43</v>
      </c>
      <c r="J5" t="s">
        <v>140</v>
      </c>
      <c r="K5" t="s">
        <v>130</v>
      </c>
      <c r="N5" t="s">
        <v>97</v>
      </c>
      <c r="O5" t="str">
        <f>"=WINNER"</f>
        <v>=WINNER</v>
      </c>
      <c r="P5" s="10">
        <f ca="1">TODAY()</f>
        <v>44183</v>
      </c>
      <c r="Q5" s="10"/>
      <c r="Z5" s="18">
        <v>1</v>
      </c>
      <c r="AA5" s="4">
        <v>459.19</v>
      </c>
      <c r="AC5" s="18">
        <v>1</v>
      </c>
      <c r="AD5" s="4">
        <v>232</v>
      </c>
      <c r="AF5" s="10"/>
      <c r="AO5" s="49"/>
      <c r="AP5" s="49"/>
    </row>
    <row r="6" spans="1:42" x14ac:dyDescent="0.25">
      <c r="A6" s="1"/>
      <c r="F6" t="s">
        <v>129</v>
      </c>
      <c r="H6" t="s">
        <v>34</v>
      </c>
      <c r="I6" t="s">
        <v>44</v>
      </c>
      <c r="K6" t="s">
        <v>133</v>
      </c>
      <c r="O6" t="s">
        <v>63</v>
      </c>
      <c r="P6" s="10" t="s">
        <v>2</v>
      </c>
      <c r="Q6" s="10" t="s">
        <v>2</v>
      </c>
      <c r="R6" s="10" t="s">
        <v>2</v>
      </c>
      <c r="S6" s="10" t="s">
        <v>2</v>
      </c>
      <c r="T6" s="10" t="s">
        <v>2</v>
      </c>
      <c r="U6" s="10" t="s">
        <v>2</v>
      </c>
      <c r="V6" s="10" t="s">
        <v>2</v>
      </c>
      <c r="Z6" s="18">
        <v>2</v>
      </c>
      <c r="AA6" s="4">
        <v>80.63</v>
      </c>
      <c r="AC6" s="18">
        <v>2</v>
      </c>
      <c r="AD6" s="4">
        <v>232</v>
      </c>
      <c r="AF6" s="10"/>
      <c r="AG6" s="10"/>
      <c r="AO6" s="49"/>
      <c r="AP6" s="49"/>
    </row>
    <row r="7" spans="1:42" x14ac:dyDescent="0.25">
      <c r="A7" s="1"/>
      <c r="H7" t="s">
        <v>35</v>
      </c>
      <c r="I7" t="s">
        <v>45</v>
      </c>
      <c r="N7" t="s">
        <v>98</v>
      </c>
      <c r="O7" t="str">
        <f t="shared" ref="O7" si="0">"=WINNER"</f>
        <v>=WINNER</v>
      </c>
      <c r="P7" s="10">
        <f t="shared" ref="P7" ca="1" si="1">TODAY()</f>
        <v>44183</v>
      </c>
      <c r="Q7" s="10">
        <f t="shared" ref="Q7" ca="1" si="2">TODAY()-1</f>
        <v>44182</v>
      </c>
      <c r="R7" s="10"/>
      <c r="Z7" s="18">
        <v>3</v>
      </c>
      <c r="AA7" s="4">
        <v>-127.37333333333333</v>
      </c>
      <c r="AC7" s="18">
        <v>3</v>
      </c>
      <c r="AD7" s="4">
        <v>232</v>
      </c>
      <c r="AF7" s="10"/>
      <c r="AG7" s="10"/>
      <c r="AH7" s="10"/>
      <c r="AO7" s="49"/>
      <c r="AP7" s="49"/>
    </row>
    <row r="8" spans="1:42" x14ac:dyDescent="0.25">
      <c r="A8" s="1"/>
      <c r="H8" t="s">
        <v>36</v>
      </c>
      <c r="I8" t="s">
        <v>46</v>
      </c>
      <c r="O8" t="s">
        <v>63</v>
      </c>
      <c r="P8" s="10" t="s">
        <v>2</v>
      </c>
      <c r="Q8" s="10" t="s">
        <v>2</v>
      </c>
      <c r="R8" s="10" t="s">
        <v>2</v>
      </c>
      <c r="S8" s="10" t="s">
        <v>2</v>
      </c>
      <c r="T8" s="10" t="s">
        <v>2</v>
      </c>
      <c r="U8" s="10" t="s">
        <v>2</v>
      </c>
      <c r="V8" s="10" t="s">
        <v>2</v>
      </c>
      <c r="Z8" s="18">
        <v>4</v>
      </c>
      <c r="AA8" s="4">
        <v>360.62333333333333</v>
      </c>
      <c r="AC8" s="18">
        <v>4</v>
      </c>
      <c r="AD8" s="4">
        <v>232</v>
      </c>
      <c r="AF8" s="10"/>
      <c r="AG8" s="10"/>
      <c r="AH8" s="10"/>
      <c r="AI8" s="10"/>
      <c r="AO8" s="49"/>
      <c r="AP8" s="49"/>
    </row>
    <row r="9" spans="1:42" x14ac:dyDescent="0.25">
      <c r="A9" s="1"/>
      <c r="H9" t="s">
        <v>37</v>
      </c>
      <c r="I9" t="s">
        <v>47</v>
      </c>
      <c r="N9" t="s">
        <v>99</v>
      </c>
      <c r="O9" t="str">
        <f t="shared" ref="O9" si="3">"=WINNER"</f>
        <v>=WINNER</v>
      </c>
      <c r="P9" s="10">
        <f t="shared" ref="P9" ca="1" si="4">TODAY()</f>
        <v>44183</v>
      </c>
      <c r="Q9" s="10">
        <f t="shared" ref="Q9" ca="1" si="5">TODAY()-1</f>
        <v>44182</v>
      </c>
      <c r="R9" s="10">
        <f ca="1">TODAY()-2</f>
        <v>44181</v>
      </c>
      <c r="S9" s="10"/>
      <c r="T9" s="10"/>
      <c r="Z9" s="18">
        <v>5</v>
      </c>
      <c r="AA9" s="4">
        <v>142.62</v>
      </c>
      <c r="AC9" s="18">
        <v>5</v>
      </c>
      <c r="AD9" s="4">
        <v>232</v>
      </c>
      <c r="AF9" s="10"/>
      <c r="AG9" s="10"/>
      <c r="AH9" s="10"/>
      <c r="AI9" s="10"/>
      <c r="AJ9" s="10"/>
      <c r="AO9" s="49"/>
      <c r="AP9" s="49"/>
    </row>
    <row r="10" spans="1:42" x14ac:dyDescent="0.25">
      <c r="H10" t="s">
        <v>38</v>
      </c>
      <c r="I10" t="s">
        <v>48</v>
      </c>
      <c r="O10" t="s">
        <v>63</v>
      </c>
      <c r="P10" s="10" t="s">
        <v>2</v>
      </c>
      <c r="Q10" s="10" t="s">
        <v>2</v>
      </c>
      <c r="R10" s="10" t="s">
        <v>2</v>
      </c>
      <c r="S10" s="10" t="s">
        <v>2</v>
      </c>
      <c r="T10" s="10" t="s">
        <v>2</v>
      </c>
      <c r="U10" s="10" t="s">
        <v>2</v>
      </c>
      <c r="V10" s="10" t="s">
        <v>2</v>
      </c>
      <c r="Z10" s="18" t="s">
        <v>95</v>
      </c>
      <c r="AA10" s="4">
        <v>915.68999999999994</v>
      </c>
      <c r="AC10" s="18">
        <v>6</v>
      </c>
      <c r="AD10" s="4">
        <v>232</v>
      </c>
      <c r="AF10" s="10"/>
      <c r="AG10" s="10"/>
      <c r="AH10" s="10"/>
      <c r="AI10" s="10"/>
      <c r="AJ10" s="10"/>
      <c r="AK10" s="10"/>
      <c r="AO10" s="49"/>
      <c r="AP10" s="49"/>
    </row>
    <row r="11" spans="1:42" x14ac:dyDescent="0.25">
      <c r="H11" t="s">
        <v>39</v>
      </c>
      <c r="I11" t="s">
        <v>49</v>
      </c>
      <c r="N11" t="s">
        <v>100</v>
      </c>
      <c r="O11" t="str">
        <f t="shared" ref="O11" si="6">"=WINNER"</f>
        <v>=WINNER</v>
      </c>
      <c r="P11" s="10">
        <f t="shared" ref="P11" ca="1" si="7">TODAY()</f>
        <v>44183</v>
      </c>
      <c r="Q11" s="10">
        <f t="shared" ref="Q11" ca="1" si="8">TODAY()-1</f>
        <v>44182</v>
      </c>
      <c r="R11" s="10">
        <f ca="1">TODAY()-2</f>
        <v>44181</v>
      </c>
      <c r="S11" s="10">
        <f ca="1">TODAY()-3</f>
        <v>44180</v>
      </c>
      <c r="T11" s="10"/>
      <c r="U11" s="10"/>
      <c r="V11" s="10"/>
      <c r="W11" s="10"/>
      <c r="AC11" s="18">
        <v>7</v>
      </c>
      <c r="AD11" s="4">
        <v>232</v>
      </c>
      <c r="AO11" s="49"/>
      <c r="AP11" s="49"/>
    </row>
    <row r="12" spans="1:42" x14ac:dyDescent="0.25">
      <c r="I12" t="s">
        <v>50</v>
      </c>
      <c r="O12" t="s">
        <v>63</v>
      </c>
      <c r="P12" s="10" t="s">
        <v>2</v>
      </c>
      <c r="Q12" s="10" t="s">
        <v>2</v>
      </c>
      <c r="R12" s="10" t="s">
        <v>2</v>
      </c>
      <c r="S12" s="10" t="s">
        <v>2</v>
      </c>
      <c r="T12" s="10" t="s">
        <v>2</v>
      </c>
      <c r="U12" s="10" t="s">
        <v>2</v>
      </c>
      <c r="V12" s="10" t="s">
        <v>2</v>
      </c>
      <c r="AC12" s="18">
        <v>8</v>
      </c>
      <c r="AD12" s="4">
        <v>232</v>
      </c>
      <c r="AO12" s="49"/>
      <c r="AP12" s="49"/>
    </row>
    <row r="13" spans="1:42" x14ac:dyDescent="0.25">
      <c r="I13" t="s">
        <v>51</v>
      </c>
      <c r="N13" t="s">
        <v>101</v>
      </c>
      <c r="O13" t="str">
        <f t="shared" ref="O13" si="9">"=WINNER"</f>
        <v>=WINNER</v>
      </c>
      <c r="P13" s="10">
        <f t="shared" ref="P13" ca="1" si="10">TODAY()</f>
        <v>44183</v>
      </c>
      <c r="Q13" s="10">
        <f t="shared" ref="Q13" ca="1" si="11">TODAY()-1</f>
        <v>44182</v>
      </c>
      <c r="R13" s="10">
        <f ca="1">TODAY()-2</f>
        <v>44181</v>
      </c>
      <c r="S13" s="10">
        <f ca="1">TODAY()-3</f>
        <v>44180</v>
      </c>
      <c r="T13" s="10">
        <f ca="1">TODAY()-4</f>
        <v>44179</v>
      </c>
      <c r="AC13" s="18">
        <v>9</v>
      </c>
      <c r="AD13" s="4">
        <v>232</v>
      </c>
      <c r="AO13" s="49"/>
      <c r="AP13" s="49"/>
    </row>
    <row r="14" spans="1:42" x14ac:dyDescent="0.25">
      <c r="I14" t="s">
        <v>52</v>
      </c>
      <c r="O14" t="s">
        <v>63</v>
      </c>
      <c r="P14" s="10" t="s">
        <v>2</v>
      </c>
      <c r="Q14" s="10" t="s">
        <v>2</v>
      </c>
      <c r="R14" s="10" t="s">
        <v>2</v>
      </c>
      <c r="S14" s="10" t="s">
        <v>2</v>
      </c>
      <c r="T14" s="10" t="s">
        <v>2</v>
      </c>
      <c r="U14" s="10" t="s">
        <v>2</v>
      </c>
      <c r="V14" s="10" t="s">
        <v>2</v>
      </c>
      <c r="AC14" s="18">
        <v>10</v>
      </c>
      <c r="AD14" s="4">
        <v>232</v>
      </c>
      <c r="AO14" s="49"/>
      <c r="AP14" s="49"/>
    </row>
    <row r="15" spans="1:42" x14ac:dyDescent="0.25">
      <c r="I15" t="s">
        <v>53</v>
      </c>
      <c r="N15" t="s">
        <v>102</v>
      </c>
      <c r="O15" t="str">
        <f t="shared" ref="O15" si="12">"=WINNER"</f>
        <v>=WINNER</v>
      </c>
      <c r="P15" s="10">
        <f t="shared" ref="P15" ca="1" si="13">TODAY()</f>
        <v>44183</v>
      </c>
      <c r="Q15" s="10">
        <f t="shared" ref="Q15" ca="1" si="14">TODAY()-1</f>
        <v>44182</v>
      </c>
      <c r="R15" s="10">
        <f ca="1">TODAY()-2</f>
        <v>44181</v>
      </c>
      <c r="S15" s="10">
        <f ca="1">TODAY()-3</f>
        <v>44180</v>
      </c>
      <c r="T15" s="10">
        <f ca="1">TODAY()-4</f>
        <v>44179</v>
      </c>
      <c r="U15" s="10">
        <f ca="1">TODAY()-5</f>
        <v>44178</v>
      </c>
      <c r="AC15" s="18">
        <v>11</v>
      </c>
      <c r="AD15" s="4">
        <v>232</v>
      </c>
      <c r="AO15" s="49"/>
      <c r="AP15" s="49"/>
    </row>
    <row r="16" spans="1:42" x14ac:dyDescent="0.25">
      <c r="I16" t="s">
        <v>54</v>
      </c>
      <c r="O16" t="s">
        <v>63</v>
      </c>
      <c r="P16" s="10" t="s">
        <v>2</v>
      </c>
      <c r="Q16" s="10" t="s">
        <v>2</v>
      </c>
      <c r="R16" s="10" t="s">
        <v>2</v>
      </c>
      <c r="S16" s="10" t="s">
        <v>2</v>
      </c>
      <c r="T16" s="10" t="s">
        <v>2</v>
      </c>
      <c r="U16" s="10" t="s">
        <v>2</v>
      </c>
      <c r="V16" s="10" t="s">
        <v>2</v>
      </c>
      <c r="AC16" s="18">
        <v>12</v>
      </c>
      <c r="AD16" s="4">
        <v>232</v>
      </c>
      <c r="AO16" s="49"/>
      <c r="AP16" s="49"/>
    </row>
    <row r="17" spans="1:42" x14ac:dyDescent="0.25">
      <c r="I17" t="s">
        <v>55</v>
      </c>
      <c r="N17" t="s">
        <v>103</v>
      </c>
      <c r="O17" t="str">
        <f>"=WINNER"</f>
        <v>=WINNER</v>
      </c>
      <c r="P17" s="10" t="str">
        <f>"=TODAY()"</f>
        <v>=TODAY()</v>
      </c>
      <c r="Q17" s="10">
        <f t="shared" ref="Q17" ca="1" si="15">TODAY()-1</f>
        <v>44182</v>
      </c>
      <c r="R17" s="10">
        <f ca="1">TODAY()-2</f>
        <v>44181</v>
      </c>
      <c r="S17" s="10" t="str">
        <f>"=(TODAY()-3)"</f>
        <v>=(TODAY()-3)</v>
      </c>
      <c r="T17" s="10">
        <f ca="1">TODAY()-4</f>
        <v>44179</v>
      </c>
      <c r="U17" s="10">
        <f ca="1">TODAY()-5</f>
        <v>44178</v>
      </c>
      <c r="V17" s="10">
        <f ca="1">TODAY()-6</f>
        <v>44177</v>
      </c>
      <c r="AB17" s="10"/>
      <c r="AC17" s="18">
        <v>13</v>
      </c>
      <c r="AD17" s="4">
        <v>232</v>
      </c>
      <c r="AF17" s="10"/>
      <c r="AG17" s="10"/>
      <c r="AH17" s="10"/>
      <c r="AO17" s="49"/>
      <c r="AP17" s="49"/>
    </row>
    <row r="18" spans="1:42" ht="15.75" thickBot="1" x14ac:dyDescent="0.3">
      <c r="I18" t="s">
        <v>89</v>
      </c>
      <c r="S18" s="10" t="s">
        <v>2</v>
      </c>
      <c r="AB18" s="10"/>
      <c r="AC18" s="18">
        <v>14</v>
      </c>
      <c r="AD18" s="4">
        <v>232</v>
      </c>
      <c r="AO18" s="50"/>
      <c r="AP18" s="50"/>
    </row>
    <row r="19" spans="1:42" x14ac:dyDescent="0.25">
      <c r="S19" s="10" t="str">
        <f ca="1">CONCATENATE("=",S21)</f>
        <v>=44180</v>
      </c>
      <c r="AC19" s="18">
        <v>15</v>
      </c>
      <c r="AD19" s="4">
        <v>232</v>
      </c>
    </row>
    <row r="20" spans="1:42" x14ac:dyDescent="0.25">
      <c r="S20" s="10" t="s">
        <v>104</v>
      </c>
      <c r="AC20" s="18" t="s">
        <v>95</v>
      </c>
      <c r="AD20" s="4">
        <v>3480</v>
      </c>
    </row>
    <row r="21" spans="1:42" x14ac:dyDescent="0.25">
      <c r="A21" t="s">
        <v>74</v>
      </c>
      <c r="S21" s="10">
        <f ca="1">TODAY()-3</f>
        <v>44180</v>
      </c>
    </row>
    <row r="22" spans="1:42" x14ac:dyDescent="0.25">
      <c r="A22" t="s">
        <v>110</v>
      </c>
    </row>
    <row r="23" spans="1:42" x14ac:dyDescent="0.25">
      <c r="A23" t="s">
        <v>75</v>
      </c>
      <c r="AN23" t="str">
        <f t="shared" ref="AN23:AN69" si="16">IF(AND(AL22&gt;0, AL22&lt;1000000), AM22,"")</f>
        <v/>
      </c>
    </row>
    <row r="24" spans="1:42" x14ac:dyDescent="0.25">
      <c r="A24" t="s">
        <v>134</v>
      </c>
      <c r="AN24" t="str">
        <f t="shared" si="16"/>
        <v/>
      </c>
    </row>
    <row r="25" spans="1:42" x14ac:dyDescent="0.25">
      <c r="A25" t="s">
        <v>136</v>
      </c>
      <c r="AN25" t="str">
        <f t="shared" si="16"/>
        <v/>
      </c>
    </row>
    <row r="26" spans="1:42" x14ac:dyDescent="0.25">
      <c r="AN26" t="str">
        <f t="shared" si="16"/>
        <v/>
      </c>
    </row>
    <row r="27" spans="1:42" x14ac:dyDescent="0.25">
      <c r="A27" t="s">
        <v>111</v>
      </c>
      <c r="AN27" t="str">
        <f t="shared" si="16"/>
        <v/>
      </c>
    </row>
    <row r="28" spans="1:42" x14ac:dyDescent="0.25">
      <c r="A28" t="s">
        <v>113</v>
      </c>
      <c r="AN28" t="str">
        <f t="shared" si="16"/>
        <v/>
      </c>
    </row>
    <row r="29" spans="1:42" x14ac:dyDescent="0.25">
      <c r="A29" t="s">
        <v>114</v>
      </c>
      <c r="AN29" t="str">
        <f t="shared" si="16"/>
        <v/>
      </c>
    </row>
    <row r="30" spans="1:42" x14ac:dyDescent="0.25">
      <c r="A30" t="s">
        <v>115</v>
      </c>
      <c r="AN30" t="str">
        <f t="shared" si="16"/>
        <v/>
      </c>
    </row>
    <row r="31" spans="1:42" x14ac:dyDescent="0.25">
      <c r="A31" t="s">
        <v>116</v>
      </c>
      <c r="AN31" t="str">
        <f t="shared" si="16"/>
        <v/>
      </c>
    </row>
    <row r="32" spans="1:42" x14ac:dyDescent="0.25">
      <c r="A32" t="s">
        <v>120</v>
      </c>
      <c r="AN32" t="str">
        <f t="shared" si="16"/>
        <v/>
      </c>
    </row>
    <row r="33" spans="1:40" x14ac:dyDescent="0.25">
      <c r="A33" t="s">
        <v>119</v>
      </c>
      <c r="AN33" t="str">
        <f t="shared" si="16"/>
        <v/>
      </c>
    </row>
    <row r="34" spans="1:40" x14ac:dyDescent="0.25">
      <c r="A34" t="s">
        <v>121</v>
      </c>
      <c r="AN34" t="str">
        <f t="shared" si="16"/>
        <v/>
      </c>
    </row>
    <row r="35" spans="1:40" x14ac:dyDescent="0.25">
      <c r="AN35" t="str">
        <f t="shared" si="16"/>
        <v/>
      </c>
    </row>
    <row r="36" spans="1:40" x14ac:dyDescent="0.25">
      <c r="AN36" t="str">
        <f t="shared" si="16"/>
        <v/>
      </c>
    </row>
    <row r="37" spans="1:40" x14ac:dyDescent="0.25">
      <c r="AN37" t="str">
        <f t="shared" si="16"/>
        <v/>
      </c>
    </row>
    <row r="38" spans="1:40" x14ac:dyDescent="0.25">
      <c r="A38" t="s">
        <v>141</v>
      </c>
      <c r="AN38" t="str">
        <f t="shared" si="16"/>
        <v/>
      </c>
    </row>
    <row r="39" spans="1:40" x14ac:dyDescent="0.25">
      <c r="A39" t="s">
        <v>142</v>
      </c>
      <c r="AN39" t="str">
        <f t="shared" si="16"/>
        <v/>
      </c>
    </row>
    <row r="40" spans="1:40" x14ac:dyDescent="0.25">
      <c r="A40" t="s">
        <v>143</v>
      </c>
      <c r="AN40" t="str">
        <f t="shared" si="16"/>
        <v/>
      </c>
    </row>
    <row r="41" spans="1:40" x14ac:dyDescent="0.25">
      <c r="A41" t="s">
        <v>145</v>
      </c>
      <c r="AN41" t="str">
        <f t="shared" si="16"/>
        <v/>
      </c>
    </row>
    <row r="42" spans="1:40" x14ac:dyDescent="0.25">
      <c r="A42" t="s">
        <v>155</v>
      </c>
      <c r="AN42" t="str">
        <f t="shared" si="16"/>
        <v/>
      </c>
    </row>
    <row r="43" spans="1:40" x14ac:dyDescent="0.25">
      <c r="AN43" t="str">
        <f t="shared" si="16"/>
        <v/>
      </c>
    </row>
    <row r="44" spans="1:40" x14ac:dyDescent="0.25">
      <c r="AN44" t="str">
        <f t="shared" si="16"/>
        <v/>
      </c>
    </row>
    <row r="45" spans="1:40" x14ac:dyDescent="0.25">
      <c r="AN45" t="str">
        <f t="shared" si="16"/>
        <v/>
      </c>
    </row>
    <row r="46" spans="1:40" x14ac:dyDescent="0.25">
      <c r="A46" t="s">
        <v>161</v>
      </c>
      <c r="AN46" t="str">
        <f t="shared" si="16"/>
        <v/>
      </c>
    </row>
    <row r="47" spans="1:40" x14ac:dyDescent="0.25">
      <c r="A47" t="s">
        <v>162</v>
      </c>
      <c r="AN47" t="str">
        <f t="shared" si="16"/>
        <v/>
      </c>
    </row>
    <row r="48" spans="1:40" x14ac:dyDescent="0.25">
      <c r="A48" t="s">
        <v>176</v>
      </c>
      <c r="AN48" t="str">
        <f t="shared" si="16"/>
        <v/>
      </c>
    </row>
    <row r="49" spans="40:40" x14ac:dyDescent="0.25">
      <c r="AN49" t="str">
        <f t="shared" si="16"/>
        <v/>
      </c>
    </row>
    <row r="50" spans="40:40" x14ac:dyDescent="0.25">
      <c r="AN50" t="str">
        <f t="shared" si="16"/>
        <v/>
      </c>
    </row>
    <row r="51" spans="40:40" x14ac:dyDescent="0.25">
      <c r="AN51" t="str">
        <f t="shared" si="16"/>
        <v/>
      </c>
    </row>
    <row r="52" spans="40:40" x14ac:dyDescent="0.25">
      <c r="AN52" t="str">
        <f t="shared" si="16"/>
        <v/>
      </c>
    </row>
    <row r="53" spans="40:40" x14ac:dyDescent="0.25">
      <c r="AN53" t="str">
        <f t="shared" si="16"/>
        <v/>
      </c>
    </row>
    <row r="54" spans="40:40" x14ac:dyDescent="0.25">
      <c r="AN54" t="str">
        <f t="shared" si="16"/>
        <v/>
      </c>
    </row>
    <row r="55" spans="40:40" x14ac:dyDescent="0.25">
      <c r="AN55" t="str">
        <f t="shared" si="16"/>
        <v/>
      </c>
    </row>
    <row r="56" spans="40:40" x14ac:dyDescent="0.25">
      <c r="AN56" t="str">
        <f t="shared" si="16"/>
        <v/>
      </c>
    </row>
    <row r="57" spans="40:40" x14ac:dyDescent="0.25">
      <c r="AN57" t="str">
        <f t="shared" si="16"/>
        <v/>
      </c>
    </row>
    <row r="58" spans="40:40" x14ac:dyDescent="0.25">
      <c r="AN58" t="str">
        <f t="shared" si="16"/>
        <v/>
      </c>
    </row>
    <row r="59" spans="40:40" x14ac:dyDescent="0.25">
      <c r="AN59" t="str">
        <f t="shared" si="16"/>
        <v/>
      </c>
    </row>
    <row r="60" spans="40:40" x14ac:dyDescent="0.25">
      <c r="AN60" t="str">
        <f t="shared" si="16"/>
        <v/>
      </c>
    </row>
    <row r="61" spans="40:40" x14ac:dyDescent="0.25">
      <c r="AN61" t="str">
        <f t="shared" si="16"/>
        <v/>
      </c>
    </row>
    <row r="62" spans="40:40" x14ac:dyDescent="0.25">
      <c r="AN62" t="str">
        <f t="shared" si="16"/>
        <v/>
      </c>
    </row>
    <row r="63" spans="40:40" x14ac:dyDescent="0.25">
      <c r="AN63" t="str">
        <f t="shared" si="16"/>
        <v/>
      </c>
    </row>
    <row r="64" spans="40:40" x14ac:dyDescent="0.25">
      <c r="AN64" t="str">
        <f t="shared" si="16"/>
        <v/>
      </c>
    </row>
    <row r="65" spans="40:40" x14ac:dyDescent="0.25">
      <c r="AN65" t="str">
        <f t="shared" si="16"/>
        <v/>
      </c>
    </row>
    <row r="66" spans="40:40" x14ac:dyDescent="0.25">
      <c r="AN66" t="str">
        <f t="shared" si="16"/>
        <v/>
      </c>
    </row>
    <row r="67" spans="40:40" x14ac:dyDescent="0.25">
      <c r="AN67" t="str">
        <f t="shared" si="16"/>
        <v/>
      </c>
    </row>
    <row r="68" spans="40:40" x14ac:dyDescent="0.25">
      <c r="AN68" t="str">
        <f t="shared" si="16"/>
        <v/>
      </c>
    </row>
    <row r="69" spans="40:40" x14ac:dyDescent="0.25">
      <c r="AN69" t="str">
        <f t="shared" si="16"/>
        <v/>
      </c>
    </row>
    <row r="70" spans="40:40" x14ac:dyDescent="0.25">
      <c r="AN70" t="str">
        <f t="shared" ref="AN70:AN133" si="17">IF(AND(AL69&gt;0, AL69&lt;1000000), AM69,"")</f>
        <v/>
      </c>
    </row>
    <row r="71" spans="40:40" x14ac:dyDescent="0.25">
      <c r="AN71" t="str">
        <f t="shared" si="17"/>
        <v/>
      </c>
    </row>
    <row r="72" spans="40:40" x14ac:dyDescent="0.25">
      <c r="AN72" t="str">
        <f t="shared" si="17"/>
        <v/>
      </c>
    </row>
    <row r="73" spans="40:40" x14ac:dyDescent="0.25">
      <c r="AN73" t="str">
        <f t="shared" si="17"/>
        <v/>
      </c>
    </row>
    <row r="74" spans="40:40" x14ac:dyDescent="0.25">
      <c r="AN74" t="str">
        <f t="shared" si="17"/>
        <v/>
      </c>
    </row>
    <row r="75" spans="40:40" x14ac:dyDescent="0.25">
      <c r="AN75" t="str">
        <f t="shared" si="17"/>
        <v/>
      </c>
    </row>
    <row r="76" spans="40:40" x14ac:dyDescent="0.25">
      <c r="AN76" t="str">
        <f t="shared" si="17"/>
        <v/>
      </c>
    </row>
    <row r="77" spans="40:40" x14ac:dyDescent="0.25">
      <c r="AN77" t="str">
        <f t="shared" si="17"/>
        <v/>
      </c>
    </row>
    <row r="78" spans="40:40" x14ac:dyDescent="0.25">
      <c r="AN78" t="str">
        <f t="shared" si="17"/>
        <v/>
      </c>
    </row>
    <row r="79" spans="40:40" x14ac:dyDescent="0.25">
      <c r="AN79" t="str">
        <f t="shared" si="17"/>
        <v/>
      </c>
    </row>
    <row r="80" spans="40:40" x14ac:dyDescent="0.25">
      <c r="AN80" t="str">
        <f t="shared" si="17"/>
        <v/>
      </c>
    </row>
    <row r="81" spans="40:40" x14ac:dyDescent="0.25">
      <c r="AN81" t="str">
        <f t="shared" si="17"/>
        <v/>
      </c>
    </row>
    <row r="82" spans="40:40" x14ac:dyDescent="0.25">
      <c r="AN82" t="str">
        <f t="shared" si="17"/>
        <v/>
      </c>
    </row>
    <row r="83" spans="40:40" x14ac:dyDescent="0.25">
      <c r="AN83" t="str">
        <f t="shared" si="17"/>
        <v/>
      </c>
    </row>
    <row r="84" spans="40:40" x14ac:dyDescent="0.25">
      <c r="AN84" t="str">
        <f t="shared" si="17"/>
        <v/>
      </c>
    </row>
    <row r="85" spans="40:40" x14ac:dyDescent="0.25">
      <c r="AN85" t="str">
        <f t="shared" si="17"/>
        <v/>
      </c>
    </row>
    <row r="86" spans="40:40" x14ac:dyDescent="0.25">
      <c r="AN86" t="str">
        <f t="shared" si="17"/>
        <v/>
      </c>
    </row>
    <row r="87" spans="40:40" x14ac:dyDescent="0.25">
      <c r="AN87" t="str">
        <f t="shared" si="17"/>
        <v/>
      </c>
    </row>
    <row r="88" spans="40:40" x14ac:dyDescent="0.25">
      <c r="AN88" t="str">
        <f t="shared" si="17"/>
        <v/>
      </c>
    </row>
    <row r="89" spans="40:40" x14ac:dyDescent="0.25">
      <c r="AN89" t="str">
        <f t="shared" si="17"/>
        <v/>
      </c>
    </row>
    <row r="90" spans="40:40" x14ac:dyDescent="0.25">
      <c r="AN90" t="str">
        <f t="shared" si="17"/>
        <v/>
      </c>
    </row>
    <row r="91" spans="40:40" x14ac:dyDescent="0.25">
      <c r="AN91" t="str">
        <f t="shared" si="17"/>
        <v/>
      </c>
    </row>
    <row r="92" spans="40:40" x14ac:dyDescent="0.25">
      <c r="AN92" t="str">
        <f t="shared" si="17"/>
        <v/>
      </c>
    </row>
    <row r="93" spans="40:40" x14ac:dyDescent="0.25">
      <c r="AN93" t="str">
        <f t="shared" si="17"/>
        <v/>
      </c>
    </row>
    <row r="94" spans="40:40" x14ac:dyDescent="0.25">
      <c r="AN94" t="str">
        <f t="shared" si="17"/>
        <v/>
      </c>
    </row>
    <row r="95" spans="40:40" x14ac:dyDescent="0.25">
      <c r="AN95" t="str">
        <f t="shared" si="17"/>
        <v/>
      </c>
    </row>
    <row r="96" spans="40:40" x14ac:dyDescent="0.25">
      <c r="AN96" t="str">
        <f t="shared" si="17"/>
        <v/>
      </c>
    </row>
    <row r="97" spans="40:40" x14ac:dyDescent="0.25">
      <c r="AN97" t="str">
        <f t="shared" si="17"/>
        <v/>
      </c>
    </row>
    <row r="98" spans="40:40" x14ac:dyDescent="0.25">
      <c r="AN98" t="str">
        <f t="shared" si="17"/>
        <v/>
      </c>
    </row>
    <row r="99" spans="40:40" x14ac:dyDescent="0.25">
      <c r="AN99" t="str">
        <f t="shared" si="17"/>
        <v/>
      </c>
    </row>
    <row r="100" spans="40:40" x14ac:dyDescent="0.25">
      <c r="AN100" t="str">
        <f t="shared" si="17"/>
        <v/>
      </c>
    </row>
    <row r="101" spans="40:40" x14ac:dyDescent="0.25">
      <c r="AN101" t="str">
        <f t="shared" si="17"/>
        <v/>
      </c>
    </row>
    <row r="102" spans="40:40" x14ac:dyDescent="0.25">
      <c r="AN102" t="str">
        <f t="shared" si="17"/>
        <v/>
      </c>
    </row>
    <row r="103" spans="40:40" x14ac:dyDescent="0.25">
      <c r="AN103" t="str">
        <f t="shared" si="17"/>
        <v/>
      </c>
    </row>
    <row r="104" spans="40:40" x14ac:dyDescent="0.25">
      <c r="AN104" t="str">
        <f t="shared" si="17"/>
        <v/>
      </c>
    </row>
    <row r="105" spans="40:40" x14ac:dyDescent="0.25">
      <c r="AN105" t="str">
        <f t="shared" si="17"/>
        <v/>
      </c>
    </row>
    <row r="106" spans="40:40" x14ac:dyDescent="0.25">
      <c r="AN106" t="str">
        <f t="shared" si="17"/>
        <v/>
      </c>
    </row>
    <row r="107" spans="40:40" x14ac:dyDescent="0.25">
      <c r="AN107" t="str">
        <f t="shared" si="17"/>
        <v/>
      </c>
    </row>
    <row r="108" spans="40:40" x14ac:dyDescent="0.25">
      <c r="AN108" t="str">
        <f t="shared" si="17"/>
        <v/>
      </c>
    </row>
    <row r="109" spans="40:40" x14ac:dyDescent="0.25">
      <c r="AN109" t="str">
        <f t="shared" si="17"/>
        <v/>
      </c>
    </row>
    <row r="110" spans="40:40" x14ac:dyDescent="0.25">
      <c r="AN110" t="str">
        <f t="shared" si="17"/>
        <v/>
      </c>
    </row>
    <row r="111" spans="40:40" x14ac:dyDescent="0.25">
      <c r="AN111" t="str">
        <f t="shared" si="17"/>
        <v/>
      </c>
    </row>
    <row r="112" spans="40:40" x14ac:dyDescent="0.25">
      <c r="AN112" t="str">
        <f t="shared" si="17"/>
        <v/>
      </c>
    </row>
    <row r="113" spans="40:40" x14ac:dyDescent="0.25">
      <c r="AN113" t="str">
        <f t="shared" si="17"/>
        <v/>
      </c>
    </row>
    <row r="114" spans="40:40" x14ac:dyDescent="0.25">
      <c r="AN114" t="str">
        <f t="shared" si="17"/>
        <v/>
      </c>
    </row>
    <row r="115" spans="40:40" x14ac:dyDescent="0.25">
      <c r="AN115" t="str">
        <f t="shared" si="17"/>
        <v/>
      </c>
    </row>
    <row r="116" spans="40:40" x14ac:dyDescent="0.25">
      <c r="AN116" t="str">
        <f t="shared" si="17"/>
        <v/>
      </c>
    </row>
    <row r="117" spans="40:40" x14ac:dyDescent="0.25">
      <c r="AN117" t="str">
        <f t="shared" si="17"/>
        <v/>
      </c>
    </row>
    <row r="118" spans="40:40" x14ac:dyDescent="0.25">
      <c r="AN118" t="str">
        <f t="shared" si="17"/>
        <v/>
      </c>
    </row>
    <row r="119" spans="40:40" x14ac:dyDescent="0.25">
      <c r="AN119" t="str">
        <f t="shared" si="17"/>
        <v/>
      </c>
    </row>
    <row r="120" spans="40:40" x14ac:dyDescent="0.25">
      <c r="AN120" t="str">
        <f t="shared" si="17"/>
        <v/>
      </c>
    </row>
    <row r="121" spans="40:40" x14ac:dyDescent="0.25">
      <c r="AN121" t="str">
        <f t="shared" si="17"/>
        <v/>
      </c>
    </row>
    <row r="122" spans="40:40" x14ac:dyDescent="0.25">
      <c r="AN122" t="str">
        <f t="shared" si="17"/>
        <v/>
      </c>
    </row>
    <row r="123" spans="40:40" x14ac:dyDescent="0.25">
      <c r="AN123" t="str">
        <f t="shared" si="17"/>
        <v/>
      </c>
    </row>
    <row r="124" spans="40:40" x14ac:dyDescent="0.25">
      <c r="AN124" t="str">
        <f t="shared" si="17"/>
        <v/>
      </c>
    </row>
    <row r="125" spans="40:40" x14ac:dyDescent="0.25">
      <c r="AN125" t="str">
        <f t="shared" si="17"/>
        <v/>
      </c>
    </row>
    <row r="126" spans="40:40" x14ac:dyDescent="0.25">
      <c r="AN126" t="str">
        <f t="shared" si="17"/>
        <v/>
      </c>
    </row>
    <row r="127" spans="40:40" x14ac:dyDescent="0.25">
      <c r="AN127" t="str">
        <f t="shared" si="17"/>
        <v/>
      </c>
    </row>
    <row r="128" spans="40:40" x14ac:dyDescent="0.25">
      <c r="AN128" t="str">
        <f t="shared" si="17"/>
        <v/>
      </c>
    </row>
    <row r="129" spans="40:40" x14ac:dyDescent="0.25">
      <c r="AN129" t="str">
        <f t="shared" si="17"/>
        <v/>
      </c>
    </row>
    <row r="130" spans="40:40" x14ac:dyDescent="0.25">
      <c r="AN130" t="str">
        <f t="shared" si="17"/>
        <v/>
      </c>
    </row>
    <row r="131" spans="40:40" x14ac:dyDescent="0.25">
      <c r="AN131" t="str">
        <f t="shared" si="17"/>
        <v/>
      </c>
    </row>
    <row r="132" spans="40:40" x14ac:dyDescent="0.25">
      <c r="AN132" t="str">
        <f t="shared" si="17"/>
        <v/>
      </c>
    </row>
    <row r="133" spans="40:40" x14ac:dyDescent="0.25">
      <c r="AN133" t="str">
        <f t="shared" si="17"/>
        <v/>
      </c>
    </row>
    <row r="134" spans="40:40" x14ac:dyDescent="0.25">
      <c r="AN134" t="str">
        <f t="shared" ref="AN134:AN197" si="18">IF(AND(AL133&gt;0, AL133&lt;1000000), AM133,"")</f>
        <v/>
      </c>
    </row>
    <row r="135" spans="40:40" x14ac:dyDescent="0.25">
      <c r="AN135" t="str">
        <f t="shared" si="18"/>
        <v/>
      </c>
    </row>
    <row r="136" spans="40:40" x14ac:dyDescent="0.25">
      <c r="AN136" t="str">
        <f t="shared" si="18"/>
        <v/>
      </c>
    </row>
    <row r="137" spans="40:40" x14ac:dyDescent="0.25">
      <c r="AN137" t="str">
        <f t="shared" si="18"/>
        <v/>
      </c>
    </row>
    <row r="138" spans="40:40" x14ac:dyDescent="0.25">
      <c r="AN138" t="str">
        <f t="shared" si="18"/>
        <v/>
      </c>
    </row>
    <row r="139" spans="40:40" x14ac:dyDescent="0.25">
      <c r="AN139" t="str">
        <f t="shared" si="18"/>
        <v/>
      </c>
    </row>
    <row r="140" spans="40:40" x14ac:dyDescent="0.25">
      <c r="AN140" t="str">
        <f t="shared" si="18"/>
        <v/>
      </c>
    </row>
    <row r="141" spans="40:40" x14ac:dyDescent="0.25">
      <c r="AN141" t="str">
        <f t="shared" si="18"/>
        <v/>
      </c>
    </row>
    <row r="142" spans="40:40" x14ac:dyDescent="0.25">
      <c r="AN142" t="str">
        <f t="shared" si="18"/>
        <v/>
      </c>
    </row>
    <row r="143" spans="40:40" x14ac:dyDescent="0.25">
      <c r="AN143" t="str">
        <f t="shared" si="18"/>
        <v/>
      </c>
    </row>
    <row r="144" spans="40:40" x14ac:dyDescent="0.25">
      <c r="AN144" t="str">
        <f t="shared" si="18"/>
        <v/>
      </c>
    </row>
    <row r="145" spans="40:40" x14ac:dyDescent="0.25">
      <c r="AN145" t="str">
        <f t="shared" si="18"/>
        <v/>
      </c>
    </row>
    <row r="146" spans="40:40" x14ac:dyDescent="0.25">
      <c r="AN146" t="str">
        <f t="shared" si="18"/>
        <v/>
      </c>
    </row>
    <row r="147" spans="40:40" x14ac:dyDescent="0.25">
      <c r="AN147" t="str">
        <f t="shared" si="18"/>
        <v/>
      </c>
    </row>
    <row r="148" spans="40:40" x14ac:dyDescent="0.25">
      <c r="AN148" t="str">
        <f t="shared" si="18"/>
        <v/>
      </c>
    </row>
    <row r="149" spans="40:40" x14ac:dyDescent="0.25">
      <c r="AN149" t="str">
        <f t="shared" si="18"/>
        <v/>
      </c>
    </row>
    <row r="150" spans="40:40" x14ac:dyDescent="0.25">
      <c r="AN150" t="str">
        <f t="shared" si="18"/>
        <v/>
      </c>
    </row>
    <row r="151" spans="40:40" x14ac:dyDescent="0.25">
      <c r="AN151" t="str">
        <f t="shared" si="18"/>
        <v/>
      </c>
    </row>
    <row r="152" spans="40:40" x14ac:dyDescent="0.25">
      <c r="AN152" t="str">
        <f t="shared" si="18"/>
        <v/>
      </c>
    </row>
    <row r="153" spans="40:40" x14ac:dyDescent="0.25">
      <c r="AN153" t="str">
        <f t="shared" si="18"/>
        <v/>
      </c>
    </row>
    <row r="154" spans="40:40" x14ac:dyDescent="0.25">
      <c r="AN154" t="str">
        <f t="shared" si="18"/>
        <v/>
      </c>
    </row>
    <row r="155" spans="40:40" x14ac:dyDescent="0.25">
      <c r="AN155" t="str">
        <f t="shared" si="18"/>
        <v/>
      </c>
    </row>
    <row r="156" spans="40:40" x14ac:dyDescent="0.25">
      <c r="AN156" t="str">
        <f t="shared" si="18"/>
        <v/>
      </c>
    </row>
    <row r="157" spans="40:40" x14ac:dyDescent="0.25">
      <c r="AN157" t="str">
        <f t="shared" si="18"/>
        <v/>
      </c>
    </row>
    <row r="158" spans="40:40" x14ac:dyDescent="0.25">
      <c r="AN158" t="str">
        <f t="shared" si="18"/>
        <v/>
      </c>
    </row>
    <row r="159" spans="40:40" x14ac:dyDescent="0.25">
      <c r="AN159" t="str">
        <f t="shared" si="18"/>
        <v/>
      </c>
    </row>
    <row r="160" spans="40:40" x14ac:dyDescent="0.25">
      <c r="AN160" t="str">
        <f t="shared" si="18"/>
        <v/>
      </c>
    </row>
    <row r="161" spans="40:40" x14ac:dyDescent="0.25">
      <c r="AN161" t="str">
        <f t="shared" si="18"/>
        <v/>
      </c>
    </row>
    <row r="162" spans="40:40" x14ac:dyDescent="0.25">
      <c r="AN162" t="str">
        <f t="shared" si="18"/>
        <v/>
      </c>
    </row>
    <row r="163" spans="40:40" x14ac:dyDescent="0.25">
      <c r="AN163" t="str">
        <f t="shared" si="18"/>
        <v/>
      </c>
    </row>
    <row r="164" spans="40:40" x14ac:dyDescent="0.25">
      <c r="AN164" t="str">
        <f t="shared" si="18"/>
        <v/>
      </c>
    </row>
    <row r="165" spans="40:40" x14ac:dyDescent="0.25">
      <c r="AN165" t="str">
        <f t="shared" si="18"/>
        <v/>
      </c>
    </row>
    <row r="166" spans="40:40" x14ac:dyDescent="0.25">
      <c r="AN166" t="str">
        <f t="shared" si="18"/>
        <v/>
      </c>
    </row>
    <row r="167" spans="40:40" x14ac:dyDescent="0.25">
      <c r="AN167" t="str">
        <f t="shared" si="18"/>
        <v/>
      </c>
    </row>
    <row r="168" spans="40:40" x14ac:dyDescent="0.25">
      <c r="AN168" t="str">
        <f t="shared" si="18"/>
        <v/>
      </c>
    </row>
    <row r="169" spans="40:40" x14ac:dyDescent="0.25">
      <c r="AN169" t="str">
        <f t="shared" si="18"/>
        <v/>
      </c>
    </row>
    <row r="170" spans="40:40" x14ac:dyDescent="0.25">
      <c r="AN170" t="str">
        <f t="shared" si="18"/>
        <v/>
      </c>
    </row>
    <row r="171" spans="40:40" x14ac:dyDescent="0.25">
      <c r="AN171" t="str">
        <f t="shared" si="18"/>
        <v/>
      </c>
    </row>
    <row r="172" spans="40:40" x14ac:dyDescent="0.25">
      <c r="AN172" t="str">
        <f t="shared" si="18"/>
        <v/>
      </c>
    </row>
    <row r="173" spans="40:40" x14ac:dyDescent="0.25">
      <c r="AN173" t="str">
        <f t="shared" si="18"/>
        <v/>
      </c>
    </row>
    <row r="174" spans="40:40" x14ac:dyDescent="0.25">
      <c r="AN174" t="str">
        <f t="shared" si="18"/>
        <v/>
      </c>
    </row>
    <row r="175" spans="40:40" x14ac:dyDescent="0.25">
      <c r="AN175" t="str">
        <f t="shared" si="18"/>
        <v/>
      </c>
    </row>
    <row r="176" spans="40:40" x14ac:dyDescent="0.25">
      <c r="AN176" t="str">
        <f t="shared" si="18"/>
        <v/>
      </c>
    </row>
    <row r="177" spans="40:40" x14ac:dyDescent="0.25">
      <c r="AN177" t="str">
        <f t="shared" si="18"/>
        <v/>
      </c>
    </row>
    <row r="178" spans="40:40" x14ac:dyDescent="0.25">
      <c r="AN178" t="str">
        <f t="shared" si="18"/>
        <v/>
      </c>
    </row>
    <row r="179" spans="40:40" x14ac:dyDescent="0.25">
      <c r="AN179" t="str">
        <f t="shared" si="18"/>
        <v/>
      </c>
    </row>
    <row r="180" spans="40:40" x14ac:dyDescent="0.25">
      <c r="AN180" t="str">
        <f t="shared" si="18"/>
        <v/>
      </c>
    </row>
    <row r="181" spans="40:40" x14ac:dyDescent="0.25">
      <c r="AN181" t="str">
        <f t="shared" si="18"/>
        <v/>
      </c>
    </row>
    <row r="182" spans="40:40" x14ac:dyDescent="0.25">
      <c r="AN182" t="str">
        <f t="shared" si="18"/>
        <v/>
      </c>
    </row>
    <row r="183" spans="40:40" x14ac:dyDescent="0.25">
      <c r="AN183" t="str">
        <f t="shared" si="18"/>
        <v/>
      </c>
    </row>
    <row r="184" spans="40:40" x14ac:dyDescent="0.25">
      <c r="AN184" t="str">
        <f t="shared" si="18"/>
        <v/>
      </c>
    </row>
    <row r="185" spans="40:40" x14ac:dyDescent="0.25">
      <c r="AN185" t="str">
        <f t="shared" si="18"/>
        <v/>
      </c>
    </row>
    <row r="186" spans="40:40" x14ac:dyDescent="0.25">
      <c r="AN186" t="str">
        <f t="shared" si="18"/>
        <v/>
      </c>
    </row>
    <row r="187" spans="40:40" x14ac:dyDescent="0.25">
      <c r="AN187" t="str">
        <f t="shared" si="18"/>
        <v/>
      </c>
    </row>
    <row r="188" spans="40:40" x14ac:dyDescent="0.25">
      <c r="AN188" t="str">
        <f t="shared" si="18"/>
        <v/>
      </c>
    </row>
    <row r="189" spans="40:40" x14ac:dyDescent="0.25">
      <c r="AN189" t="str">
        <f t="shared" si="18"/>
        <v/>
      </c>
    </row>
    <row r="190" spans="40:40" x14ac:dyDescent="0.25">
      <c r="AN190" t="str">
        <f t="shared" si="18"/>
        <v/>
      </c>
    </row>
    <row r="191" spans="40:40" x14ac:dyDescent="0.25">
      <c r="AN191" t="str">
        <f t="shared" si="18"/>
        <v/>
      </c>
    </row>
    <row r="192" spans="40:40" x14ac:dyDescent="0.25">
      <c r="AN192" t="str">
        <f t="shared" si="18"/>
        <v/>
      </c>
    </row>
    <row r="193" spans="40:40" x14ac:dyDescent="0.25">
      <c r="AN193" t="str">
        <f t="shared" si="18"/>
        <v/>
      </c>
    </row>
    <row r="194" spans="40:40" x14ac:dyDescent="0.25">
      <c r="AN194" t="str">
        <f t="shared" si="18"/>
        <v/>
      </c>
    </row>
    <row r="195" spans="40:40" x14ac:dyDescent="0.25">
      <c r="AN195" t="str">
        <f t="shared" si="18"/>
        <v/>
      </c>
    </row>
    <row r="196" spans="40:40" x14ac:dyDescent="0.25">
      <c r="AN196" t="str">
        <f t="shared" si="18"/>
        <v/>
      </c>
    </row>
    <row r="197" spans="40:40" x14ac:dyDescent="0.25">
      <c r="AN197" t="str">
        <f t="shared" si="18"/>
        <v/>
      </c>
    </row>
    <row r="198" spans="40:40" x14ac:dyDescent="0.25">
      <c r="AN198" t="str">
        <f t="shared" ref="AN198:AN261" si="19">IF(AND(AL197&gt;0, AL197&lt;1000000), AM197,"")</f>
        <v/>
      </c>
    </row>
    <row r="199" spans="40:40" x14ac:dyDescent="0.25">
      <c r="AN199" t="str">
        <f t="shared" si="19"/>
        <v/>
      </c>
    </row>
    <row r="200" spans="40:40" x14ac:dyDescent="0.25">
      <c r="AN200" t="str">
        <f t="shared" si="19"/>
        <v/>
      </c>
    </row>
    <row r="201" spans="40:40" x14ac:dyDescent="0.25">
      <c r="AN201" t="str">
        <f t="shared" si="19"/>
        <v/>
      </c>
    </row>
    <row r="202" spans="40:40" x14ac:dyDescent="0.25">
      <c r="AN202" t="str">
        <f t="shared" si="19"/>
        <v/>
      </c>
    </row>
    <row r="203" spans="40:40" x14ac:dyDescent="0.25">
      <c r="AN203" t="str">
        <f t="shared" si="19"/>
        <v/>
      </c>
    </row>
    <row r="204" spans="40:40" x14ac:dyDescent="0.25">
      <c r="AN204" t="str">
        <f t="shared" si="19"/>
        <v/>
      </c>
    </row>
    <row r="205" spans="40:40" x14ac:dyDescent="0.25">
      <c r="AN205" t="str">
        <f t="shared" si="19"/>
        <v/>
      </c>
    </row>
    <row r="206" spans="40:40" x14ac:dyDescent="0.25">
      <c r="AN206" t="str">
        <f t="shared" si="19"/>
        <v/>
      </c>
    </row>
    <row r="207" spans="40:40" x14ac:dyDescent="0.25">
      <c r="AN207" t="str">
        <f t="shared" si="19"/>
        <v/>
      </c>
    </row>
    <row r="208" spans="40:40" x14ac:dyDescent="0.25">
      <c r="AN208" t="str">
        <f t="shared" si="19"/>
        <v/>
      </c>
    </row>
    <row r="209" spans="40:40" x14ac:dyDescent="0.25">
      <c r="AN209" t="str">
        <f t="shared" si="19"/>
        <v/>
      </c>
    </row>
    <row r="210" spans="40:40" x14ac:dyDescent="0.25">
      <c r="AN210" t="str">
        <f t="shared" si="19"/>
        <v/>
      </c>
    </row>
    <row r="211" spans="40:40" x14ac:dyDescent="0.25">
      <c r="AN211" t="str">
        <f t="shared" si="19"/>
        <v/>
      </c>
    </row>
    <row r="212" spans="40:40" x14ac:dyDescent="0.25">
      <c r="AN212" t="str">
        <f t="shared" si="19"/>
        <v/>
      </c>
    </row>
    <row r="213" spans="40:40" x14ac:dyDescent="0.25">
      <c r="AN213" t="str">
        <f t="shared" si="19"/>
        <v/>
      </c>
    </row>
    <row r="214" spans="40:40" x14ac:dyDescent="0.25">
      <c r="AN214" t="str">
        <f t="shared" si="19"/>
        <v/>
      </c>
    </row>
    <row r="215" spans="40:40" x14ac:dyDescent="0.25">
      <c r="AN215" t="str">
        <f t="shared" si="19"/>
        <v/>
      </c>
    </row>
    <row r="216" spans="40:40" x14ac:dyDescent="0.25">
      <c r="AN216" t="str">
        <f t="shared" si="19"/>
        <v/>
      </c>
    </row>
    <row r="217" spans="40:40" x14ac:dyDescent="0.25">
      <c r="AN217" t="str">
        <f t="shared" si="19"/>
        <v/>
      </c>
    </row>
    <row r="218" spans="40:40" x14ac:dyDescent="0.25">
      <c r="AN218" t="str">
        <f t="shared" si="19"/>
        <v/>
      </c>
    </row>
    <row r="219" spans="40:40" x14ac:dyDescent="0.25">
      <c r="AN219" t="str">
        <f t="shared" si="19"/>
        <v/>
      </c>
    </row>
    <row r="220" spans="40:40" x14ac:dyDescent="0.25">
      <c r="AN220" t="str">
        <f t="shared" si="19"/>
        <v/>
      </c>
    </row>
    <row r="221" spans="40:40" x14ac:dyDescent="0.25">
      <c r="AN221" t="str">
        <f t="shared" si="19"/>
        <v/>
      </c>
    </row>
    <row r="222" spans="40:40" x14ac:dyDescent="0.25">
      <c r="AN222" t="str">
        <f t="shared" si="19"/>
        <v/>
      </c>
    </row>
    <row r="223" spans="40:40" x14ac:dyDescent="0.25">
      <c r="AN223" t="str">
        <f t="shared" si="19"/>
        <v/>
      </c>
    </row>
    <row r="224" spans="40:40" x14ac:dyDescent="0.25">
      <c r="AN224" t="str">
        <f t="shared" si="19"/>
        <v/>
      </c>
    </row>
    <row r="225" spans="40:40" x14ac:dyDescent="0.25">
      <c r="AN225" t="str">
        <f t="shared" si="19"/>
        <v/>
      </c>
    </row>
    <row r="226" spans="40:40" x14ac:dyDescent="0.25">
      <c r="AN226" t="str">
        <f t="shared" si="19"/>
        <v/>
      </c>
    </row>
    <row r="227" spans="40:40" x14ac:dyDescent="0.25">
      <c r="AN227" t="str">
        <f t="shared" si="19"/>
        <v/>
      </c>
    </row>
    <row r="228" spans="40:40" x14ac:dyDescent="0.25">
      <c r="AN228" t="str">
        <f t="shared" si="19"/>
        <v/>
      </c>
    </row>
    <row r="229" spans="40:40" x14ac:dyDescent="0.25">
      <c r="AN229" t="str">
        <f t="shared" si="19"/>
        <v/>
      </c>
    </row>
    <row r="230" spans="40:40" x14ac:dyDescent="0.25">
      <c r="AN230" t="str">
        <f t="shared" si="19"/>
        <v/>
      </c>
    </row>
    <row r="231" spans="40:40" x14ac:dyDescent="0.25">
      <c r="AN231" t="str">
        <f t="shared" si="19"/>
        <v/>
      </c>
    </row>
    <row r="232" spans="40:40" x14ac:dyDescent="0.25">
      <c r="AN232" t="str">
        <f t="shared" si="19"/>
        <v/>
      </c>
    </row>
    <row r="233" spans="40:40" x14ac:dyDescent="0.25">
      <c r="AN233" t="str">
        <f t="shared" si="19"/>
        <v/>
      </c>
    </row>
    <row r="234" spans="40:40" x14ac:dyDescent="0.25">
      <c r="AN234" t="str">
        <f t="shared" si="19"/>
        <v/>
      </c>
    </row>
    <row r="235" spans="40:40" x14ac:dyDescent="0.25">
      <c r="AN235" t="str">
        <f t="shared" si="19"/>
        <v/>
      </c>
    </row>
    <row r="236" spans="40:40" x14ac:dyDescent="0.25">
      <c r="AN236" t="str">
        <f t="shared" si="19"/>
        <v/>
      </c>
    </row>
    <row r="237" spans="40:40" x14ac:dyDescent="0.25">
      <c r="AN237" t="str">
        <f t="shared" si="19"/>
        <v/>
      </c>
    </row>
    <row r="238" spans="40:40" x14ac:dyDescent="0.25">
      <c r="AN238" t="str">
        <f t="shared" si="19"/>
        <v/>
      </c>
    </row>
    <row r="239" spans="40:40" x14ac:dyDescent="0.25">
      <c r="AN239" t="str">
        <f t="shared" si="19"/>
        <v/>
      </c>
    </row>
    <row r="240" spans="40:40" x14ac:dyDescent="0.25">
      <c r="AN240" t="str">
        <f t="shared" si="19"/>
        <v/>
      </c>
    </row>
    <row r="241" spans="40:40" x14ac:dyDescent="0.25">
      <c r="AN241" t="str">
        <f t="shared" si="19"/>
        <v/>
      </c>
    </row>
    <row r="242" spans="40:40" x14ac:dyDescent="0.25">
      <c r="AN242" t="str">
        <f t="shared" si="19"/>
        <v/>
      </c>
    </row>
    <row r="243" spans="40:40" x14ac:dyDescent="0.25">
      <c r="AN243" t="str">
        <f t="shared" si="19"/>
        <v/>
      </c>
    </row>
    <row r="244" spans="40:40" x14ac:dyDescent="0.25">
      <c r="AN244" t="str">
        <f t="shared" si="19"/>
        <v/>
      </c>
    </row>
    <row r="245" spans="40:40" x14ac:dyDescent="0.25">
      <c r="AN245" t="str">
        <f t="shared" si="19"/>
        <v/>
      </c>
    </row>
    <row r="246" spans="40:40" x14ac:dyDescent="0.25">
      <c r="AN246" t="str">
        <f t="shared" si="19"/>
        <v/>
      </c>
    </row>
    <row r="247" spans="40:40" x14ac:dyDescent="0.25">
      <c r="AN247" t="str">
        <f t="shared" si="19"/>
        <v/>
      </c>
    </row>
    <row r="248" spans="40:40" x14ac:dyDescent="0.25">
      <c r="AN248" t="str">
        <f t="shared" si="19"/>
        <v/>
      </c>
    </row>
    <row r="249" spans="40:40" x14ac:dyDescent="0.25">
      <c r="AN249" t="str">
        <f t="shared" si="19"/>
        <v/>
      </c>
    </row>
    <row r="250" spans="40:40" x14ac:dyDescent="0.25">
      <c r="AN250" t="str">
        <f t="shared" si="19"/>
        <v/>
      </c>
    </row>
    <row r="251" spans="40:40" x14ac:dyDescent="0.25">
      <c r="AN251" t="str">
        <f t="shared" si="19"/>
        <v/>
      </c>
    </row>
    <row r="252" spans="40:40" x14ac:dyDescent="0.25">
      <c r="AN252" t="str">
        <f t="shared" si="19"/>
        <v/>
      </c>
    </row>
    <row r="253" spans="40:40" x14ac:dyDescent="0.25">
      <c r="AN253" t="str">
        <f t="shared" si="19"/>
        <v/>
      </c>
    </row>
    <row r="254" spans="40:40" x14ac:dyDescent="0.25">
      <c r="AN254" t="str">
        <f t="shared" si="19"/>
        <v/>
      </c>
    </row>
    <row r="255" spans="40:40" x14ac:dyDescent="0.25">
      <c r="AN255" t="str">
        <f t="shared" si="19"/>
        <v/>
      </c>
    </row>
    <row r="256" spans="40:40" x14ac:dyDescent="0.25">
      <c r="AN256" t="str">
        <f t="shared" si="19"/>
        <v/>
      </c>
    </row>
    <row r="257" spans="40:40" x14ac:dyDescent="0.25">
      <c r="AN257" t="str">
        <f t="shared" si="19"/>
        <v/>
      </c>
    </row>
    <row r="258" spans="40:40" x14ac:dyDescent="0.25">
      <c r="AN258" t="str">
        <f t="shared" si="19"/>
        <v/>
      </c>
    </row>
    <row r="259" spans="40:40" x14ac:dyDescent="0.25">
      <c r="AN259" t="str">
        <f t="shared" si="19"/>
        <v/>
      </c>
    </row>
    <row r="260" spans="40:40" x14ac:dyDescent="0.25">
      <c r="AN260" t="str">
        <f t="shared" si="19"/>
        <v/>
      </c>
    </row>
    <row r="261" spans="40:40" x14ac:dyDescent="0.25">
      <c r="AN261" t="str">
        <f t="shared" si="19"/>
        <v/>
      </c>
    </row>
    <row r="262" spans="40:40" x14ac:dyDescent="0.25">
      <c r="AN262" t="str">
        <f t="shared" ref="AN262:AN325" si="20">IF(AND(AL261&gt;0, AL261&lt;1000000), AM261,"")</f>
        <v/>
      </c>
    </row>
    <row r="263" spans="40:40" x14ac:dyDescent="0.25">
      <c r="AN263" t="str">
        <f t="shared" si="20"/>
        <v/>
      </c>
    </row>
    <row r="264" spans="40:40" x14ac:dyDescent="0.25">
      <c r="AN264" t="str">
        <f t="shared" si="20"/>
        <v/>
      </c>
    </row>
    <row r="265" spans="40:40" x14ac:dyDescent="0.25">
      <c r="AN265" t="str">
        <f t="shared" si="20"/>
        <v/>
      </c>
    </row>
    <row r="266" spans="40:40" x14ac:dyDescent="0.25">
      <c r="AN266" t="str">
        <f t="shared" si="20"/>
        <v/>
      </c>
    </row>
    <row r="267" spans="40:40" x14ac:dyDescent="0.25">
      <c r="AN267" t="str">
        <f t="shared" si="20"/>
        <v/>
      </c>
    </row>
    <row r="268" spans="40:40" x14ac:dyDescent="0.25">
      <c r="AN268" t="str">
        <f t="shared" si="20"/>
        <v/>
      </c>
    </row>
    <row r="269" spans="40:40" x14ac:dyDescent="0.25">
      <c r="AN269" t="str">
        <f t="shared" si="20"/>
        <v/>
      </c>
    </row>
    <row r="270" spans="40:40" x14ac:dyDescent="0.25">
      <c r="AN270" t="str">
        <f t="shared" si="20"/>
        <v/>
      </c>
    </row>
    <row r="271" spans="40:40" x14ac:dyDescent="0.25">
      <c r="AN271" t="str">
        <f t="shared" si="20"/>
        <v/>
      </c>
    </row>
    <row r="272" spans="40:40" x14ac:dyDescent="0.25">
      <c r="AN272" t="str">
        <f t="shared" si="20"/>
        <v/>
      </c>
    </row>
    <row r="273" spans="40:40" x14ac:dyDescent="0.25">
      <c r="AN273" t="str">
        <f t="shared" si="20"/>
        <v/>
      </c>
    </row>
    <row r="274" spans="40:40" x14ac:dyDescent="0.25">
      <c r="AN274" t="str">
        <f t="shared" si="20"/>
        <v/>
      </c>
    </row>
    <row r="275" spans="40:40" x14ac:dyDescent="0.25">
      <c r="AN275" t="str">
        <f t="shared" si="20"/>
        <v/>
      </c>
    </row>
    <row r="276" spans="40:40" x14ac:dyDescent="0.25">
      <c r="AN276" t="str">
        <f t="shared" si="20"/>
        <v/>
      </c>
    </row>
    <row r="277" spans="40:40" x14ac:dyDescent="0.25">
      <c r="AN277" t="str">
        <f t="shared" si="20"/>
        <v/>
      </c>
    </row>
    <row r="278" spans="40:40" x14ac:dyDescent="0.25">
      <c r="AN278" t="str">
        <f t="shared" si="20"/>
        <v/>
      </c>
    </row>
    <row r="279" spans="40:40" x14ac:dyDescent="0.25">
      <c r="AN279" t="str">
        <f t="shared" si="20"/>
        <v/>
      </c>
    </row>
    <row r="280" spans="40:40" x14ac:dyDescent="0.25">
      <c r="AN280" t="str">
        <f t="shared" si="20"/>
        <v/>
      </c>
    </row>
    <row r="281" spans="40:40" x14ac:dyDescent="0.25">
      <c r="AN281" t="str">
        <f t="shared" si="20"/>
        <v/>
      </c>
    </row>
    <row r="282" spans="40:40" x14ac:dyDescent="0.25">
      <c r="AN282" t="str">
        <f t="shared" si="20"/>
        <v/>
      </c>
    </row>
    <row r="283" spans="40:40" x14ac:dyDescent="0.25">
      <c r="AN283" t="str">
        <f t="shared" si="20"/>
        <v/>
      </c>
    </row>
    <row r="284" spans="40:40" x14ac:dyDescent="0.25">
      <c r="AN284" t="str">
        <f t="shared" si="20"/>
        <v/>
      </c>
    </row>
    <row r="285" spans="40:40" x14ac:dyDescent="0.25">
      <c r="AN285" t="str">
        <f t="shared" si="20"/>
        <v/>
      </c>
    </row>
    <row r="286" spans="40:40" x14ac:dyDescent="0.25">
      <c r="AN286" t="str">
        <f t="shared" si="20"/>
        <v/>
      </c>
    </row>
    <row r="287" spans="40:40" x14ac:dyDescent="0.25">
      <c r="AN287" t="str">
        <f t="shared" si="20"/>
        <v/>
      </c>
    </row>
    <row r="288" spans="40:40" x14ac:dyDescent="0.25">
      <c r="AN288" t="str">
        <f t="shared" si="20"/>
        <v/>
      </c>
    </row>
    <row r="289" spans="40:40" x14ac:dyDescent="0.25">
      <c r="AN289" t="str">
        <f t="shared" si="20"/>
        <v/>
      </c>
    </row>
    <row r="290" spans="40:40" x14ac:dyDescent="0.25">
      <c r="AN290" t="str">
        <f t="shared" si="20"/>
        <v/>
      </c>
    </row>
    <row r="291" spans="40:40" x14ac:dyDescent="0.25">
      <c r="AN291" t="str">
        <f t="shared" si="20"/>
        <v/>
      </c>
    </row>
    <row r="292" spans="40:40" x14ac:dyDescent="0.25">
      <c r="AN292" t="str">
        <f t="shared" si="20"/>
        <v/>
      </c>
    </row>
    <row r="293" spans="40:40" x14ac:dyDescent="0.25">
      <c r="AN293" t="str">
        <f t="shared" si="20"/>
        <v/>
      </c>
    </row>
    <row r="294" spans="40:40" x14ac:dyDescent="0.25">
      <c r="AN294" t="str">
        <f t="shared" si="20"/>
        <v/>
      </c>
    </row>
    <row r="295" spans="40:40" x14ac:dyDescent="0.25">
      <c r="AN295" t="str">
        <f t="shared" si="20"/>
        <v/>
      </c>
    </row>
    <row r="296" spans="40:40" x14ac:dyDescent="0.25">
      <c r="AN296" t="str">
        <f t="shared" si="20"/>
        <v/>
      </c>
    </row>
    <row r="297" spans="40:40" x14ac:dyDescent="0.25">
      <c r="AN297" t="str">
        <f t="shared" si="20"/>
        <v/>
      </c>
    </row>
    <row r="298" spans="40:40" x14ac:dyDescent="0.25">
      <c r="AN298" t="str">
        <f t="shared" si="20"/>
        <v/>
      </c>
    </row>
    <row r="299" spans="40:40" x14ac:dyDescent="0.25">
      <c r="AN299" t="str">
        <f t="shared" si="20"/>
        <v/>
      </c>
    </row>
    <row r="300" spans="40:40" x14ac:dyDescent="0.25">
      <c r="AN300" t="str">
        <f t="shared" si="20"/>
        <v/>
      </c>
    </row>
    <row r="301" spans="40:40" x14ac:dyDescent="0.25">
      <c r="AN301" t="str">
        <f t="shared" si="20"/>
        <v/>
      </c>
    </row>
    <row r="302" spans="40:40" x14ac:dyDescent="0.25">
      <c r="AN302" t="str">
        <f t="shared" si="20"/>
        <v/>
      </c>
    </row>
    <row r="303" spans="40:40" x14ac:dyDescent="0.25">
      <c r="AN303" t="str">
        <f t="shared" si="20"/>
        <v/>
      </c>
    </row>
    <row r="304" spans="40:40" x14ac:dyDescent="0.25">
      <c r="AN304" t="str">
        <f t="shared" si="20"/>
        <v/>
      </c>
    </row>
    <row r="305" spans="40:40" x14ac:dyDescent="0.25">
      <c r="AN305" t="str">
        <f t="shared" si="20"/>
        <v/>
      </c>
    </row>
    <row r="306" spans="40:40" x14ac:dyDescent="0.25">
      <c r="AN306" t="str">
        <f t="shared" si="20"/>
        <v/>
      </c>
    </row>
    <row r="307" spans="40:40" x14ac:dyDescent="0.25">
      <c r="AN307" t="str">
        <f t="shared" si="20"/>
        <v/>
      </c>
    </row>
    <row r="308" spans="40:40" x14ac:dyDescent="0.25">
      <c r="AN308" t="str">
        <f t="shared" si="20"/>
        <v/>
      </c>
    </row>
    <row r="309" spans="40:40" x14ac:dyDescent="0.25">
      <c r="AN309" t="str">
        <f t="shared" si="20"/>
        <v/>
      </c>
    </row>
    <row r="310" spans="40:40" x14ac:dyDescent="0.25">
      <c r="AN310" t="str">
        <f t="shared" si="20"/>
        <v/>
      </c>
    </row>
    <row r="311" spans="40:40" x14ac:dyDescent="0.25">
      <c r="AN311" t="str">
        <f t="shared" si="20"/>
        <v/>
      </c>
    </row>
    <row r="312" spans="40:40" x14ac:dyDescent="0.25">
      <c r="AN312" t="str">
        <f t="shared" si="20"/>
        <v/>
      </c>
    </row>
    <row r="313" spans="40:40" x14ac:dyDescent="0.25">
      <c r="AN313" t="str">
        <f t="shared" si="20"/>
        <v/>
      </c>
    </row>
    <row r="314" spans="40:40" x14ac:dyDescent="0.25">
      <c r="AN314" t="str">
        <f t="shared" si="20"/>
        <v/>
      </c>
    </row>
    <row r="315" spans="40:40" x14ac:dyDescent="0.25">
      <c r="AN315" t="str">
        <f t="shared" si="20"/>
        <v/>
      </c>
    </row>
    <row r="316" spans="40:40" x14ac:dyDescent="0.25">
      <c r="AN316" t="str">
        <f t="shared" si="20"/>
        <v/>
      </c>
    </row>
    <row r="317" spans="40:40" x14ac:dyDescent="0.25">
      <c r="AN317" t="str">
        <f t="shared" si="20"/>
        <v/>
      </c>
    </row>
    <row r="318" spans="40:40" x14ac:dyDescent="0.25">
      <c r="AN318" t="str">
        <f t="shared" si="20"/>
        <v/>
      </c>
    </row>
    <row r="319" spans="40:40" x14ac:dyDescent="0.25">
      <c r="AN319" t="str">
        <f t="shared" si="20"/>
        <v/>
      </c>
    </row>
    <row r="320" spans="40:40" x14ac:dyDescent="0.25">
      <c r="AN320" t="str">
        <f t="shared" si="20"/>
        <v/>
      </c>
    </row>
    <row r="321" spans="40:40" x14ac:dyDescent="0.25">
      <c r="AN321" t="str">
        <f t="shared" si="20"/>
        <v/>
      </c>
    </row>
    <row r="322" spans="40:40" x14ac:dyDescent="0.25">
      <c r="AN322" t="str">
        <f t="shared" si="20"/>
        <v/>
      </c>
    </row>
    <row r="323" spans="40:40" x14ac:dyDescent="0.25">
      <c r="AN323" t="str">
        <f t="shared" si="20"/>
        <v/>
      </c>
    </row>
    <row r="324" spans="40:40" x14ac:dyDescent="0.25">
      <c r="AN324" t="str">
        <f t="shared" si="20"/>
        <v/>
      </c>
    </row>
    <row r="325" spans="40:40" x14ac:dyDescent="0.25">
      <c r="AN325" t="str">
        <f t="shared" si="20"/>
        <v/>
      </c>
    </row>
    <row r="326" spans="40:40" x14ac:dyDescent="0.25">
      <c r="AN326" t="str">
        <f t="shared" ref="AN326:AN377" si="21">IF(AND(AL325&gt;0, AL325&lt;1000000), AM325,"")</f>
        <v/>
      </c>
    </row>
    <row r="327" spans="40:40" x14ac:dyDescent="0.25">
      <c r="AN327" t="str">
        <f t="shared" si="21"/>
        <v/>
      </c>
    </row>
    <row r="328" spans="40:40" x14ac:dyDescent="0.25">
      <c r="AN328" t="str">
        <f t="shared" si="21"/>
        <v/>
      </c>
    </row>
    <row r="329" spans="40:40" x14ac:dyDescent="0.25">
      <c r="AN329" t="str">
        <f t="shared" si="21"/>
        <v/>
      </c>
    </row>
    <row r="330" spans="40:40" x14ac:dyDescent="0.25">
      <c r="AN330" t="str">
        <f t="shared" si="21"/>
        <v/>
      </c>
    </row>
    <row r="331" spans="40:40" x14ac:dyDescent="0.25">
      <c r="AN331" t="str">
        <f t="shared" si="21"/>
        <v/>
      </c>
    </row>
    <row r="332" spans="40:40" x14ac:dyDescent="0.25">
      <c r="AN332" t="str">
        <f t="shared" si="21"/>
        <v/>
      </c>
    </row>
    <row r="333" spans="40:40" x14ac:dyDescent="0.25">
      <c r="AN333" t="str">
        <f t="shared" si="21"/>
        <v/>
      </c>
    </row>
    <row r="334" spans="40:40" x14ac:dyDescent="0.25">
      <c r="AN334" t="str">
        <f t="shared" si="21"/>
        <v/>
      </c>
    </row>
    <row r="335" spans="40:40" x14ac:dyDescent="0.25">
      <c r="AN335" t="str">
        <f t="shared" si="21"/>
        <v/>
      </c>
    </row>
    <row r="336" spans="40:40" x14ac:dyDescent="0.25">
      <c r="AN336" t="str">
        <f t="shared" si="21"/>
        <v/>
      </c>
    </row>
    <row r="337" spans="40:40" x14ac:dyDescent="0.25">
      <c r="AN337" t="str">
        <f t="shared" si="21"/>
        <v/>
      </c>
    </row>
    <row r="338" spans="40:40" x14ac:dyDescent="0.25">
      <c r="AN338" t="str">
        <f t="shared" si="21"/>
        <v/>
      </c>
    </row>
    <row r="339" spans="40:40" x14ac:dyDescent="0.25">
      <c r="AN339" t="str">
        <f t="shared" si="21"/>
        <v/>
      </c>
    </row>
    <row r="340" spans="40:40" x14ac:dyDescent="0.25">
      <c r="AN340" t="str">
        <f t="shared" si="21"/>
        <v/>
      </c>
    </row>
    <row r="341" spans="40:40" x14ac:dyDescent="0.25">
      <c r="AN341" t="str">
        <f t="shared" si="21"/>
        <v/>
      </c>
    </row>
    <row r="342" spans="40:40" x14ac:dyDescent="0.25">
      <c r="AN342" t="str">
        <f t="shared" si="21"/>
        <v/>
      </c>
    </row>
    <row r="343" spans="40:40" x14ac:dyDescent="0.25">
      <c r="AN343" t="str">
        <f t="shared" si="21"/>
        <v/>
      </c>
    </row>
    <row r="344" spans="40:40" x14ac:dyDescent="0.25">
      <c r="AN344" t="str">
        <f t="shared" si="21"/>
        <v/>
      </c>
    </row>
    <row r="345" spans="40:40" x14ac:dyDescent="0.25">
      <c r="AN345" t="str">
        <f t="shared" si="21"/>
        <v/>
      </c>
    </row>
    <row r="346" spans="40:40" x14ac:dyDescent="0.25">
      <c r="AN346" t="str">
        <f t="shared" si="21"/>
        <v/>
      </c>
    </row>
    <row r="347" spans="40:40" x14ac:dyDescent="0.25">
      <c r="AN347" t="str">
        <f t="shared" si="21"/>
        <v/>
      </c>
    </row>
    <row r="348" spans="40:40" x14ac:dyDescent="0.25">
      <c r="AN348" t="str">
        <f t="shared" si="21"/>
        <v/>
      </c>
    </row>
    <row r="349" spans="40:40" x14ac:dyDescent="0.25">
      <c r="AN349" t="str">
        <f t="shared" si="21"/>
        <v/>
      </c>
    </row>
    <row r="350" spans="40:40" x14ac:dyDescent="0.25">
      <c r="AN350" t="str">
        <f t="shared" si="21"/>
        <v/>
      </c>
    </row>
    <row r="351" spans="40:40" x14ac:dyDescent="0.25">
      <c r="AN351" t="str">
        <f t="shared" si="21"/>
        <v/>
      </c>
    </row>
    <row r="352" spans="40:40" x14ac:dyDescent="0.25">
      <c r="AN352" t="str">
        <f t="shared" si="21"/>
        <v/>
      </c>
    </row>
    <row r="353" spans="40:40" x14ac:dyDescent="0.25">
      <c r="AN353" t="str">
        <f t="shared" si="21"/>
        <v/>
      </c>
    </row>
    <row r="354" spans="40:40" x14ac:dyDescent="0.25">
      <c r="AN354" t="str">
        <f t="shared" si="21"/>
        <v/>
      </c>
    </row>
    <row r="355" spans="40:40" x14ac:dyDescent="0.25">
      <c r="AN355" t="str">
        <f t="shared" si="21"/>
        <v/>
      </c>
    </row>
    <row r="356" spans="40:40" x14ac:dyDescent="0.25">
      <c r="AN356" t="str">
        <f t="shared" si="21"/>
        <v/>
      </c>
    </row>
    <row r="357" spans="40:40" x14ac:dyDescent="0.25">
      <c r="AN357" t="str">
        <f t="shared" si="21"/>
        <v/>
      </c>
    </row>
    <row r="358" spans="40:40" x14ac:dyDescent="0.25">
      <c r="AN358" t="str">
        <f t="shared" si="21"/>
        <v/>
      </c>
    </row>
    <row r="359" spans="40:40" x14ac:dyDescent="0.25">
      <c r="AN359" t="str">
        <f t="shared" si="21"/>
        <v/>
      </c>
    </row>
    <row r="360" spans="40:40" x14ac:dyDescent="0.25">
      <c r="AN360" t="str">
        <f t="shared" si="21"/>
        <v/>
      </c>
    </row>
    <row r="361" spans="40:40" x14ac:dyDescent="0.25">
      <c r="AN361" t="str">
        <f t="shared" si="21"/>
        <v/>
      </c>
    </row>
    <row r="362" spans="40:40" x14ac:dyDescent="0.25">
      <c r="AN362" t="str">
        <f t="shared" si="21"/>
        <v/>
      </c>
    </row>
    <row r="363" spans="40:40" x14ac:dyDescent="0.25">
      <c r="AN363" t="str">
        <f t="shared" si="21"/>
        <v/>
      </c>
    </row>
    <row r="364" spans="40:40" x14ac:dyDescent="0.25">
      <c r="AN364" t="str">
        <f t="shared" si="21"/>
        <v/>
      </c>
    </row>
    <row r="365" spans="40:40" x14ac:dyDescent="0.25">
      <c r="AN365" t="str">
        <f t="shared" si="21"/>
        <v/>
      </c>
    </row>
    <row r="366" spans="40:40" x14ac:dyDescent="0.25">
      <c r="AN366" t="str">
        <f t="shared" si="21"/>
        <v/>
      </c>
    </row>
    <row r="367" spans="40:40" x14ac:dyDescent="0.25">
      <c r="AN367" t="str">
        <f t="shared" si="21"/>
        <v/>
      </c>
    </row>
    <row r="368" spans="40:40" x14ac:dyDescent="0.25">
      <c r="AN368" t="str">
        <f t="shared" si="21"/>
        <v/>
      </c>
    </row>
    <row r="369" spans="40:40" x14ac:dyDescent="0.25">
      <c r="AN369" t="str">
        <f t="shared" si="21"/>
        <v/>
      </c>
    </row>
    <row r="370" spans="40:40" x14ac:dyDescent="0.25">
      <c r="AN370" t="str">
        <f t="shared" si="21"/>
        <v/>
      </c>
    </row>
    <row r="371" spans="40:40" x14ac:dyDescent="0.25">
      <c r="AN371" t="str">
        <f t="shared" si="21"/>
        <v/>
      </c>
    </row>
    <row r="372" spans="40:40" x14ac:dyDescent="0.25">
      <c r="AN372" t="str">
        <f t="shared" si="21"/>
        <v/>
      </c>
    </row>
    <row r="373" spans="40:40" x14ac:dyDescent="0.25">
      <c r="AN373" t="str">
        <f t="shared" si="21"/>
        <v/>
      </c>
    </row>
    <row r="374" spans="40:40" x14ac:dyDescent="0.25">
      <c r="AN374" t="str">
        <f t="shared" si="21"/>
        <v/>
      </c>
    </row>
    <row r="375" spans="40:40" x14ac:dyDescent="0.25">
      <c r="AN375" t="str">
        <f t="shared" si="21"/>
        <v/>
      </c>
    </row>
    <row r="376" spans="40:40" x14ac:dyDescent="0.25">
      <c r="AN376" t="str">
        <f t="shared" si="21"/>
        <v/>
      </c>
    </row>
    <row r="377" spans="40:40" x14ac:dyDescent="0.25">
      <c r="AN377" t="str">
        <f t="shared" si="21"/>
        <v/>
      </c>
    </row>
  </sheetData>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6"/>
  <sheetViews>
    <sheetView workbookViewId="0">
      <selection activeCell="H1" sqref="H1"/>
    </sheetView>
  </sheetViews>
  <sheetFormatPr defaultRowHeight="15" x14ac:dyDescent="0.25"/>
  <cols>
    <col min="2" max="2" width="11.7109375" bestFit="1" customWidth="1"/>
    <col min="3" max="3" width="26.85546875" bestFit="1" customWidth="1"/>
    <col min="4" max="47" width="12.5703125" bestFit="1" customWidth="1"/>
    <col min="48" max="48" width="8.5703125" bestFit="1" customWidth="1"/>
  </cols>
  <sheetData>
    <row r="10" spans="2:3" x14ac:dyDescent="0.25">
      <c r="B10" s="16" t="s">
        <v>94</v>
      </c>
      <c r="C10" t="s">
        <v>154</v>
      </c>
    </row>
    <row r="11" spans="2:3" x14ac:dyDescent="0.25">
      <c r="B11" s="18">
        <v>1</v>
      </c>
      <c r="C11" s="4">
        <v>-0.72499999999999998</v>
      </c>
    </row>
    <row r="12" spans="2:3" x14ac:dyDescent="0.25">
      <c r="B12" s="18">
        <v>2</v>
      </c>
      <c r="C12" s="4">
        <v>-1.0999999999999979</v>
      </c>
    </row>
    <row r="13" spans="2:3" x14ac:dyDescent="0.25">
      <c r="B13" s="18">
        <v>3</v>
      </c>
      <c r="C13" s="4">
        <v>-0.94999999999999984</v>
      </c>
    </row>
    <row r="14" spans="2:3" x14ac:dyDescent="0.25">
      <c r="B14" s="18">
        <v>4</v>
      </c>
      <c r="C14" s="4">
        <v>-0.875</v>
      </c>
    </row>
    <row r="15" spans="2:3" x14ac:dyDescent="0.25">
      <c r="B15" s="18">
        <v>5</v>
      </c>
      <c r="C15" s="4">
        <v>-1.075</v>
      </c>
    </row>
    <row r="16" spans="2:3" x14ac:dyDescent="0.25">
      <c r="B16" s="18" t="s">
        <v>95</v>
      </c>
      <c r="C16" s="4">
        <v>-4.7249999999999979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8</vt:i4>
      </vt:variant>
      <vt:variant>
        <vt:lpstr>טווחים בעלי שם</vt:lpstr>
      </vt:variant>
      <vt:variant>
        <vt:i4>1</vt:i4>
      </vt:variant>
    </vt:vector>
  </HeadingPairs>
  <TitlesOfParts>
    <vt:vector size="9" baseType="lpstr">
      <vt:lpstr>Overview</vt:lpstr>
      <vt:lpstr>TABLE1</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2020-12-18T09:38:31Z</dcterms:modified>
</cp:coreProperties>
</file>