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IFERROR(__xludf.DUMMYFUNCTION("IMPORTRANGE(""https://docs.google.com/spreadsheets/d/1MwogAUBPoRWJFid3P1SlZWzxqi8M0EzAzHpH2tvPPCE/edit#gid=1469220735"",""Настя ЕГЭ!A1:AV1000"")"),"1 веб")</f>
        <v>1 веб</v>
      </c>
      <c r="B1" s="1"/>
      <c r="C1" s="1"/>
      <c r="D1" s="1" t="str">
        <f>IFERROR(__xludf.DUMMYFUNCTION("""COMPUTED_VALUE"""),"2 веб")</f>
        <v>2 веб</v>
      </c>
      <c r="E1" s="1"/>
      <c r="F1" s="1"/>
      <c r="G1" s="1" t="str">
        <f>IFERROR(__xludf.DUMMYFUNCTION("""COMPUTED_VALUE"""),"3 веб")</f>
        <v>3 веб</v>
      </c>
      <c r="H1" s="1"/>
      <c r="I1" s="1"/>
      <c r="J1" s="1" t="str">
        <f>IFERROR(__xludf.DUMMYFUNCTION("""COMPUTED_VALUE"""),"4 веб")</f>
        <v>4 веб</v>
      </c>
      <c r="K1" s="1"/>
      <c r="L1" s="1"/>
      <c r="M1" s="1" t="str">
        <f>IFERROR(__xludf.DUMMYFUNCTION("""COMPUTED_VALUE"""),"5 веб")</f>
        <v>5 веб</v>
      </c>
      <c r="N1" s="1"/>
      <c r="O1" s="1"/>
      <c r="P1" s="1" t="str">
        <f>IFERROR(__xludf.DUMMYFUNCTION("""COMPUTED_VALUE"""),"6 веб")</f>
        <v>6 веб</v>
      </c>
      <c r="Q1" s="1"/>
      <c r="R1" s="1"/>
      <c r="S1" s="1" t="str">
        <f>IFERROR(__xludf.DUMMYFUNCTION("""COMPUTED_VALUE"""),"7 веб")</f>
        <v>7 веб</v>
      </c>
      <c r="T1" s="1"/>
      <c r="U1" s="1"/>
      <c r="V1" s="1" t="str">
        <f>IFERROR(__xludf.DUMMYFUNCTION("""COMPUTED_VALUE"""),"8 веб")</f>
        <v>8 веб</v>
      </c>
      <c r="W1" s="1"/>
      <c r="X1" s="1"/>
      <c r="Y1" s="1" t="str">
        <f>IFERROR(__xludf.DUMMYFUNCTION("""COMPUTED_VALUE"""),"9 веб")</f>
        <v>9 веб</v>
      </c>
      <c r="Z1" s="1"/>
      <c r="AA1" s="1"/>
      <c r="AB1" s="1" t="str">
        <f>IFERROR(__xludf.DUMMYFUNCTION("""COMPUTED_VALUE"""),"10 веб")</f>
        <v>10 веб</v>
      </c>
      <c r="AC1" s="1"/>
      <c r="AD1" s="1"/>
      <c r="AE1" s="1" t="str">
        <f>IFERROR(__xludf.DUMMYFUNCTION("""COMPUTED_VALUE"""),"11 веб")</f>
        <v>11 веб</v>
      </c>
      <c r="AF1" s="1"/>
      <c r="AG1" s="1"/>
      <c r="AH1" s="1" t="str">
        <f>IFERROR(__xludf.DUMMYFUNCTION("""COMPUTED_VALUE"""),"12 веб")</f>
        <v>12 веб</v>
      </c>
      <c r="AI1" s="1"/>
      <c r="AJ1" s="1"/>
      <c r="AK1" s="1" t="str">
        <f>IFERROR(__xludf.DUMMYFUNCTION("""COMPUTED_VALUE"""),"13 веб")</f>
        <v>13 веб</v>
      </c>
      <c r="AL1" s="1"/>
      <c r="AM1" s="1"/>
      <c r="AN1" s="1" t="str">
        <f>IFERROR(__xludf.DUMMYFUNCTION("""COMPUTED_VALUE"""),"14 веб")</f>
        <v>14 веб</v>
      </c>
      <c r="AO1" s="1"/>
      <c r="AP1" s="1"/>
      <c r="AQ1" s="1" t="str">
        <f>IFERROR(__xludf.DUMMYFUNCTION("""COMPUTED_VALUE"""),"15 веб")</f>
        <v>15 веб</v>
      </c>
      <c r="AR1" s="1"/>
      <c r="AS1" s="1"/>
      <c r="AT1" s="1" t="str">
        <f>IFERROR(__xludf.DUMMYFUNCTION("""COMPUTED_VALUE"""),"16 веб")</f>
        <v>16 веб</v>
      </c>
      <c r="AU1" s="1"/>
      <c r="AV1" s="1"/>
    </row>
    <row r="2">
      <c r="A2" s="1" t="str">
        <f>IFERROR(__xludf.DUMMYFUNCTION("""COMPUTED_VALUE"""),"Строение атома и электронные конфигурации.")</f>
        <v>Строение атома и электронные конфигурации.</v>
      </c>
      <c r="B2" s="1"/>
      <c r="C2" s="1"/>
      <c r="D2" s="1" t="str">
        <f>IFERROR(__xludf.DUMMYFUNCTION("""COMPUTED_VALUE"""),"Работа с таблицей Менделеева. Закономерности изменения свойств в ПС.")</f>
        <v>Работа с таблицей Менделеева. Закономерности изменения свойств в ПС.</v>
      </c>
      <c r="E2" s="1"/>
      <c r="F2" s="1"/>
      <c r="G2" s="1" t="str">
        <f>IFERROR(__xludf.DUMMYFUNCTION("""COMPUTED_VALUE"""),"Степень окисления и валентность.")</f>
        <v>Степень окисления и валентность.</v>
      </c>
      <c r="H2" s="1"/>
      <c r="I2" s="1"/>
      <c r="J2" s="1" t="str">
        <f>IFERROR(__xludf.DUMMYFUNCTION("""COMPUTED_VALUE"""),"Основы решения задач. Задание 26 на приготовление растворов.")</f>
        <v>Основы решения задач. Задание 26 на приготовление растворов.</v>
      </c>
      <c r="K2" s="1"/>
      <c r="L2" s="1"/>
      <c r="M2" s="1" t="str">
        <f>IFERROR(__xludf.DUMMYFUNCTION("""COMPUTED_VALUE"""),"Химические связи и кристаллические решётки.")</f>
        <v>Химические связи и кристаллические решётки.</v>
      </c>
      <c r="N2" s="1"/>
      <c r="O2" s="1"/>
      <c r="P2" s="1" t="str">
        <f>IFERROR(__xludf.DUMMYFUNCTION("""COMPUTED_VALUE"""),"Классификация и номенклатура веществ в неорганике. Типы химических реакций.")</f>
        <v>Классификация и номенклатура веществ в неорганике. Типы химических реакций.</v>
      </c>
      <c r="Q2" s="1"/>
      <c r="R2" s="1"/>
      <c r="S2" s="1" t="str">
        <f>IFERROR(__xludf.DUMMYFUNCTION("""COMPUTED_VALUE"""),"Скорость химических реакций.")</f>
        <v>Скорость химических реакций.</v>
      </c>
      <c r="T2" s="1"/>
      <c r="U2" s="1"/>
      <c r="V2" s="1" t="str">
        <f>IFERROR(__xludf.DUMMYFUNCTION("""COMPUTED_VALUE"""),"Задание 27 на тепловой эффект химических реакций.")</f>
        <v>Задание 27 на тепловой эффект химических реакций.</v>
      </c>
      <c r="W2" s="1"/>
      <c r="X2" s="1"/>
      <c r="Y2" s="1" t="str">
        <f>IFERROR(__xludf.DUMMYFUNCTION("""COMPUTED_VALUE"""),"Химическое равновесие.
")</f>
        <v>Химическое равновесие.
</v>
      </c>
      <c r="Z2" s="1"/>
      <c r="AA2" s="1"/>
      <c r="AB2" s="1" t="str">
        <f>IFERROR(__xludf.DUMMYFUNCTION("""COMPUTED_VALUE"""),"Окислительно-восстановительные реакции. Типичные окислители и восстановители.")</f>
        <v>Окислительно-восстановительные реакции. Типичные окислители и восстановители.</v>
      </c>
      <c r="AC2" s="1"/>
      <c r="AD2" s="1"/>
      <c r="AE2" s="1" t="str">
        <f>IFERROR(__xludf.DUMMYFUNCTION("""COMPUTED_VALUE"""),"Электролиз растворов и расплавов веществ.
")</f>
        <v>Электролиз растворов и расплавов веществ.
</v>
      </c>
      <c r="AF2" s="1"/>
      <c r="AG2" s="1"/>
      <c r="AH2" s="1" t="str">
        <f>IFERROR(__xludf.DUMMYFUNCTION("""COMPUTED_VALUE"""),"Новое задание на ЕГЭ по химии. Задание 23.")</f>
        <v>Новое задание на ЕГЭ по химии. Задание 23.</v>
      </c>
      <c r="AI2" s="1"/>
      <c r="AJ2" s="1"/>
      <c r="AK2" s="1" t="str">
        <f>IFERROR(__xludf.DUMMYFUNCTION("""COMPUTED_VALUE"""),"Реакции ионного обмена.
")</f>
        <v>Реакции ионного обмена.
</v>
      </c>
      <c r="AL2" s="1"/>
      <c r="AM2" s="1"/>
      <c r="AN2" s="1" t="str">
        <f>IFERROR(__xludf.DUMMYFUNCTION("""COMPUTED_VALUE"""),"Гидролиз. Среда раствора. Индикаторы.")</f>
        <v>Гидролиз. Среда раствора. Индикаторы.</v>
      </c>
      <c r="AO2" s="1"/>
      <c r="AP2" s="1"/>
      <c r="AQ2" s="1" t="str">
        <f>IFERROR(__xludf.DUMMYFUNCTION("""COMPUTED_VALUE"""),"Основно-кислотные взаимодействия. Реакции ""вытеснения"".
")</f>
        <v>Основно-кислотные взаимодействия. Реакции "вытеснения".
</v>
      </c>
      <c r="AR2" s="1"/>
      <c r="AS2" s="1"/>
      <c r="AT2" s="1" t="str">
        <f>IFERROR(__xludf.DUMMYFUNCTION("""COMPUTED_VALUE"""),"Задание 28. Расчёты по уравнениям реакций.")</f>
        <v>Задание 28. Расчёты по уравнениям реакций.</v>
      </c>
      <c r="AU2" s="1"/>
      <c r="AV2" s="1"/>
    </row>
    <row r="3">
      <c r="A3" s="1" t="str">
        <f>IFERROR(__xludf.DUMMYFUNCTION("""COMPUTED_VALUE"""),"УМИТ (название)")</f>
        <v>УМИТ (название)</v>
      </c>
      <c r="B3" s="1" t="str">
        <f>IFERROR(__xludf.DUMMYFUNCTION("""COMPUTED_VALUE"""),"УМИТ (номер в базе)")</f>
        <v>УМИТ (номер в базе)</v>
      </c>
      <c r="C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D3" s="1" t="str">
        <f>IFERROR(__xludf.DUMMYFUNCTION("""COMPUTED_VALUE"""),"УМИТ (название)")</f>
        <v>УМИТ (название)</v>
      </c>
      <c r="E3" s="1" t="str">
        <f>IFERROR(__xludf.DUMMYFUNCTION("""COMPUTED_VALUE"""),"УМИТ (номер в базе)")</f>
        <v>УМИТ (номер в базе)</v>
      </c>
      <c r="F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G3" s="1" t="str">
        <f>IFERROR(__xludf.DUMMYFUNCTION("""COMPUTED_VALUE"""),"УМИТ (название)")</f>
        <v>УМИТ (название)</v>
      </c>
      <c r="H3" s="1" t="str">
        <f>IFERROR(__xludf.DUMMYFUNCTION("""COMPUTED_VALUE"""),"УМИТ (номер в базе)")</f>
        <v>УМИТ (номер в базе)</v>
      </c>
      <c r="I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J3" s="1" t="str">
        <f>IFERROR(__xludf.DUMMYFUNCTION("""COMPUTED_VALUE"""),"УМИТ (название)")</f>
        <v>УМИТ (название)</v>
      </c>
      <c r="K3" s="1" t="str">
        <f>IFERROR(__xludf.DUMMYFUNCTION("""COMPUTED_VALUE"""),"УМИТ (номер в базе)")</f>
        <v>УМИТ (номер в базе)</v>
      </c>
      <c r="L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M3" s="1" t="str">
        <f>IFERROR(__xludf.DUMMYFUNCTION("""COMPUTED_VALUE"""),"УМИТ (название)")</f>
        <v>УМИТ (название)</v>
      </c>
      <c r="N3" s="1" t="str">
        <f>IFERROR(__xludf.DUMMYFUNCTION("""COMPUTED_VALUE"""),"УМИТ (номер в базе)")</f>
        <v>УМИТ (номер в базе)</v>
      </c>
      <c r="O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P3" s="1" t="str">
        <f>IFERROR(__xludf.DUMMYFUNCTION("""COMPUTED_VALUE"""),"УМИТ (название)")</f>
        <v>УМИТ (название)</v>
      </c>
      <c r="Q3" s="1" t="str">
        <f>IFERROR(__xludf.DUMMYFUNCTION("""COMPUTED_VALUE"""),"УМИТ (номер в базе)")</f>
        <v>УМИТ (номер в базе)</v>
      </c>
      <c r="R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S3" s="1" t="str">
        <f>IFERROR(__xludf.DUMMYFUNCTION("""COMPUTED_VALUE"""),"УМИТ (название)")</f>
        <v>УМИТ (название)</v>
      </c>
      <c r="T3" s="1" t="str">
        <f>IFERROR(__xludf.DUMMYFUNCTION("""COMPUTED_VALUE"""),"УМИТ (номер в базе)")</f>
        <v>УМИТ (номер в базе)</v>
      </c>
      <c r="U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V3" s="1" t="str">
        <f>IFERROR(__xludf.DUMMYFUNCTION("""COMPUTED_VALUE"""),"УМИТ (название)")</f>
        <v>УМИТ (название)</v>
      </c>
      <c r="W3" s="1" t="str">
        <f>IFERROR(__xludf.DUMMYFUNCTION("""COMPUTED_VALUE"""),"УМИТ (номер в базе)")</f>
        <v>УМИТ (номер в базе)</v>
      </c>
      <c r="X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Y3" s="1" t="str">
        <f>IFERROR(__xludf.DUMMYFUNCTION("""COMPUTED_VALUE"""),"УМИТ (название)")</f>
        <v>УМИТ (название)</v>
      </c>
      <c r="Z3" s="1" t="str">
        <f>IFERROR(__xludf.DUMMYFUNCTION("""COMPUTED_VALUE"""),"УМИТ (номер в базе)")</f>
        <v>УМИТ (номер в базе)</v>
      </c>
      <c r="AA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AB3" s="1" t="str">
        <f>IFERROR(__xludf.DUMMYFUNCTION("""COMPUTED_VALUE"""),"УМИТ (название)")</f>
        <v>УМИТ (название)</v>
      </c>
      <c r="AC3" s="1" t="str">
        <f>IFERROR(__xludf.DUMMYFUNCTION("""COMPUTED_VALUE"""),"УМИТ (номер в базе)")</f>
        <v>УМИТ (номер в базе)</v>
      </c>
      <c r="AD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AE3" s="1" t="str">
        <f>IFERROR(__xludf.DUMMYFUNCTION("""COMPUTED_VALUE"""),"УМИТ (название)")</f>
        <v>УМИТ (название)</v>
      </c>
      <c r="AF3" s="1" t="str">
        <f>IFERROR(__xludf.DUMMYFUNCTION("""COMPUTED_VALUE"""),"УМИТ (номер в базе)")</f>
        <v>УМИТ (номер в базе)</v>
      </c>
      <c r="AG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AH3" s="1" t="str">
        <f>IFERROR(__xludf.DUMMYFUNCTION("""COMPUTED_VALUE"""),"УМИТ (название)")</f>
        <v>УМИТ (название)</v>
      </c>
      <c r="AI3" s="1" t="str">
        <f>IFERROR(__xludf.DUMMYFUNCTION("""COMPUTED_VALUE"""),"УМИТ (номер в базе)")</f>
        <v>УМИТ (номер в базе)</v>
      </c>
      <c r="AJ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AK3" s="1" t="str">
        <f>IFERROR(__xludf.DUMMYFUNCTION("""COMPUTED_VALUE"""),"УМИТ (название)")</f>
        <v>УМИТ (название)</v>
      </c>
      <c r="AL3" s="1" t="str">
        <f>IFERROR(__xludf.DUMMYFUNCTION("""COMPUTED_VALUE"""),"УМИТ (номер в базе)")</f>
        <v>УМИТ (номер в базе)</v>
      </c>
      <c r="AM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AN3" s="1" t="str">
        <f>IFERROR(__xludf.DUMMYFUNCTION("""COMPUTED_VALUE"""),"УМИТ (название)")</f>
        <v>УМИТ (название)</v>
      </c>
      <c r="AO3" s="1" t="str">
        <f>IFERROR(__xludf.DUMMYFUNCTION("""COMPUTED_VALUE"""),"УМИТ (номер в базе)")</f>
        <v>УМИТ (номер в базе)</v>
      </c>
      <c r="AP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AQ3" s="1" t="str">
        <f>IFERROR(__xludf.DUMMYFUNCTION("""COMPUTED_VALUE"""),"УМИТ (название)")</f>
        <v>УМИТ (название)</v>
      </c>
      <c r="AR3" s="1" t="str">
        <f>IFERROR(__xludf.DUMMYFUNCTION("""COMPUTED_VALUE"""),"УМИТ (номер в базе)")</f>
        <v>УМИТ (номер в базе)</v>
      </c>
      <c r="AS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AT3" s="1" t="str">
        <f>IFERROR(__xludf.DUMMYFUNCTION("""COMPUTED_VALUE"""),"УМИТ (название)")</f>
        <v>УМИТ (название)</v>
      </c>
      <c r="AU3" s="1" t="str">
        <f>IFERROR(__xludf.DUMMYFUNCTION("""COMPUTED_VALUE"""),"УМИТ (номер в базе)")</f>
        <v>УМИТ (номер в базе)</v>
      </c>
      <c r="AV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</row>
    <row r="4">
      <c r="A4" s="1" t="str">
        <f>IFERROR(__xludf.DUMMYFUNCTION("""COMPUTED_VALUE"""),"Атом и его строение")</f>
        <v>Атом и его строение</v>
      </c>
      <c r="B4" s="1">
        <f>IFERROR(__xludf.DUMMYFUNCTION("""COMPUTED_VALUE"""),1.0)</f>
        <v>1</v>
      </c>
      <c r="C4" s="1" t="str">
        <f>IFERROR(__xludf.DUMMYFUNCTION("""COMPUTED_VALUE"""),"Разбирается")</f>
        <v>Разбирается</v>
      </c>
      <c r="D4" s="1" t="str">
        <f>IFERROR(__xludf.DUMMYFUNCTION("""COMPUTED_VALUE"""),"Умение описывать свойства химического элемента на основе его положения в Периодической системе Д.И. Менделеева")</f>
        <v>Умение описывать свойства химического элемента на основе его положения в Периодической системе Д.И. Менделеева</v>
      </c>
      <c r="E4" s="1">
        <f>IFERROR(__xludf.DUMMYFUNCTION("""COMPUTED_VALUE"""),5.0)</f>
        <v>5</v>
      </c>
      <c r="F4" s="1" t="str">
        <f>IFERROR(__xludf.DUMMYFUNCTION("""COMPUTED_VALUE"""),"Разбирается")</f>
        <v>Разбирается</v>
      </c>
      <c r="G4" s="1" t="str">
        <f>IFERROR(__xludf.DUMMYFUNCTION("""COMPUTED_VALUE"""),"Понятие валентности и валентные возможности атомов химических элементов")</f>
        <v>Понятие валентности и валентные возможности атомов химических элементов</v>
      </c>
      <c r="H4" s="1">
        <f>IFERROR(__xludf.DUMMYFUNCTION("""COMPUTED_VALUE"""),6.0)</f>
        <v>6</v>
      </c>
      <c r="I4" s="1" t="str">
        <f>IFERROR(__xludf.DUMMYFUNCTION("""COMPUTED_VALUE"""),"Разбирается")</f>
        <v>Разбирается</v>
      </c>
      <c r="J4" s="1" t="str">
        <f>IFERROR(__xludf.DUMMYFUNCTION("""COMPUTED_VALUE"""),"Установление логических связей")</f>
        <v>Установление логических связей</v>
      </c>
      <c r="K4" s="1">
        <f>IFERROR(__xludf.DUMMYFUNCTION("""COMPUTED_VALUE"""),1202.0)</f>
        <v>1202</v>
      </c>
      <c r="L4" s="1" t="str">
        <f>IFERROR(__xludf.DUMMYFUNCTION("""COMPUTED_VALUE"""),"Разбирается")</f>
        <v>Разбирается</v>
      </c>
      <c r="M4" s="1" t="str">
        <f>IFERROR(__xludf.DUMMYFUNCTION("""COMPUTED_VALUE"""),"Умение описывать свойства химического элемента на основе его положения в Периодической системе Д.И. Менделеева")</f>
        <v>Умение описывать свойства химического элемента на основе его положения в Периодической системе Д.И. Менделеева</v>
      </c>
      <c r="N4" s="1">
        <f>IFERROR(__xludf.DUMMYFUNCTION("""COMPUTED_VALUE"""),5.0)</f>
        <v>5</v>
      </c>
      <c r="O4" s="1" t="str">
        <f>IFERROR(__xludf.DUMMYFUNCTION("""COMPUTED_VALUE"""),"Проходится")</f>
        <v>Проходится</v>
      </c>
      <c r="P4" s="1" t="str">
        <f>IFERROR(__xludf.DUMMYFUNCTION("""COMPUTED_VALUE"""),"Классификация химических реакций. Реакции соединения, обмена, замещения, разложения")</f>
        <v>Классификация химических реакций. Реакции соединения, обмена, замещения, разложения</v>
      </c>
      <c r="Q4" s="1">
        <f>IFERROR(__xludf.DUMMYFUNCTION("""COMPUTED_VALUE"""),1204.0)</f>
        <v>1204</v>
      </c>
      <c r="R4" s="1" t="str">
        <f>IFERROR(__xludf.DUMMYFUNCTION("""COMPUTED_VALUE"""),"Разбирается")</f>
        <v>Разбирается</v>
      </c>
      <c r="S4" s="1" t="str">
        <f>IFERROR(__xludf.DUMMYFUNCTION("""COMPUTED_VALUE"""),"Факторы, влияющие на скорость химической реакции")</f>
        <v>Факторы, влияющие на скорость химической реакции</v>
      </c>
      <c r="T4" s="1">
        <f>IFERROR(__xludf.DUMMYFUNCTION("""COMPUTED_VALUE"""),23.0)</f>
        <v>23</v>
      </c>
      <c r="U4" s="1" t="str">
        <f>IFERROR(__xludf.DUMMYFUNCTION("""COMPUTED_VALUE"""),"Разбирается")</f>
        <v>Разбирается</v>
      </c>
      <c r="V4" s="1" t="str">
        <f>IFERROR(__xludf.DUMMYFUNCTION("""COMPUTED_VALUE"""),"Понятие теплового эффекта реакции. Экзотермические и эндотермические реакции")</f>
        <v>Понятие теплового эффекта реакции. Экзотермические и эндотермические реакции</v>
      </c>
      <c r="W4" s="1">
        <f>IFERROR(__xludf.DUMMYFUNCTION("""COMPUTED_VALUE"""),1206.0)</f>
        <v>1206</v>
      </c>
      <c r="X4" s="1" t="str">
        <f>IFERROR(__xludf.DUMMYFUNCTION("""COMPUTED_VALUE"""),"Разбирается")</f>
        <v>Разбирается</v>
      </c>
      <c r="Y4" s="1" t="str">
        <f>IFERROR(__xludf.DUMMYFUNCTION("""COMPUTED_VALUE"""),"Понятие химического равновесия. Принцип Ле Шателье")</f>
        <v>Понятие химического равновесия. Принцип Ле Шателье</v>
      </c>
      <c r="Z4" s="1">
        <f>IFERROR(__xludf.DUMMYFUNCTION("""COMPUTED_VALUE"""),26.0)</f>
        <v>26</v>
      </c>
      <c r="AA4" s="1" t="str">
        <f>IFERROR(__xludf.DUMMYFUNCTION("""COMPUTED_VALUE"""),"Разбирается")</f>
        <v>Разбирается</v>
      </c>
      <c r="AB4" s="1" t="str">
        <f>IFERROR(__xludf.DUMMYFUNCTION("""COMPUTED_VALUE"""),"Окислительно-восстановительные реакции и принципы их протекания")</f>
        <v>Окислительно-восстановительные реакции и принципы их протекания</v>
      </c>
      <c r="AC4" s="1">
        <f>IFERROR(__xludf.DUMMYFUNCTION("""COMPUTED_VALUE"""),41.0)</f>
        <v>41</v>
      </c>
      <c r="AD4" s="1" t="str">
        <f>IFERROR(__xludf.DUMMYFUNCTION("""COMPUTED_VALUE"""),"Разбирается")</f>
        <v>Разбирается</v>
      </c>
      <c r="AE4" s="1" t="str">
        <f>IFERROR(__xludf.DUMMYFUNCTION("""COMPUTED_VALUE"""),"Электролиз расплавов и растворов веществ")</f>
        <v>Электролиз расплавов и растворов веществ</v>
      </c>
      <c r="AF4" s="1">
        <f>IFERROR(__xludf.DUMMYFUNCTION("""COMPUTED_VALUE"""),1256.0)</f>
        <v>1256</v>
      </c>
      <c r="AG4" s="1" t="str">
        <f>IFERROR(__xludf.DUMMYFUNCTION("""COMPUTED_VALUE"""),"Разбирается")</f>
        <v>Разбирается</v>
      </c>
      <c r="AH4" s="1" t="str">
        <f>IFERROR(__xludf.DUMMYFUNCTION("""COMPUTED_VALUE"""),"Понятие химического равновесия. Принцип Ле Шателье")</f>
        <v>Понятие химического равновесия. Принцип Ле Шателье</v>
      </c>
      <c r="AI4" s="1">
        <f>IFERROR(__xludf.DUMMYFUNCTION("""COMPUTED_VALUE"""),26.0)</f>
        <v>26</v>
      </c>
      <c r="AJ4" s="1" t="str">
        <f>IFERROR(__xludf.DUMMYFUNCTION("""COMPUTED_VALUE"""),"Проходится")</f>
        <v>Проходится</v>
      </c>
      <c r="AK4" s="1" t="str">
        <f>IFERROR(__xludf.DUMMYFUNCTION("""COMPUTED_VALUE"""),"Теория электролитической диссоциации и ее основные положения")</f>
        <v>Теория электролитической диссоциации и ее основные положения</v>
      </c>
      <c r="AL4" s="1">
        <f>IFERROR(__xludf.DUMMYFUNCTION("""COMPUTED_VALUE"""),27.0)</f>
        <v>27</v>
      </c>
      <c r="AM4" s="1" t="str">
        <f>IFERROR(__xludf.DUMMYFUNCTION("""COMPUTED_VALUE"""),"Разбирается")</f>
        <v>Разбирается</v>
      </c>
      <c r="AN4" s="1" t="str">
        <f>IFERROR(__xludf.DUMMYFUNCTION("""COMPUTED_VALUE"""),"Кислотность среды. Понятие рН")</f>
        <v>Кислотность среды. Понятие рН</v>
      </c>
      <c r="AO4" s="1">
        <f>IFERROR(__xludf.DUMMYFUNCTION("""COMPUTED_VALUE"""),28.0)</f>
        <v>28</v>
      </c>
      <c r="AP4" s="1" t="str">
        <f>IFERROR(__xludf.DUMMYFUNCTION("""COMPUTED_VALUE"""),"Разбирается")</f>
        <v>Разбирается</v>
      </c>
      <c r="AQ4" s="1" t="str">
        <f>IFERROR(__xludf.DUMMYFUNCTION("""COMPUTED_VALUE"""),"Реакции ионного обмена. Правило Бертолле")</f>
        <v>Реакции ионного обмена. Правило Бертолле</v>
      </c>
      <c r="AR4" s="1">
        <f>IFERROR(__xludf.DUMMYFUNCTION("""COMPUTED_VALUE"""),40.0)</f>
        <v>40</v>
      </c>
      <c r="AS4" s="1" t="str">
        <f>IFERROR(__xludf.DUMMYFUNCTION("""COMPUTED_VALUE"""),"Проходится")</f>
        <v>Проходится</v>
      </c>
      <c r="AT4" s="1" t="str">
        <f>IFERROR(__xludf.DUMMYFUNCTION("""COMPUTED_VALUE"""),"Установление логических 
связей")</f>
        <v>Установление логических 
связей</v>
      </c>
      <c r="AU4" s="1">
        <f>IFERROR(__xludf.DUMMYFUNCTION("""COMPUTED_VALUE"""),1202.0)</f>
        <v>1202</v>
      </c>
      <c r="AV4" s="1" t="str">
        <f>IFERROR(__xludf.DUMMYFUNCTION("""COMPUTED_VALUE"""),"Проходится")</f>
        <v>Проходится</v>
      </c>
    </row>
    <row r="5">
      <c r="A5" s="1" t="str">
        <f>IFERROR(__xludf.DUMMYFUNCTION("""COMPUTED_VALUE"""),"Порядок заполнения электронных орбиталей электронами и их строение")</f>
        <v>Порядок заполнения электронных орбиталей электронами и их строение</v>
      </c>
      <c r="B5" s="1">
        <f>IFERROR(__xludf.DUMMYFUNCTION("""COMPUTED_VALUE"""),4.0)</f>
        <v>4</v>
      </c>
      <c r="C5" s="1" t="str">
        <f>IFERROR(__xludf.DUMMYFUNCTION("""COMPUTED_VALUE"""),"Разбирается")</f>
        <v>Разбирается</v>
      </c>
      <c r="D5" s="1" t="str">
        <f>IFERROR(__xludf.DUMMYFUNCTION("""COMPUTED_VALUE"""),"Понятие валентности и валентные возможности атомов химических элементов")</f>
        <v>Понятие валентности и валентные возможности атомов химических элементов</v>
      </c>
      <c r="E5" s="1">
        <f>IFERROR(__xludf.DUMMYFUNCTION("""COMPUTED_VALUE"""),6.0)</f>
        <v>6</v>
      </c>
      <c r="F5" s="1" t="str">
        <f>IFERROR(__xludf.DUMMYFUNCTION("""COMPUTED_VALUE"""),"Проходится")</f>
        <v>Проходится</v>
      </c>
      <c r="G5" s="1" t="str">
        <f>IFERROR(__xludf.DUMMYFUNCTION("""COMPUTED_VALUE"""),"Понятия электроотрицательности и ионизации химических элементов")</f>
        <v>Понятия электроотрицательности и ионизации химических элементов</v>
      </c>
      <c r="H5" s="1">
        <f>IFERROR(__xludf.DUMMYFUNCTION("""COMPUTED_VALUE"""),7.0)</f>
        <v>7</v>
      </c>
      <c r="I5" s="1" t="str">
        <f>IFERROR(__xludf.DUMMYFUNCTION("""COMPUTED_VALUE"""),"Проходится")</f>
        <v>Проходится</v>
      </c>
      <c r="J5" s="1" t="str">
        <f>IFERROR(__xludf.DUMMYFUNCTION("""COMPUTED_VALUE"""),"Способы выражения концентрации вещества")</f>
        <v>Способы выражения концентрации вещества</v>
      </c>
      <c r="K5" s="1">
        <f>IFERROR(__xludf.DUMMYFUNCTION("""COMPUTED_VALUE"""),1203.0)</f>
        <v>1203</v>
      </c>
      <c r="L5" s="1" t="str">
        <f>IFERROR(__xludf.DUMMYFUNCTION("""COMPUTED_VALUE"""),"Разбирается")</f>
        <v>Разбирается</v>
      </c>
      <c r="M5" s="1" t="str">
        <f>IFERROR(__xludf.DUMMYFUNCTION("""COMPUTED_VALUE"""),"Понятия электроотрицательности и ионизации химических элементов")</f>
        <v>Понятия электроотрицательности и ионизации химических элементов</v>
      </c>
      <c r="N5" s="1">
        <f>IFERROR(__xludf.DUMMYFUNCTION("""COMPUTED_VALUE"""),7.0)</f>
        <v>7</v>
      </c>
      <c r="O5" s="1" t="str">
        <f>IFERROR(__xludf.DUMMYFUNCTION("""COMPUTED_VALUE"""),"Разбирается")</f>
        <v>Разбирается</v>
      </c>
      <c r="P5" s="1" t="str">
        <f>IFERROR(__xludf.DUMMYFUNCTION("""COMPUTED_VALUE"""),"Обратимые и необратимые химические реакции")</f>
        <v>Обратимые и необратимые химические реакции</v>
      </c>
      <c r="Q5" s="1">
        <f>IFERROR(__xludf.DUMMYFUNCTION("""COMPUTED_VALUE"""),1205.0)</f>
        <v>1205</v>
      </c>
      <c r="R5" s="1" t="str">
        <f>IFERROR(__xludf.DUMMYFUNCTION("""COMPUTED_VALUE"""),"Разбирается")</f>
        <v>Разбирается</v>
      </c>
      <c r="S5" s="1" t="str">
        <f>IFERROR(__xludf.DUMMYFUNCTION("""COMPUTED_VALUE"""),"Гомогенные и гетерогенные химические реакции")</f>
        <v>Гомогенные и гетерогенные химические реакции</v>
      </c>
      <c r="T5" s="1">
        <f>IFERROR(__xludf.DUMMYFUNCTION("""COMPUTED_VALUE"""),1207.0)</f>
        <v>1207</v>
      </c>
      <c r="U5" s="1" t="str">
        <f>IFERROR(__xludf.DUMMYFUNCTION("""COMPUTED_VALUE"""),"Проходится")</f>
        <v>Проходится</v>
      </c>
      <c r="V5" s="1" t="str">
        <f>IFERROR(__xludf.DUMMYFUNCTION("""COMPUTED_VALUE"""),"Понятие количества вещества")</f>
        <v>Понятие количества вещества</v>
      </c>
      <c r="W5" s="1">
        <f>IFERROR(__xludf.DUMMYFUNCTION("""COMPUTED_VALUE"""),1211.0)</f>
        <v>1211</v>
      </c>
      <c r="X5" s="1" t="str">
        <f>IFERROR(__xludf.DUMMYFUNCTION("""COMPUTED_VALUE"""),"Проходится")</f>
        <v>Проходится</v>
      </c>
      <c r="Y5" s="1" t="str">
        <f>IFERROR(__xludf.DUMMYFUNCTION("""COMPUTED_VALUE"""),"Понятие теплового эффекта реакции. Экзотермические и эндотермические реакции")</f>
        <v>Понятие теплового эффекта реакции. Экзотермические и эндотермические реакции</v>
      </c>
      <c r="Z5" s="1">
        <f>IFERROR(__xludf.DUMMYFUNCTION("""COMPUTED_VALUE"""),1206.0)</f>
        <v>1206</v>
      </c>
      <c r="AA5" s="1" t="str">
        <f>IFERROR(__xludf.DUMMYFUNCTION("""COMPUTED_VALUE"""),"Проходится")</f>
        <v>Проходится</v>
      </c>
      <c r="AB5" s="1" t="str">
        <f>IFERROR(__xludf.DUMMYFUNCTION("""COMPUTED_VALUE"""),"Степень окисления элементов. Окислитель и восстановитель. Окисление и восстановление")</f>
        <v>Степень окисления элементов. Окислитель и восстановитель. Окисление и восстановление</v>
      </c>
      <c r="AC5" s="1">
        <f>IFERROR(__xludf.DUMMYFUNCTION("""COMPUTED_VALUE"""),45.0)</f>
        <v>45</v>
      </c>
      <c r="AD5" s="1" t="str">
        <f>IFERROR(__xludf.DUMMYFUNCTION("""COMPUTED_VALUE"""),"Разбирается")</f>
        <v>Разбирается</v>
      </c>
      <c r="AE5" s="1" t="str">
        <f>IFERROR(__xludf.DUMMYFUNCTION("""COMPUTED_VALUE"""),"Умение различать бескислородные и кислородсодержащие соли")</f>
        <v>Умение различать бескислородные и кислородсодержащие соли</v>
      </c>
      <c r="AF5" s="1">
        <f>IFERROR(__xludf.DUMMYFUNCTION("""COMPUTED_VALUE"""),601.0)</f>
        <v>601</v>
      </c>
      <c r="AG5" s="1" t="str">
        <f>IFERROR(__xludf.DUMMYFUNCTION("""COMPUTED_VALUE"""),"Проходится")</f>
        <v>Проходится</v>
      </c>
      <c r="AH5" s="1" t="str">
        <f>IFERROR(__xludf.DUMMYFUNCTION("""COMPUTED_VALUE"""),"Обратимые и необратимые химические реакции")</f>
        <v>Обратимые и необратимые химические реакции</v>
      </c>
      <c r="AI5" s="1">
        <f>IFERROR(__xludf.DUMMYFUNCTION("""COMPUTED_VALUE"""),1205.0)</f>
        <v>1205</v>
      </c>
      <c r="AJ5" s="1" t="str">
        <f>IFERROR(__xludf.DUMMYFUNCTION("""COMPUTED_VALUE"""),"Проходится")</f>
        <v>Проходится</v>
      </c>
      <c r="AK5" s="1" t="str">
        <f>IFERROR(__xludf.DUMMYFUNCTION("""COMPUTED_VALUE"""),"Реакции ионного обмена. Правило Бертолле")</f>
        <v>Реакции ионного обмена. Правило Бертолле</v>
      </c>
      <c r="AL5" s="1">
        <f>IFERROR(__xludf.DUMMYFUNCTION("""COMPUTED_VALUE"""),40.0)</f>
        <v>40</v>
      </c>
      <c r="AM5" s="1" t="str">
        <f>IFERROR(__xludf.DUMMYFUNCTION("""COMPUTED_VALUE"""),"Разбирается")</f>
        <v>Разбирается</v>
      </c>
      <c r="AN5" s="1" t="str">
        <f>IFERROR(__xludf.DUMMYFUNCTION("""COMPUTED_VALUE"""),"Умение различать щелочи и нерастворимые гидроксиды металлов")</f>
        <v>Умение различать щелочи и нерастворимые гидроксиды металлов</v>
      </c>
      <c r="AO5" s="1">
        <f>IFERROR(__xludf.DUMMYFUNCTION("""COMPUTED_VALUE"""),401.0)</f>
        <v>401</v>
      </c>
      <c r="AP5" s="1" t="str">
        <f>IFERROR(__xludf.DUMMYFUNCTION("""COMPUTED_VALUE"""),"Проходится")</f>
        <v>Проходится</v>
      </c>
      <c r="AQ5" s="1" t="str">
        <f>IFERROR(__xludf.DUMMYFUNCTION("""COMPUTED_VALUE"""),"Классификация химических реакций. Реакции соединения, обмена, замещения, разложения")</f>
        <v>Классификация химических реакций. Реакции соединения, обмена, замещения, разложения</v>
      </c>
      <c r="AR5" s="1">
        <f>IFERROR(__xludf.DUMMYFUNCTION("""COMPUTED_VALUE"""),1204.0)</f>
        <v>1204</v>
      </c>
      <c r="AS5" s="1" t="str">
        <f>IFERROR(__xludf.DUMMYFUNCTION("""COMPUTED_VALUE"""),"Проходится")</f>
        <v>Проходится</v>
      </c>
      <c r="AT5" s="1" t="str">
        <f>IFERROR(__xludf.DUMMYFUNCTION("""COMPUTED_VALUE"""),"Понятие количества вещества")</f>
        <v>Понятие количества вещества</v>
      </c>
      <c r="AU5" s="1">
        <f>IFERROR(__xludf.DUMMYFUNCTION("""COMPUTED_VALUE"""),1211.0)</f>
        <v>1211</v>
      </c>
      <c r="AV5" s="1" t="str">
        <f>IFERROR(__xludf.DUMMYFUNCTION("""COMPUTED_VALUE"""),"Проходится")</f>
        <v>Проходится</v>
      </c>
    </row>
    <row r="6">
      <c r="A6" s="1" t="str">
        <f>IFERROR(__xludf.DUMMYFUNCTION("""COMPUTED_VALUE"""),"Понятия электронной конфигурации, энергетических уровня и подуровня. Умение писать электронные конфигурации атомов ")</f>
        <v>Понятия электронной конфигурации, энергетических уровня и подуровня. Умение писать электронные конфигурации атомов </v>
      </c>
      <c r="B6" s="1">
        <f>IFERROR(__xludf.DUMMYFUNCTION("""COMPUTED_VALUE"""),29.0)</f>
        <v>29</v>
      </c>
      <c r="C6" s="1" t="str">
        <f>IFERROR(__xludf.DUMMYFUNCTION("""COMPUTED_VALUE"""),"Разбирается")</f>
        <v>Разбирается</v>
      </c>
      <c r="D6" s="1" t="str">
        <f>IFERROR(__xludf.DUMMYFUNCTION("""COMPUTED_VALUE"""),"Понятия электроотрицательности и ионизации химических элементов")</f>
        <v>Понятия электроотрицательности и ионизации химических элементов</v>
      </c>
      <c r="E6" s="1">
        <f>IFERROR(__xludf.DUMMYFUNCTION("""COMPUTED_VALUE"""),7.0)</f>
        <v>7</v>
      </c>
      <c r="F6" s="1" t="str">
        <f>IFERROR(__xludf.DUMMYFUNCTION("""COMPUTED_VALUE"""),"Разбирается")</f>
        <v>Разбирается</v>
      </c>
      <c r="G6" s="1" t="str">
        <f>IFERROR(__xludf.DUMMYFUNCTION("""COMPUTED_VALUE"""),"Случаи несовпадения валентности и степени окисления")</f>
        <v>Случаи несовпадения валентности и степени окисления</v>
      </c>
      <c r="H6" s="1">
        <f>IFERROR(__xludf.DUMMYFUNCTION("""COMPUTED_VALUE"""),36.0)</f>
        <v>36</v>
      </c>
      <c r="I6" s="1" t="str">
        <f>IFERROR(__xludf.DUMMYFUNCTION("""COMPUTED_VALUE"""),"Разбирается")</f>
        <v>Разбирается</v>
      </c>
      <c r="J6" s="1" t="str">
        <f>IFERROR(__xludf.DUMMYFUNCTION("""COMPUTED_VALUE"""),"Понятие количества вещества")</f>
        <v>Понятие количества вещества</v>
      </c>
      <c r="K6" s="1">
        <f>IFERROR(__xludf.DUMMYFUNCTION("""COMPUTED_VALUE"""),1211.0)</f>
        <v>1211</v>
      </c>
      <c r="L6" s="1" t="str">
        <f>IFERROR(__xludf.DUMMYFUNCTION("""COMPUTED_VALUE"""),"Разбирается")</f>
        <v>Разбирается</v>
      </c>
      <c r="M6" s="1" t="str">
        <f>IFERROR(__xludf.DUMMYFUNCTION("""COMPUTED_VALUE"""),"Обменный и донорно-акцепторный механизмы образования химической связи")</f>
        <v>Обменный и донорно-акцепторный механизмы образования химической связи</v>
      </c>
      <c r="N6" s="1">
        <f>IFERROR(__xludf.DUMMYFUNCTION("""COMPUTED_VALUE"""),9.0)</f>
        <v>9</v>
      </c>
      <c r="O6" s="1" t="str">
        <f>IFERROR(__xludf.DUMMYFUNCTION("""COMPUTED_VALUE"""),"Разбирается")</f>
        <v>Разбирается</v>
      </c>
      <c r="P6" s="1" t="str">
        <f>IFERROR(__xludf.DUMMYFUNCTION("""COMPUTED_VALUE"""),"Понятие теплового эффекта реакции. Экзотермические и эндотермические реакции")</f>
        <v>Понятие теплового эффекта реакции. Экзотермические и эндотермические реакции</v>
      </c>
      <c r="Q6" s="1">
        <f>IFERROR(__xludf.DUMMYFUNCTION("""COMPUTED_VALUE"""),1206.0)</f>
        <v>1206</v>
      </c>
      <c r="R6" s="1" t="str">
        <f>IFERROR(__xludf.DUMMYFUNCTION("""COMPUTED_VALUE"""),"Разбирается")</f>
        <v>Разбирается</v>
      </c>
      <c r="S6" s="1" t="str">
        <f>IFERROR(__xludf.DUMMYFUNCTION("""COMPUTED_VALUE"""),"Влияние катализаторов и ингибиторов на скорость реакции")</f>
        <v>Влияние катализаторов и ингибиторов на скорость реакции</v>
      </c>
      <c r="T6" s="1">
        <f>IFERROR(__xludf.DUMMYFUNCTION("""COMPUTED_VALUE"""),1251.0)</f>
        <v>1251</v>
      </c>
      <c r="U6" s="1" t="str">
        <f>IFERROR(__xludf.DUMMYFUNCTION("""COMPUTED_VALUE"""),"Разбирается")</f>
        <v>Разбирается</v>
      </c>
      <c r="V6" s="1" t="str">
        <f>IFERROR(__xludf.DUMMYFUNCTION("""COMPUTED_VALUE"""),"Умение составлять и решать пропорции")</f>
        <v>Умение составлять и решать пропорции</v>
      </c>
      <c r="W6" s="1">
        <f>IFERROR(__xludf.DUMMYFUNCTION("""COMPUTED_VALUE"""),1213.0)</f>
        <v>1213</v>
      </c>
      <c r="X6" s="1" t="str">
        <f>IFERROR(__xludf.DUMMYFUNCTION("""COMPUTED_VALUE"""),"Разбирается")</f>
        <v>Разбирается</v>
      </c>
      <c r="Y6" s="1" t="str">
        <f>IFERROR(__xludf.DUMMYFUNCTION("""COMPUTED_VALUE"""),"Гомогенные и гетерогенные химические реакции")</f>
        <v>Гомогенные и гетерогенные химические реакции</v>
      </c>
      <c r="Z6" s="1">
        <f>IFERROR(__xludf.DUMMYFUNCTION("""COMPUTED_VALUE"""),1207.0)</f>
        <v>1207</v>
      </c>
      <c r="AA6" s="1" t="str">
        <f>IFERROR(__xludf.DUMMYFUNCTION("""COMPUTED_VALUE"""),"Проходится")</f>
        <v>Проходится</v>
      </c>
      <c r="AB6" s="1" t="str">
        <f>IFERROR(__xludf.DUMMYFUNCTION("""COMPUTED_VALUE"""),"Умение определять степень окисления элемента в сложном веществе")</f>
        <v>Умение определять степень окисления элемента в сложном веществе</v>
      </c>
      <c r="AC6" s="1">
        <f>IFERROR(__xludf.DUMMYFUNCTION("""COMPUTED_VALUE"""),47.0)</f>
        <v>47</v>
      </c>
      <c r="AD6" s="1" t="str">
        <f>IFERROR(__xludf.DUMMYFUNCTION("""COMPUTED_VALUE"""),"Проходится")</f>
        <v>Проходится</v>
      </c>
      <c r="AE6" s="1" t="str">
        <f>IFERROR(__xludf.DUMMYFUNCTION("""COMPUTED_VALUE"""),"Электролиз расплавов бескислородных солей")</f>
        <v>Электролиз расплавов бескислородных солей</v>
      </c>
      <c r="AF6" s="1">
        <f>IFERROR(__xludf.DUMMYFUNCTION("""COMPUTED_VALUE"""),616.0)</f>
        <v>616</v>
      </c>
      <c r="AG6" s="1" t="str">
        <f>IFERROR(__xludf.DUMMYFUNCTION("""COMPUTED_VALUE"""),"Разбирается")</f>
        <v>Разбирается</v>
      </c>
      <c r="AH6" s="1" t="str">
        <f>IFERROR(__xludf.DUMMYFUNCTION("""COMPUTED_VALUE"""),"Понятие количества вещества")</f>
        <v>Понятие количества вещества</v>
      </c>
      <c r="AI6" s="1">
        <f>IFERROR(__xludf.DUMMYFUNCTION("""COMPUTED_VALUE"""),1211.0)</f>
        <v>1211</v>
      </c>
      <c r="AJ6" s="1" t="str">
        <f>IFERROR(__xludf.DUMMYFUNCTION("""COMPUTED_VALUE"""),"Проходится")</f>
        <v>Проходится</v>
      </c>
      <c r="AK6" s="1" t="str">
        <f>IFERROR(__xludf.DUMMYFUNCTION("""COMPUTED_VALUE"""),"Классификация химических реакций. Реакции соединения, обмена, замещения, разложения")</f>
        <v>Классификация химических реакций. Реакции соединения, обмена, замещения, разложения</v>
      </c>
      <c r="AL6" s="1">
        <f>IFERROR(__xludf.DUMMYFUNCTION("""COMPUTED_VALUE"""),1204.0)</f>
        <v>1204</v>
      </c>
      <c r="AM6" s="1" t="str">
        <f>IFERROR(__xludf.DUMMYFUNCTION("""COMPUTED_VALUE"""),"Проходится")</f>
        <v>Проходится</v>
      </c>
      <c r="AN6" s="1" t="str">
        <f>IFERROR(__xludf.DUMMYFUNCTION("""COMPUTED_VALUE"""),"Умение различать сильные и слабые основания")</f>
        <v>Умение различать сильные и слабые основания</v>
      </c>
      <c r="AO6" s="1">
        <f>IFERROR(__xludf.DUMMYFUNCTION("""COMPUTED_VALUE"""),402.0)</f>
        <v>402</v>
      </c>
      <c r="AP6" s="1" t="str">
        <f>IFERROR(__xludf.DUMMYFUNCTION("""COMPUTED_VALUE"""),"Разбирается")</f>
        <v>Разбирается</v>
      </c>
      <c r="AQ6" s="1" t="str">
        <f>IFERROR(__xludf.DUMMYFUNCTION("""COMPUTED_VALUE"""),"Обратимые и необратимые химические реакции")</f>
        <v>Обратимые и необратимые химические реакции</v>
      </c>
      <c r="AR6" s="1">
        <f>IFERROR(__xludf.DUMMYFUNCTION("""COMPUTED_VALUE"""),1205.0)</f>
        <v>1205</v>
      </c>
      <c r="AS6" s="1" t="str">
        <f>IFERROR(__xludf.DUMMYFUNCTION("""COMPUTED_VALUE"""),"Проходится")</f>
        <v>Проходится</v>
      </c>
      <c r="AT6" s="1" t="str">
        <f>IFERROR(__xludf.DUMMYFUNCTION("""COMPUTED_VALUE"""),"Понятие массовой доли вещества / элемента")</f>
        <v>Понятие массовой доли вещества / элемента</v>
      </c>
      <c r="AU6" s="1">
        <f>IFERROR(__xludf.DUMMYFUNCTION("""COMPUTED_VALUE"""),1212.0)</f>
        <v>1212</v>
      </c>
      <c r="AV6" s="1" t="str">
        <f>IFERROR(__xludf.DUMMYFUNCTION("""COMPUTED_VALUE"""),"Проходится")</f>
        <v>Проходится</v>
      </c>
    </row>
    <row r="7">
      <c r="A7" s="1" t="str">
        <f>IFERROR(__xludf.DUMMYFUNCTION("""COMPUTED_VALUE"""),"Понятие проскока электрона")</f>
        <v>Понятие проскока электрона</v>
      </c>
      <c r="B7" s="1">
        <f>IFERROR(__xludf.DUMMYFUNCTION("""COMPUTED_VALUE"""),30.0)</f>
        <v>30</v>
      </c>
      <c r="C7" s="1" t="str">
        <f>IFERROR(__xludf.DUMMYFUNCTION("""COMPUTED_VALUE"""),"Разбирается")</f>
        <v>Разбирается</v>
      </c>
      <c r="D7" s="1" t="str">
        <f>IFERROR(__xludf.DUMMYFUNCTION("""COMPUTED_VALUE"""),"Понятие окислительно-восстановительных свойств")</f>
        <v>Понятие окислительно-восстановительных свойств</v>
      </c>
      <c r="E7" s="1">
        <f>IFERROR(__xludf.DUMMYFUNCTION("""COMPUTED_VALUE"""),8.0)</f>
        <v>8</v>
      </c>
      <c r="F7" s="1" t="str">
        <f>IFERROR(__xludf.DUMMYFUNCTION("""COMPUTED_VALUE"""),"Проходится")</f>
        <v>Проходится</v>
      </c>
      <c r="G7" s="1" t="str">
        <f>IFERROR(__xludf.DUMMYFUNCTION("""COMPUTED_VALUE"""),"Степень окисления элементов. Окислитель и восстановитель. Окисление и восстановление")</f>
        <v>Степень окисления элементов. Окислитель и восстановитель. Окисление и восстановление</v>
      </c>
      <c r="H7" s="1">
        <f>IFERROR(__xludf.DUMMYFUNCTION("""COMPUTED_VALUE"""),45.0)</f>
        <v>45</v>
      </c>
      <c r="I7" s="1" t="str">
        <f>IFERROR(__xludf.DUMMYFUNCTION("""COMPUTED_VALUE"""),"Проходится")</f>
        <v>Проходится</v>
      </c>
      <c r="J7" s="1" t="str">
        <f>IFERROR(__xludf.DUMMYFUNCTION("""COMPUTED_VALUE"""),"Понятие массовой доли вещества / элемента")</f>
        <v>Понятие массовой доли вещества / элемента</v>
      </c>
      <c r="K7" s="1">
        <f>IFERROR(__xludf.DUMMYFUNCTION("""COMPUTED_VALUE"""),1212.0)</f>
        <v>1212</v>
      </c>
      <c r="L7" s="1" t="str">
        <f>IFERROR(__xludf.DUMMYFUNCTION("""COMPUTED_VALUE"""),"Разбирается")</f>
        <v>Разбирается</v>
      </c>
      <c r="M7" s="1" t="str">
        <f>IFERROR(__xludf.DUMMYFUNCTION("""COMPUTED_VALUE"""),"Полярная и неполярная ковалентные связи")</f>
        <v>Полярная и неполярная ковалентные связи</v>
      </c>
      <c r="N7" s="1">
        <f>IFERROR(__xludf.DUMMYFUNCTION("""COMPUTED_VALUE"""),10.0)</f>
        <v>10</v>
      </c>
      <c r="O7" s="1" t="str">
        <f>IFERROR(__xludf.DUMMYFUNCTION("""COMPUTED_VALUE"""),"Разбирается")</f>
        <v>Разбирается</v>
      </c>
      <c r="P7" s="1" t="str">
        <f>IFERROR(__xludf.DUMMYFUNCTION("""COMPUTED_VALUE""")," Гомогенные и гетерогенные 
химические реакции")</f>
        <v> Гомогенные и гетерогенные 
химические реакции</v>
      </c>
      <c r="Q7" s="1">
        <f>IFERROR(__xludf.DUMMYFUNCTION("""COMPUTED_VALUE"""),1207.0)</f>
        <v>1207</v>
      </c>
      <c r="R7" s="1" t="str">
        <f>IFERROR(__xludf.DUMMYFUNCTION("""COMPUTED_VALUE"""),"Разбирается")</f>
        <v>Разбирается</v>
      </c>
      <c r="S7" s="1" t="str">
        <f>IFERROR(__xludf.DUMMYFUNCTION("""COMPUTED_VALUE"""),"Умение составлять и решать пропорции")</f>
        <v>Умение составлять и решать пропорции</v>
      </c>
      <c r="T7" s="1">
        <f>IFERROR(__xludf.DUMMYFUNCTION("""COMPUTED_VALUE"""),1213.0)</f>
        <v>1213</v>
      </c>
      <c r="U7" s="1"/>
      <c r="V7" s="1" t="str">
        <f>IFERROR(__xludf.DUMMYFUNCTION("""COMPUTED_VALUE"""),"Понятие объема вещества")</f>
        <v>Понятие объема вещества</v>
      </c>
      <c r="W7" s="1">
        <f>IFERROR(__xludf.DUMMYFUNCTION("""COMPUTED_VALUE"""),1214.0)</f>
        <v>1214</v>
      </c>
      <c r="X7" s="1" t="str">
        <f>IFERROR(__xludf.DUMMYFUNCTION("""COMPUTED_VALUE"""),"Проходится")</f>
        <v>Проходится</v>
      </c>
      <c r="Y7" s="1"/>
      <c r="Z7" s="1"/>
      <c r="AA7" s="1"/>
      <c r="AB7" s="1" t="str">
        <f>IFERROR(__xludf.DUMMYFUNCTION("""COMPUTED_VALUE"""),"Восстановительные свойства галогенидов и других солей")</f>
        <v>Восстановительные свойства галогенидов и других солей</v>
      </c>
      <c r="AC7" s="1">
        <f>IFERROR(__xludf.DUMMYFUNCTION("""COMPUTED_VALUE"""),610.0)</f>
        <v>610</v>
      </c>
      <c r="AD7" s="1" t="str">
        <f>IFERROR(__xludf.DUMMYFUNCTION("""COMPUTED_VALUE"""),"Разбирается")</f>
        <v>Разбирается</v>
      </c>
      <c r="AE7" s="1" t="str">
        <f>IFERROR(__xludf.DUMMYFUNCTION("""COMPUTED_VALUE"""),"Электролиз растворов бескислородных солей")</f>
        <v>Электролиз растворов бескислородных солей</v>
      </c>
      <c r="AF7" s="1">
        <f>IFERROR(__xludf.DUMMYFUNCTION("""COMPUTED_VALUE"""),617.0)</f>
        <v>617</v>
      </c>
      <c r="AG7" s="1" t="str">
        <f>IFERROR(__xludf.DUMMYFUNCTION("""COMPUTED_VALUE"""),"Разбирается")</f>
        <v>Разбирается</v>
      </c>
      <c r="AH7" s="1" t="str">
        <f>IFERROR(__xludf.DUMMYFUNCTION("""COMPUTED_VALUE"""),"Понятие объема вещества")</f>
        <v>Понятие объема вещества</v>
      </c>
      <c r="AI7" s="1">
        <f>IFERROR(__xludf.DUMMYFUNCTION("""COMPUTED_VALUE"""),1214.0)</f>
        <v>1214</v>
      </c>
      <c r="AJ7" s="1" t="str">
        <f>IFERROR(__xludf.DUMMYFUNCTION("""COMPUTED_VALUE"""),"Проходится")</f>
        <v>Проходится</v>
      </c>
      <c r="AK7" s="1" t="str">
        <f>IFERROR(__xludf.DUMMYFUNCTION("""COMPUTED_VALUE"""),"Обратимые и необратимые химические реакции")</f>
        <v>Обратимые и необратимые химические реакции</v>
      </c>
      <c r="AL7" s="1">
        <f>IFERROR(__xludf.DUMMYFUNCTION("""COMPUTED_VALUE"""),1205.0)</f>
        <v>1205</v>
      </c>
      <c r="AM7" s="1" t="str">
        <f>IFERROR(__xludf.DUMMYFUNCTION("""COMPUTED_VALUE"""),"Проходится")</f>
        <v>Проходится</v>
      </c>
      <c r="AN7" s="1" t="str">
        <f>IFERROR(__xludf.DUMMYFUNCTION("""COMPUTED_VALUE"""),"Умение определять сильные и слабые кислоты")</f>
        <v>Умение определять сильные и слабые кислоты</v>
      </c>
      <c r="AO7" s="1">
        <f>IFERROR(__xludf.DUMMYFUNCTION("""COMPUTED_VALUE"""),501.0)</f>
        <v>501</v>
      </c>
      <c r="AP7" s="1" t="str">
        <f>IFERROR(__xludf.DUMMYFUNCTION("""COMPUTED_VALUE"""),"Разбирается")</f>
        <v>Разбирается</v>
      </c>
      <c r="AQ7" s="1" t="str">
        <f>IFERROR(__xludf.DUMMYFUNCTION("""COMPUTED_VALUE"""),"Умение определять признак(-и) реакции")</f>
        <v>Умение определять признак(-и) реакции</v>
      </c>
      <c r="AR7" s="1">
        <f>IFERROR(__xludf.DUMMYFUNCTION("""COMPUTED_VALUE"""),1243.0)</f>
        <v>1243</v>
      </c>
      <c r="AS7" s="1" t="str">
        <f>IFERROR(__xludf.DUMMYFUNCTION("""COMPUTED_VALUE"""),"Проходится")</f>
        <v>Проходится</v>
      </c>
      <c r="AT7" s="1" t="str">
        <f>IFERROR(__xludf.DUMMYFUNCTION("""COMPUTED_VALUE"""),"Умение составлять и решать пропорции")</f>
        <v>Умение составлять и решать пропорции</v>
      </c>
      <c r="AU7" s="1">
        <f>IFERROR(__xludf.DUMMYFUNCTION("""COMPUTED_VALUE"""),1213.0)</f>
        <v>1213</v>
      </c>
      <c r="AV7" s="1" t="str">
        <f>IFERROR(__xludf.DUMMYFUNCTION("""COMPUTED_VALUE"""),"Проходится")</f>
        <v>Проходится</v>
      </c>
    </row>
    <row r="8">
      <c r="A8" s="1" t="str">
        <f>IFERROR(__xludf.DUMMYFUNCTION("""COMPUTED_VALUE"""),"Основное состояние атома")</f>
        <v>Основное состояние атома</v>
      </c>
      <c r="B8" s="1">
        <f>IFERROR(__xludf.DUMMYFUNCTION("""COMPUTED_VALUE"""),31.0)</f>
        <v>31</v>
      </c>
      <c r="C8" s="1" t="str">
        <f>IFERROR(__xludf.DUMMYFUNCTION("""COMPUTED_VALUE"""),"Разбирается")</f>
        <v>Разбирается</v>
      </c>
      <c r="D8" s="1" t="str">
        <f>IFERROR(__xludf.DUMMYFUNCTION("""COMPUTED_VALUE"""),"Изменение радиуса атомов в зависимости от положения химического элемента в Периодической системе Д.И. Менделеева")</f>
        <v>Изменение радиуса атомов в зависимости от положения химического элемента в Периодической системе Д.И. Менделеева</v>
      </c>
      <c r="E8" s="1">
        <f>IFERROR(__xludf.DUMMYFUNCTION("""COMPUTED_VALUE"""),33.0)</f>
        <v>33</v>
      </c>
      <c r="F8" s="1" t="str">
        <f>IFERROR(__xludf.DUMMYFUNCTION("""COMPUTED_VALUE"""),"Разбирается")</f>
        <v>Разбирается</v>
      </c>
      <c r="G8" s="1" t="str">
        <f>IFERROR(__xludf.DUMMYFUNCTION("""COMPUTED_VALUE"""),"Умение определять степень окисления элемента в сложном веществе")</f>
        <v>Умение определять степень окисления элемента в сложном веществе</v>
      </c>
      <c r="H8" s="1">
        <f>IFERROR(__xludf.DUMMYFUNCTION("""COMPUTED_VALUE"""),47.0)</f>
        <v>47</v>
      </c>
      <c r="I8" s="1" t="str">
        <f>IFERROR(__xludf.DUMMYFUNCTION("""COMPUTED_VALUE"""),"Разбирается")</f>
        <v>Разбирается</v>
      </c>
      <c r="J8" s="1" t="str">
        <f>IFERROR(__xludf.DUMMYFUNCTION("""COMPUTED_VALUE"""),"Умение составлять и решать пропорции")</f>
        <v>Умение составлять и решать пропорции</v>
      </c>
      <c r="K8" s="1">
        <f>IFERROR(__xludf.DUMMYFUNCTION("""COMPUTED_VALUE"""),1213.0)</f>
        <v>1213</v>
      </c>
      <c r="L8" s="1" t="str">
        <f>IFERROR(__xludf.DUMMYFUNCTION("""COMPUTED_VALUE"""),"Разбирается")</f>
        <v>Разбирается</v>
      </c>
      <c r="M8" s="1" t="str">
        <f>IFERROR(__xludf.DUMMYFUNCTION("""COMPUTED_VALUE"""),"Ионная связь")</f>
        <v>Ионная связь</v>
      </c>
      <c r="N8" s="1">
        <f>IFERROR(__xludf.DUMMYFUNCTION("""COMPUTED_VALUE"""),11.0)</f>
        <v>11</v>
      </c>
      <c r="O8" s="1" t="str">
        <f>IFERROR(__xludf.DUMMYFUNCTION("""COMPUTED_VALUE"""),"Разбирается")</f>
        <v>Разбирается</v>
      </c>
      <c r="P8" s="1" t="str">
        <f>IFERROR(__xludf.DUMMYFUNCTION("""COMPUTED_VALUE"""),"Умение определять признак(-и) реакции")</f>
        <v>Умение определять признак(-и) реакции</v>
      </c>
      <c r="Q8" s="1">
        <f>IFERROR(__xludf.DUMMYFUNCTION("""COMPUTED_VALUE"""),1243.0)</f>
        <v>1243</v>
      </c>
      <c r="R8" s="1" t="str">
        <f>IFERROR(__xludf.DUMMYFUNCTION("""COMPUTED_VALUE"""),"Разбирается")</f>
        <v>Разбирается</v>
      </c>
      <c r="S8" s="1"/>
      <c r="T8" s="1"/>
      <c r="U8" s="1"/>
      <c r="V8" s="1" t="str">
        <f>IFERROR(__xludf.DUMMYFUNCTION("""COMPUTED_VALUE"""),"Понятие массы вещества")</f>
        <v>Понятие массы вещества</v>
      </c>
      <c r="W8" s="1">
        <f>IFERROR(__xludf.DUMMYFUNCTION("""COMPUTED_VALUE"""),1215.0)</f>
        <v>1215</v>
      </c>
      <c r="X8" s="1" t="str">
        <f>IFERROR(__xludf.DUMMYFUNCTION("""COMPUTED_VALUE"""),"Проходится")</f>
        <v>Проходится</v>
      </c>
      <c r="Y8" s="1"/>
      <c r="Z8" s="1"/>
      <c r="AA8" s="1"/>
      <c r="AB8" s="1" t="str">
        <f>IFERROR(__xludf.DUMMYFUNCTION("""COMPUTED_VALUE"""),"Окислительные свойства солей переходных металлов в высших или промежуточных степенях окисления")</f>
        <v>Окислительные свойства солей переходных металлов в высших или промежуточных степенях окисления</v>
      </c>
      <c r="AC8" s="1">
        <f>IFERROR(__xludf.DUMMYFUNCTION("""COMPUTED_VALUE"""),611.0)</f>
        <v>611</v>
      </c>
      <c r="AD8" s="1" t="str">
        <f>IFERROR(__xludf.DUMMYFUNCTION("""COMPUTED_VALUE"""),"Разбирается")</f>
        <v>Разбирается</v>
      </c>
      <c r="AE8" s="1" t="str">
        <f>IFERROR(__xludf.DUMMYFUNCTION("""COMPUTED_VALUE"""),"Электролиз растворов кислородсодержащих солей")</f>
        <v>Электролиз растворов кислородсодержащих солей</v>
      </c>
      <c r="AF8" s="1">
        <f>IFERROR(__xludf.DUMMYFUNCTION("""COMPUTED_VALUE"""),618.0)</f>
        <v>618</v>
      </c>
      <c r="AG8" s="1" t="str">
        <f>IFERROR(__xludf.DUMMYFUNCTION("""COMPUTED_VALUE"""),"Разбирается")</f>
        <v>Разбирается</v>
      </c>
      <c r="AH8" s="1" t="str">
        <f>IFERROR(__xludf.DUMMYFUNCTION("""COMPUTED_VALUE"""),"Понятие массы вещества")</f>
        <v>Понятие массы вещества</v>
      </c>
      <c r="AI8" s="1">
        <f>IFERROR(__xludf.DUMMYFUNCTION("""COMPUTED_VALUE"""),1215.0)</f>
        <v>1215</v>
      </c>
      <c r="AJ8" s="1" t="str">
        <f>IFERROR(__xludf.DUMMYFUNCTION("""COMPUTED_VALUE"""),"Проходится")</f>
        <v>Проходится</v>
      </c>
      <c r="AK8" s="1" t="str">
        <f>IFERROR(__xludf.DUMMYFUNCTION("""COMPUTED_VALUE"""),"Понятие теплового эффекта реакции. Экзотермические и эндотермические реакции")</f>
        <v>Понятие теплового эффекта реакции. Экзотермические и эндотермические реакции</v>
      </c>
      <c r="AL8" s="1">
        <f>IFERROR(__xludf.DUMMYFUNCTION("""COMPUTED_VALUE"""),1206.0)</f>
        <v>1206</v>
      </c>
      <c r="AM8" s="1" t="str">
        <f>IFERROR(__xludf.DUMMYFUNCTION("""COMPUTED_VALUE"""),"Проходится")</f>
        <v>Проходится</v>
      </c>
      <c r="AN8" s="1" t="str">
        <f>IFERROR(__xludf.DUMMYFUNCTION("""COMPUTED_VALUE"""),"Гидролиз солей")</f>
        <v>Гидролиз солей</v>
      </c>
      <c r="AO8" s="1">
        <f>IFERROR(__xludf.DUMMYFUNCTION("""COMPUTED_VALUE"""),615.0)</f>
        <v>615</v>
      </c>
      <c r="AP8" s="1" t="str">
        <f>IFERROR(__xludf.DUMMYFUNCTION("""COMPUTED_VALUE"""),"Разбирается")</f>
        <v>Разбирается</v>
      </c>
      <c r="AQ8" s="1" t="str">
        <f>IFERROR(__xludf.DUMMYFUNCTION("""COMPUTED_VALUE"""),"Основно-кислотные взаимодействия и их принципы")</f>
        <v>Основно-кислотные взаимодействия и их принципы</v>
      </c>
      <c r="AR8" s="1">
        <f>IFERROR(__xludf.DUMMYFUNCTION("""COMPUTED_VALUE"""),1257.0)</f>
        <v>1257</v>
      </c>
      <c r="AS8" s="1" t="str">
        <f>IFERROR(__xludf.DUMMYFUNCTION("""COMPUTED_VALUE"""),"Разбирается")</f>
        <v>Разбирается</v>
      </c>
      <c r="AT8" s="1" t="str">
        <f>IFERROR(__xludf.DUMMYFUNCTION("""COMPUTED_VALUE"""),"Понятие объема вещества")</f>
        <v>Понятие объема вещества</v>
      </c>
      <c r="AU8" s="1">
        <f>IFERROR(__xludf.DUMMYFUNCTION("""COMPUTED_VALUE"""),1214.0)</f>
        <v>1214</v>
      </c>
      <c r="AV8" s="1" t="str">
        <f>IFERROR(__xludf.DUMMYFUNCTION("""COMPUTED_VALUE"""),"Проходится")</f>
        <v>Проходится</v>
      </c>
    </row>
    <row r="9">
      <c r="A9" s="1" t="str">
        <f>IFERROR(__xludf.DUMMYFUNCTION("""COMPUTED_VALUE"""),"Возбужденное состояние атома")</f>
        <v>Возбужденное состояние атома</v>
      </c>
      <c r="B9" s="1">
        <f>IFERROR(__xludf.DUMMYFUNCTION("""COMPUTED_VALUE"""),32.0)</f>
        <v>32</v>
      </c>
      <c r="C9" s="1" t="str">
        <f>IFERROR(__xludf.DUMMYFUNCTION("""COMPUTED_VALUE"""),"Разбирается")</f>
        <v>Разбирается</v>
      </c>
      <c r="D9" s="1" t="str">
        <f>IFERROR(__xludf.DUMMYFUNCTION("""COMPUTED_VALUE"""),"Изменение электроотрицательности атомов в зависимости от положения химического элемента в Периодической системе Д.И. Менделеева")</f>
        <v>Изменение электроотрицательности атомов в зависимости от положения химического элемента в Периодической системе Д.И. Менделеева</v>
      </c>
      <c r="E9" s="1">
        <f>IFERROR(__xludf.DUMMYFUNCTION("""COMPUTED_VALUE"""),34.0)</f>
        <v>34</v>
      </c>
      <c r="F9" s="1" t="str">
        <f>IFERROR(__xludf.DUMMYFUNCTION("""COMPUTED_VALUE"""),"Разбирается")</f>
        <v>Разбирается</v>
      </c>
      <c r="G9" s="1" t="str">
        <f>IFERROR(__xludf.DUMMYFUNCTION("""COMPUTED_VALUE"""),"Валентные электроны")</f>
        <v>Валентные электроны</v>
      </c>
      <c r="H9" s="1">
        <f>IFERROR(__xludf.DUMMYFUNCTION("""COMPUTED_VALUE"""),54.0)</f>
        <v>54</v>
      </c>
      <c r="I9" s="1" t="str">
        <f>IFERROR(__xludf.DUMMYFUNCTION("""COMPUTED_VALUE"""),"Проходится")</f>
        <v>Проходится</v>
      </c>
      <c r="J9" s="1" t="str">
        <f>IFERROR(__xludf.DUMMYFUNCTION("""COMPUTED_VALUE"""),"Понятие объема вещества")</f>
        <v>Понятие объема вещества</v>
      </c>
      <c r="K9" s="1">
        <f>IFERROR(__xludf.DUMMYFUNCTION("""COMPUTED_VALUE"""),1214.0)</f>
        <v>1214</v>
      </c>
      <c r="L9" s="1" t="str">
        <f>IFERROR(__xludf.DUMMYFUNCTION("""COMPUTED_VALUE"""),"Разбирается")</f>
        <v>Разбирается</v>
      </c>
      <c r="M9" s="1" t="str">
        <f>IFERROR(__xludf.DUMMYFUNCTION("""COMPUTED_VALUE"""),"Металлическая связь")</f>
        <v>Металлическая связь</v>
      </c>
      <c r="N9" s="1">
        <f>IFERROR(__xludf.DUMMYFUNCTION("""COMPUTED_VALUE"""),12.0)</f>
        <v>12</v>
      </c>
      <c r="O9" s="1" t="str">
        <f>IFERROR(__xludf.DUMMYFUNCTION("""COMPUTED_VALUE"""),"Разбирается")</f>
        <v>Разбирается</v>
      </c>
      <c r="P9" s="1" t="str">
        <f>IFERROR(__xludf.DUMMYFUNCTION("""COMPUTED_VALUE"""),"Классы неорганических соединений")</f>
        <v>Классы неорганических соединений</v>
      </c>
      <c r="Q9" s="1">
        <f>IFERROR(__xludf.DUMMYFUNCTION("""COMPUTED_VALUE"""),1254.0)</f>
        <v>1254</v>
      </c>
      <c r="R9" s="1" t="str">
        <f>IFERROR(__xludf.DUMMYFUNCTION("""COMPUTED_VALUE"""),"Разбирается")</f>
        <v>Разбирается</v>
      </c>
      <c r="S9" s="1"/>
      <c r="T9" s="1"/>
      <c r="U9" s="1"/>
      <c r="V9" s="1" t="str">
        <f>IFERROR(__xludf.DUMMYFUNCTION("""COMPUTED_VALUE"""),"Нахождение объёма вещества")</f>
        <v>Нахождение объёма вещества</v>
      </c>
      <c r="W9" s="1">
        <f>IFERROR(__xludf.DUMMYFUNCTION("""COMPUTED_VALUE"""),1224.0)</f>
        <v>1224</v>
      </c>
      <c r="X9" s="1" t="str">
        <f>IFERROR(__xludf.DUMMYFUNCTION("""COMPUTED_VALUE"""),"Проходится")</f>
        <v>Проходится</v>
      </c>
      <c r="Y9" s="1"/>
      <c r="Z9" s="1"/>
      <c r="AA9" s="1"/>
      <c r="AB9" s="1" t="str">
        <f>IFERROR(__xludf.DUMMYFUNCTION("""COMPUTED_VALUE"""),"Межмолекулярные и внутримолекулярные ОВР. Реакции диспропорционирования и конпропорционирования")</f>
        <v>Межмолекулярные и внутримолекулярные ОВР. Реакции диспропорционирования и конпропорционирования</v>
      </c>
      <c r="AC9" s="1">
        <f>IFERROR(__xludf.DUMMYFUNCTION("""COMPUTED_VALUE"""),1247.0)</f>
        <v>1247</v>
      </c>
      <c r="AD9" s="1" t="str">
        <f>IFERROR(__xludf.DUMMYFUNCTION("""COMPUTED_VALUE"""),"Разбирается")</f>
        <v>Разбирается</v>
      </c>
      <c r="AE9" s="1"/>
      <c r="AF9" s="1"/>
      <c r="AG9" s="1"/>
      <c r="AH9" s="1" t="str">
        <f>IFERROR(__xludf.DUMMYFUNCTION("""COMPUTED_VALUE"""),"Нахождение объёма вещества")</f>
        <v>Нахождение объёма вещества</v>
      </c>
      <c r="AI9" s="1">
        <f>IFERROR(__xludf.DUMMYFUNCTION("""COMPUTED_VALUE"""),1224.0)</f>
        <v>1224</v>
      </c>
      <c r="AJ9" s="1" t="str">
        <f>IFERROR(__xludf.DUMMYFUNCTION("""COMPUTED_VALUE"""),"Проходится")</f>
        <v>Проходится</v>
      </c>
      <c r="AK9" s="1" t="str">
        <f>IFERROR(__xludf.DUMMYFUNCTION("""COMPUTED_VALUE"""),"Гомогенные и гетерогенные химические реакции")</f>
        <v>Гомогенные и гетерогенные химические реакции</v>
      </c>
      <c r="AL9" s="1">
        <f>IFERROR(__xludf.DUMMYFUNCTION("""COMPUTED_VALUE"""),1207.0)</f>
        <v>1207</v>
      </c>
      <c r="AM9" s="1" t="str">
        <f>IFERROR(__xludf.DUMMYFUNCTION("""COMPUTED_VALUE"""),"Проходится")</f>
        <v>Проходится</v>
      </c>
      <c r="AN9" s="1" t="str">
        <f>IFERROR(__xludf.DUMMYFUNCTION("""COMPUTED_VALUE"""),"Гидролиз веществ и определение среды раствора. Индикаторы")</f>
        <v>Гидролиз веществ и определение среды раствора. Индикаторы</v>
      </c>
      <c r="AO9" s="1">
        <f>IFERROR(__xludf.DUMMYFUNCTION("""COMPUTED_VALUE"""),1255.0)</f>
        <v>1255</v>
      </c>
      <c r="AP9" s="1" t="str">
        <f>IFERROR(__xludf.DUMMYFUNCTION("""COMPUTED_VALUE"""),"Разбирается")</f>
        <v>Разбирается</v>
      </c>
      <c r="AQ9" s="1"/>
      <c r="AR9" s="1"/>
      <c r="AS9" s="1"/>
      <c r="AT9" s="1" t="str">
        <f>IFERROR(__xludf.DUMMYFUNCTION("""COMPUTED_VALUE"""),"Понятие массы вещества")</f>
        <v>Понятие массы вещества</v>
      </c>
      <c r="AU9" s="1">
        <f>IFERROR(__xludf.DUMMYFUNCTION("""COMPUTED_VALUE"""),1215.0)</f>
        <v>1215</v>
      </c>
      <c r="AV9" s="1" t="str">
        <f>IFERROR(__xludf.DUMMYFUNCTION("""COMPUTED_VALUE"""),"Проходится")</f>
        <v>Проходится</v>
      </c>
    </row>
    <row r="10">
      <c r="A10" s="1" t="str">
        <f>IFERROR(__xludf.DUMMYFUNCTION("""COMPUTED_VALUE"""),"Валентные электроны")</f>
        <v>Валентные электроны</v>
      </c>
      <c r="B10" s="1">
        <f>IFERROR(__xludf.DUMMYFUNCTION("""COMPUTED_VALUE"""),54.0)</f>
        <v>54</v>
      </c>
      <c r="C10" s="1" t="str">
        <f>IFERROR(__xludf.DUMMYFUNCTION("""COMPUTED_VALUE"""),"Разбирается")</f>
        <v>Разбирается</v>
      </c>
      <c r="D10" s="1" t="str">
        <f>IFERROR(__xludf.DUMMYFUNCTION("""COMPUTED_VALUE"""),"Изменение окислительных и восстановительных свойств атомов в зависимости от положения химического элемента в Периодической системе Д.И. Менделеева")</f>
        <v>Изменение окислительных и восстановительных свойств атомов в зависимости от положения химического элемента в Периодической системе Д.И. Менделеева</v>
      </c>
      <c r="E10" s="1">
        <f>IFERROR(__xludf.DUMMYFUNCTION("""COMPUTED_VALUE"""),35.0)</f>
        <v>35</v>
      </c>
      <c r="F10" s="1" t="str">
        <f>IFERROR(__xludf.DUMMYFUNCTION("""COMPUTED_VALUE"""),"Разбирается")</f>
        <v>Разбирается</v>
      </c>
      <c r="G10" s="1" t="str">
        <f>IFERROR(__xludf.DUMMYFUNCTION("""COMPUTED_VALUE"""),"Умение определять возможные степени окисления и валентности элемента по положению химического элемента в Периодической системе Д.И. Менделеева")</f>
        <v>Умение определять возможные степени окисления и валентности элемента по положению химического элемента в Периодической системе Д.И. Менделеева</v>
      </c>
      <c r="H10" s="1">
        <f>IFERROR(__xludf.DUMMYFUNCTION("""COMPUTED_VALUE"""),57.0)</f>
        <v>57</v>
      </c>
      <c r="I10" s="1" t="str">
        <f>IFERROR(__xludf.DUMMYFUNCTION("""COMPUTED_VALUE"""),"Проходится")</f>
        <v>Проходится</v>
      </c>
      <c r="J10" s="1" t="str">
        <f>IFERROR(__xludf.DUMMYFUNCTION("""COMPUTED_VALUE"""),"Понятие массы вещества")</f>
        <v>Понятие массы вещества</v>
      </c>
      <c r="K10" s="1">
        <f>IFERROR(__xludf.DUMMYFUNCTION("""COMPUTED_VALUE"""),1215.0)</f>
        <v>1215</v>
      </c>
      <c r="L10" s="1" t="str">
        <f>IFERROR(__xludf.DUMMYFUNCTION("""COMPUTED_VALUE"""),"Разбирается")</f>
        <v>Разбирается</v>
      </c>
      <c r="M10" s="1" t="str">
        <f>IFERROR(__xludf.DUMMYFUNCTION("""COMPUTED_VALUE"""),"Водородная связь")</f>
        <v>Водородная связь</v>
      </c>
      <c r="N10" s="1">
        <f>IFERROR(__xludf.DUMMYFUNCTION("""COMPUTED_VALUE"""),13.0)</f>
        <v>13</v>
      </c>
      <c r="O10" s="1" t="str">
        <f>IFERROR(__xludf.DUMMYFUNCTION("""COMPUTED_VALUE"""),"Разбирается")</f>
        <v>Разбирается</v>
      </c>
      <c r="P10" s="1"/>
      <c r="Q10" s="1"/>
      <c r="R10" s="1"/>
      <c r="S10" s="1"/>
      <c r="T10" s="1"/>
      <c r="U10" s="1"/>
      <c r="V10" s="1" t="str">
        <f>IFERROR(__xludf.DUMMYFUNCTION("""COMPUTED_VALUE"""),"Нахождение массы вещества")</f>
        <v>Нахождение массы вещества</v>
      </c>
      <c r="W10" s="1">
        <f>IFERROR(__xludf.DUMMYFUNCTION("""COMPUTED_VALUE"""),1225.0)</f>
        <v>1225</v>
      </c>
      <c r="X10" s="1" t="str">
        <f>IFERROR(__xludf.DUMMYFUNCTION("""COMPUTED_VALUE"""),"Проходится")</f>
        <v>Проходится</v>
      </c>
      <c r="Y10" s="1"/>
      <c r="Z10" s="1"/>
      <c r="AA10" s="1"/>
      <c r="AB10" s="1" t="str">
        <f>IFERROR(__xludf.DUMMYFUNCTION("""COMPUTED_VALUE"""),"Составление электронного баланса реакции")</f>
        <v>Составление электронного баланса реакции</v>
      </c>
      <c r="AC10" s="1">
        <f>IFERROR(__xludf.DUMMYFUNCTION("""COMPUTED_VALUE"""),1248.0)</f>
        <v>1248</v>
      </c>
      <c r="AD10" s="1" t="str">
        <f>IFERROR(__xludf.DUMMYFUNCTION("""COMPUTED_VALUE"""),"Разбирается")</f>
        <v>Разбирается</v>
      </c>
      <c r="AE10" s="1"/>
      <c r="AF10" s="1"/>
      <c r="AG10" s="1"/>
      <c r="AH10" s="1" t="str">
        <f>IFERROR(__xludf.DUMMYFUNCTION("""COMPUTED_VALUE"""),"Нахождение массы вещества")</f>
        <v>Нахождение массы вещества</v>
      </c>
      <c r="AI10" s="1">
        <f>IFERROR(__xludf.DUMMYFUNCTION("""COMPUTED_VALUE"""),1225.0)</f>
        <v>1225</v>
      </c>
      <c r="AJ10" s="1" t="str">
        <f>IFERROR(__xludf.DUMMYFUNCTION("""COMPUTED_VALUE"""),"Проходится")</f>
        <v>Проходится</v>
      </c>
      <c r="AK10" s="1" t="str">
        <f>IFERROR(__xludf.DUMMYFUNCTION("""COMPUTED_VALUE"""),"Умение определять признак(-и) реакции")</f>
        <v>Умение определять признак(-и) реакции</v>
      </c>
      <c r="AL10" s="1">
        <f>IFERROR(__xludf.DUMMYFUNCTION("""COMPUTED_VALUE"""),1243.0)</f>
        <v>1243</v>
      </c>
      <c r="AM10" s="1" t="str">
        <f>IFERROR(__xludf.DUMMYFUNCTION("""COMPUTED_VALUE"""),"Разбирается")</f>
        <v>Разбирается</v>
      </c>
      <c r="AN10" s="1"/>
      <c r="AO10" s="1"/>
      <c r="AP10" s="1"/>
      <c r="AQ10" s="1"/>
      <c r="AR10" s="1"/>
      <c r="AS10" s="1"/>
      <c r="AT10" s="1" t="str">
        <f>IFERROR(__xludf.DUMMYFUNCTION("""COMPUTED_VALUE"""),"Понятие теоретически возможного и практического выхода продукта реакции")</f>
        <v>Понятие теоретически возможного и практического выхода продукта реакции</v>
      </c>
      <c r="AU10" s="1">
        <f>IFERROR(__xludf.DUMMYFUNCTION("""COMPUTED_VALUE"""),1218.0)</f>
        <v>1218</v>
      </c>
      <c r="AV10" s="1" t="str">
        <f>IFERROR(__xludf.DUMMYFUNCTION("""COMPUTED_VALUE"""),"Разбирается")</f>
        <v>Разбирается</v>
      </c>
    </row>
    <row r="11">
      <c r="A11" s="1" t="str">
        <f>IFERROR(__xludf.DUMMYFUNCTION("""COMPUTED_VALUE"""),"Неспаренные электроны")</f>
        <v>Неспаренные электроны</v>
      </c>
      <c r="B11" s="1">
        <f>IFERROR(__xludf.DUMMYFUNCTION("""COMPUTED_VALUE"""),55.0)</f>
        <v>55</v>
      </c>
      <c r="C11" s="1" t="str">
        <f>IFERROR(__xludf.DUMMYFUNCTION("""COMPUTED_VALUE"""),"Разбирается")</f>
        <v>Разбирается</v>
      </c>
      <c r="D11" s="1" t="str">
        <f>IFERROR(__xludf.DUMMYFUNCTION("""COMPUTED_VALUE"""),"Изменение металлических и неметаллических свойств атомов в зависимости от положения химического элемента в Периодической системе Д.И. Менделеева")</f>
        <v>Изменение металлических и неметаллических свойств атомов в зависимости от положения химического элемента в Периодической системе Д.И. Менделеева</v>
      </c>
      <c r="E11" s="1">
        <f>IFERROR(__xludf.DUMMYFUNCTION("""COMPUTED_VALUE"""),42.0)</f>
        <v>42</v>
      </c>
      <c r="F11" s="1" t="str">
        <f>IFERROR(__xludf.DUMMYFUNCTION("""COMPUTED_VALUE"""),"Разбирается")</f>
        <v>Разбирается</v>
      </c>
      <c r="G11" s="1"/>
      <c r="H11" s="1"/>
      <c r="I11" s="1"/>
      <c r="J11" s="1" t="str">
        <f>IFERROR(__xludf.DUMMYFUNCTION("""COMPUTED_VALUE"""),"Нахождение массовой доли вещества / элемента")</f>
        <v>Нахождение массовой доли вещества / элемента</v>
      </c>
      <c r="K11" s="1">
        <f>IFERROR(__xludf.DUMMYFUNCTION("""COMPUTED_VALUE"""),1223.0)</f>
        <v>1223</v>
      </c>
      <c r="L11" s="1" t="str">
        <f>IFERROR(__xludf.DUMMYFUNCTION("""COMPUTED_VALUE"""),"Разбирается")</f>
        <v>Разбирается</v>
      </c>
      <c r="M11" s="1" t="str">
        <f>IFERROR(__xludf.DUMMYFUNCTION("""COMPUTED_VALUE"""),"Атомная решетка")</f>
        <v>Атомная решетка</v>
      </c>
      <c r="N11" s="1">
        <f>IFERROR(__xludf.DUMMYFUNCTION("""COMPUTED_VALUE"""),14.0)</f>
        <v>14</v>
      </c>
      <c r="O11" s="1" t="str">
        <f>IFERROR(__xludf.DUMMYFUNCTION("""COMPUTED_VALUE"""),"Разбирается")</f>
        <v>Разбирается</v>
      </c>
      <c r="P11" s="1"/>
      <c r="Q11" s="1"/>
      <c r="R11" s="1"/>
      <c r="S11" s="1"/>
      <c r="T11" s="1"/>
      <c r="U11" s="1"/>
      <c r="V11" s="1" t="str">
        <f>IFERROR(__xludf.DUMMYFUNCTION("""COMPUTED_VALUE"""),"Умение выстраивать алгоритм действий на основе условия задачи")</f>
        <v>Умение выстраивать алгоритм действий на основе условия задачи</v>
      </c>
      <c r="W11" s="1">
        <f>IFERROR(__xludf.DUMMYFUNCTION("""COMPUTED_VALUE"""),1229.0)</f>
        <v>1229</v>
      </c>
      <c r="X11" s="1" t="str">
        <f>IFERROR(__xludf.DUMMYFUNCTION("""COMPUTED_VALUE"""),"Проходится")</f>
        <v>Проходится</v>
      </c>
      <c r="Y11" s="1"/>
      <c r="Z11" s="1"/>
      <c r="AA11" s="1"/>
      <c r="AB11" s="1"/>
      <c r="AC11" s="1"/>
      <c r="AD11" s="1"/>
      <c r="AE11" s="1"/>
      <c r="AF11" s="1"/>
      <c r="AG11" s="1"/>
      <c r="AH11" s="1" t="str">
        <f>IFERROR(__xludf.DUMMYFUNCTION("""COMPUTED_VALUE"""),"Умение выстраивать алгоритм действий на основе условия задачи")</f>
        <v>Умение выстраивать алгоритм действий на основе условия задачи</v>
      </c>
      <c r="AI11" s="1">
        <f>IFERROR(__xludf.DUMMYFUNCTION("""COMPUTED_VALUE"""),1229.0)</f>
        <v>1229</v>
      </c>
      <c r="AJ11" s="1" t="str">
        <f>IFERROR(__xludf.DUMMYFUNCTION("""COMPUTED_VALUE"""),"Проходится")</f>
        <v>Проходится</v>
      </c>
      <c r="AK11" s="1" t="str">
        <f>IFERROR(__xludf.DUMMYFUNCTION("""COMPUTED_VALUE"""),"Умение восстанавливать возможное уравнение реакции по ее сокращенному ионному уравнению")</f>
        <v>Умение восстанавливать возможное уравнение реакции по ее сокращенному ионному уравнению</v>
      </c>
      <c r="AL11" s="1">
        <f>IFERROR(__xludf.DUMMYFUNCTION("""COMPUTED_VALUE"""),1244.0)</f>
        <v>1244</v>
      </c>
      <c r="AM11" s="1" t="str">
        <f>IFERROR(__xludf.DUMMYFUNCTION("""COMPUTED_VALUE"""),"Разбирается")</f>
        <v>Разбирается</v>
      </c>
      <c r="AN11" s="1"/>
      <c r="AO11" s="1"/>
      <c r="AP11" s="1"/>
      <c r="AQ11" s="1"/>
      <c r="AR11" s="1"/>
      <c r="AS11" s="1"/>
      <c r="AT11" s="1" t="str">
        <f>IFERROR(__xludf.DUMMYFUNCTION("""COMPUTED_VALUE"""),"Понятие примесей")</f>
        <v>Понятие примесей</v>
      </c>
      <c r="AU11" s="1">
        <f>IFERROR(__xludf.DUMMYFUNCTION("""COMPUTED_VALUE"""),1219.0)</f>
        <v>1219</v>
      </c>
      <c r="AV11" s="1" t="str">
        <f>IFERROR(__xludf.DUMMYFUNCTION("""COMPUTED_VALUE"""),"Разбирается")</f>
        <v>Разбирается</v>
      </c>
    </row>
    <row r="12">
      <c r="A12" s="1" t="str">
        <f>IFERROR(__xludf.DUMMYFUNCTION("""COMPUTED_VALUE"""),"Электронная конфигурация ионов")</f>
        <v>Электронная конфигурация ионов</v>
      </c>
      <c r="B12" s="1">
        <f>IFERROR(__xludf.DUMMYFUNCTION("""COMPUTED_VALUE"""),56.0)</f>
        <v>56</v>
      </c>
      <c r="C12" s="1" t="str">
        <f>IFERROR(__xludf.DUMMYFUNCTION("""COMPUTED_VALUE"""),"Разбирается")</f>
        <v>Разбирается</v>
      </c>
      <c r="D12" s="1" t="str">
        <f>IFERROR(__xludf.DUMMYFUNCTION("""COMPUTED_VALUE"""),"Водородные соединения неметаллов и металлов и закономерности изменения их свойств исходя из их положения в Периодической системе Д.И. Менделеева")</f>
        <v>Водородные соединения неметаллов и металлов и закономерности изменения их свойств исходя из их положения в Периодической системе Д.И. Менделеева</v>
      </c>
      <c r="E12" s="1">
        <f>IFERROR(__xludf.DUMMYFUNCTION("""COMPUTED_VALUE"""),43.0)</f>
        <v>43</v>
      </c>
      <c r="F12" s="1" t="str">
        <f>IFERROR(__xludf.DUMMYFUNCTION("""COMPUTED_VALUE"""),"Разбирается")</f>
        <v>Разбирается</v>
      </c>
      <c r="G12" s="1"/>
      <c r="H12" s="1"/>
      <c r="I12" s="1"/>
      <c r="J12" s="1" t="str">
        <f>IFERROR(__xludf.DUMMYFUNCTION("""COMPUTED_VALUE"""),"Нахождение массы вещества")</f>
        <v>Нахождение массы вещества</v>
      </c>
      <c r="K12" s="1">
        <f>IFERROR(__xludf.DUMMYFUNCTION("""COMPUTED_VALUE"""),1225.0)</f>
        <v>1225</v>
      </c>
      <c r="L12" s="1" t="str">
        <f>IFERROR(__xludf.DUMMYFUNCTION("""COMPUTED_VALUE"""),"Разбирается")</f>
        <v>Разбирается</v>
      </c>
      <c r="M12" s="1" t="str">
        <f>IFERROR(__xludf.DUMMYFUNCTION("""COMPUTED_VALUE"""),"Молекулярная решетка")</f>
        <v>Молекулярная решетка</v>
      </c>
      <c r="N12" s="1">
        <f>IFERROR(__xludf.DUMMYFUNCTION("""COMPUTED_VALUE"""),15.0)</f>
        <v>15</v>
      </c>
      <c r="O12" s="1" t="str">
        <f>IFERROR(__xludf.DUMMYFUNCTION("""COMPUTED_VALUE"""),"Разбирается")</f>
        <v>Разбирается</v>
      </c>
      <c r="P12" s="1"/>
      <c r="Q12" s="1"/>
      <c r="R12" s="1"/>
      <c r="S12" s="1"/>
      <c r="T12" s="1"/>
      <c r="U12" s="1"/>
      <c r="V12" s="1" t="str">
        <f>IFERROR(__xludf.DUMMYFUNCTION("""COMPUTED_VALUE"""),"Умение составлять и решать уравнения для определения искомых величин")</f>
        <v>Умение составлять и решать уравнения для определения искомых величин</v>
      </c>
      <c r="W12" s="1">
        <f>IFERROR(__xludf.DUMMYFUNCTION("""COMPUTED_VALUE"""),1230.0)</f>
        <v>1230</v>
      </c>
      <c r="X12" s="1" t="str">
        <f>IFERROR(__xludf.DUMMYFUNCTION("""COMPUTED_VALUE"""),"Проходится")</f>
        <v>Проходится</v>
      </c>
      <c r="Y12" s="1"/>
      <c r="Z12" s="1"/>
      <c r="AA12" s="1"/>
      <c r="AB12" s="1"/>
      <c r="AC12" s="1"/>
      <c r="AD12" s="1"/>
      <c r="AE12" s="1"/>
      <c r="AF12" s="1"/>
      <c r="AG12" s="1"/>
      <c r="AH12" s="1" t="str">
        <f>IFERROR(__xludf.DUMMYFUNCTION("""COMPUTED_VALUE"""),"Умение составлять и решать уравнения для определения искомых величин")</f>
        <v>Умение составлять и решать уравнения для определения искомых величин</v>
      </c>
      <c r="AI12" s="1">
        <f>IFERROR(__xludf.DUMMYFUNCTION("""COMPUTED_VALUE"""),1230.0)</f>
        <v>1230</v>
      </c>
      <c r="AJ12" s="1" t="str">
        <f>IFERROR(__xludf.DUMMYFUNCTION("""COMPUTED_VALUE"""),"Проходится")</f>
        <v>Проходится</v>
      </c>
      <c r="AK12" s="1" t="str">
        <f>IFERROR(__xludf.DUMMYFUNCTION("""COMPUTED_VALUE"""),"Умение различать химические и физические явления")</f>
        <v>Умение различать химические и физические явления</v>
      </c>
      <c r="AL12" s="1">
        <f>IFERROR(__xludf.DUMMYFUNCTION("""COMPUTED_VALUE"""),1246.0)</f>
        <v>1246</v>
      </c>
      <c r="AM12" s="1" t="str">
        <f>IFERROR(__xludf.DUMMYFUNCTION("""COMPUTED_VALUE"""),"Проходится")</f>
        <v>Проходится</v>
      </c>
      <c r="AN12" s="1"/>
      <c r="AO12" s="1"/>
      <c r="AP12" s="1"/>
      <c r="AQ12" s="1"/>
      <c r="AR12" s="1"/>
      <c r="AS12" s="1"/>
      <c r="AT12" s="1" t="str">
        <f>IFERROR(__xludf.DUMMYFUNCTION("""COMPUTED_VALUE"""),"Понятие плотности вещества")</f>
        <v>Понятие плотности вещества</v>
      </c>
      <c r="AU12" s="1">
        <f>IFERROR(__xludf.DUMMYFUNCTION("""COMPUTED_VALUE"""),1220.0)</f>
        <v>1220</v>
      </c>
      <c r="AV12" s="1" t="str">
        <f>IFERROR(__xludf.DUMMYFUNCTION("""COMPUTED_VALUE"""),"Проходится")</f>
        <v>Проходится</v>
      </c>
    </row>
    <row r="13">
      <c r="A13" s="1" t="str">
        <f>IFERROR(__xludf.DUMMYFUNCTION("""COMPUTED_VALUE"""),"Изменение энергии ионизации атомов в зависимости от положения химического элемента в Периодической системе Д.И. Менделеева")</f>
        <v>Изменение энергии ионизации атомов в зависимости от положения химического элемента в Периодической системе Д.И. Менделеева</v>
      </c>
      <c r="B13" s="1">
        <f>IFERROR(__xludf.DUMMYFUNCTION("""COMPUTED_VALUE"""),60.0)</f>
        <v>60</v>
      </c>
      <c r="C13" s="1" t="str">
        <f>IFERROR(__xludf.DUMMYFUNCTION("""COMPUTED_VALUE"""),"Разбирается")</f>
        <v>Разбирается</v>
      </c>
      <c r="D13" s="1" t="str">
        <f>IFERROR(__xludf.DUMMYFUNCTION("""COMPUTED_VALUE"""),"Закономерности изменения свойств высших оксидов и гидроксидов в зависимости от положения элемента в Периодической системе Д.И. Менделеева")</f>
        <v>Закономерности изменения свойств высших оксидов и гидроксидов в зависимости от положения элемента в Периодической системе Д.И. Менделеева</v>
      </c>
      <c r="E13" s="1">
        <f>IFERROR(__xludf.DUMMYFUNCTION("""COMPUTED_VALUE"""),44.0)</f>
        <v>44</v>
      </c>
      <c r="F13" s="1" t="str">
        <f>IFERROR(__xludf.DUMMYFUNCTION("""COMPUTED_VALUE"""),"Разбирается")</f>
        <v>Разбирается</v>
      </c>
      <c r="G13" s="1"/>
      <c r="H13" s="1"/>
      <c r="I13" s="1"/>
      <c r="J13" s="1" t="str">
        <f>IFERROR(__xludf.DUMMYFUNCTION("""COMPUTED_VALUE"""),"Нахождение объёма вещества")</f>
        <v>Нахождение объёма вещества</v>
      </c>
      <c r="K13" s="1">
        <f>IFERROR(__xludf.DUMMYFUNCTION("""COMPUTED_VALUE"""),1224.0)</f>
        <v>1224</v>
      </c>
      <c r="L13" s="1" t="str">
        <f>IFERROR(__xludf.DUMMYFUNCTION("""COMPUTED_VALUE"""),"Разбирается")</f>
        <v>Разбирается</v>
      </c>
      <c r="M13" s="1" t="str">
        <f>IFERROR(__xludf.DUMMYFUNCTION("""COMPUTED_VALUE"""),"Ионная решетка")</f>
        <v>Ионная решетка</v>
      </c>
      <c r="N13" s="1">
        <f>IFERROR(__xludf.DUMMYFUNCTION("""COMPUTED_VALUE"""),16.0)</f>
        <v>16</v>
      </c>
      <c r="O13" s="1" t="str">
        <f>IFERROR(__xludf.DUMMYFUNCTION("""COMPUTED_VALUE"""),"Разбирается")</f>
        <v>Разбирается</v>
      </c>
      <c r="P13" s="1"/>
      <c r="Q13" s="1"/>
      <c r="R13" s="1"/>
      <c r="S13" s="1"/>
      <c r="T13" s="1"/>
      <c r="U13" s="1"/>
      <c r="V13" s="1" t="str">
        <f>IFERROR(__xludf.DUMMYFUNCTION("""COMPUTED_VALUE"""),"Понятие молярной массы")</f>
        <v>Понятие молярной массы</v>
      </c>
      <c r="W13" s="1">
        <f>IFERROR(__xludf.DUMMYFUNCTION("""COMPUTED_VALUE"""),1250.0)</f>
        <v>1250</v>
      </c>
      <c r="X13" s="1" t="str">
        <f>IFERROR(__xludf.DUMMYFUNCTION("""COMPUTED_VALUE"""),"Проходится")</f>
        <v>Проходится</v>
      </c>
      <c r="Y13" s="1"/>
      <c r="Z13" s="1"/>
      <c r="AA13" s="1"/>
      <c r="AB13" s="1"/>
      <c r="AC13" s="1"/>
      <c r="AD13" s="1"/>
      <c r="AE13" s="1"/>
      <c r="AF13" s="1"/>
      <c r="AG13" s="1"/>
      <c r="AH13" s="1" t="str">
        <f>IFERROR(__xludf.DUMMYFUNCTION("""COMPUTED_VALUE"""),"Понятие молярной массы")</f>
        <v>Понятие молярной массы</v>
      </c>
      <c r="AI13" s="1">
        <f>IFERROR(__xludf.DUMMYFUNCTION("""COMPUTED_VALUE"""),1250.0)</f>
        <v>1250</v>
      </c>
      <c r="AJ13" s="1" t="str">
        <f>IFERROR(__xludf.DUMMYFUNCTION("""COMPUTED_VALUE"""),"Проходится")</f>
        <v>Проходится</v>
      </c>
      <c r="AK13" s="1" t="str">
        <f>IFERROR(__xludf.DUMMYFUNCTION("""COMPUTED_VALUE"""),"Полное и сокращенное ионные уравнения")</f>
        <v>Полное и сокращенное ионные уравнения</v>
      </c>
      <c r="AL13" s="1">
        <f>IFERROR(__xludf.DUMMYFUNCTION("""COMPUTED_VALUE"""),1249.0)</f>
        <v>1249</v>
      </c>
      <c r="AM13" s="1" t="str">
        <f>IFERROR(__xludf.DUMMYFUNCTION("""COMPUTED_VALUE"""),"Разбирается")</f>
        <v>Разбирается</v>
      </c>
      <c r="AN13" s="1"/>
      <c r="AO13" s="1"/>
      <c r="AP13" s="1"/>
      <c r="AQ13" s="1"/>
      <c r="AR13" s="1"/>
      <c r="AS13" s="1"/>
      <c r="AT13" s="1" t="str">
        <f>IFERROR(__xludf.DUMMYFUNCTION("""COMPUTED_VALUE"""),"Нахождение массовой или объемной доли практического выхода продукта реакции")</f>
        <v>Нахождение массовой или объемной доли практического выхода продукта реакции</v>
      </c>
      <c r="AU13" s="1">
        <f>IFERROR(__xludf.DUMMYFUNCTION("""COMPUTED_VALUE"""),1221.0)</f>
        <v>1221</v>
      </c>
      <c r="AV13" s="1" t="str">
        <f>IFERROR(__xludf.DUMMYFUNCTION("""COMPUTED_VALUE"""),"Разбирается")</f>
        <v>Разбирается</v>
      </c>
    </row>
    <row r="14">
      <c r="A14" s="1"/>
      <c r="B14" s="1"/>
      <c r="C14" s="1"/>
      <c r="D14" s="1" t="str">
        <f>IFERROR(__xludf.DUMMYFUNCTION("""COMPUTED_VALUE"""),"Умение определять местоположение химического элемента в Периодической системе Д.И. Менделеева по его свойствам")</f>
        <v>Умение определять местоположение химического элемента в Периодической системе Д.И. Менделеева по его свойствам</v>
      </c>
      <c r="E14" s="1">
        <f>IFERROR(__xludf.DUMMYFUNCTION("""COMPUTED_VALUE"""),46.0)</f>
        <v>46</v>
      </c>
      <c r="F14" s="1" t="str">
        <f>IFERROR(__xludf.DUMMYFUNCTION("""COMPUTED_VALUE"""),"Разбирается")</f>
        <v>Разбирается</v>
      </c>
      <c r="G14" s="1"/>
      <c r="H14" s="1"/>
      <c r="I14" s="1"/>
      <c r="J14" s="1" t="str">
        <f>IFERROR(__xludf.DUMMYFUNCTION("""COMPUTED_VALUE"""),"Умение выстраивать алгоритм действий на основе условия задачи")</f>
        <v>Умение выстраивать алгоритм действий на основе условия задачи</v>
      </c>
      <c r="K14" s="1">
        <f>IFERROR(__xludf.DUMMYFUNCTION("""COMPUTED_VALUE"""),1229.0)</f>
        <v>1229</v>
      </c>
      <c r="L14" s="1" t="str">
        <f>IFERROR(__xludf.DUMMYFUNCTION("""COMPUTED_VALUE"""),"Разбирается")</f>
        <v>Разбирается</v>
      </c>
      <c r="M14" s="1" t="str">
        <f>IFERROR(__xludf.DUMMYFUNCTION("""COMPUTED_VALUE"""),"Металлическая решетка")</f>
        <v>Металлическая решетка</v>
      </c>
      <c r="N14" s="1">
        <f>IFERROR(__xludf.DUMMYFUNCTION("""COMPUTED_VALUE"""),17.0)</f>
        <v>17</v>
      </c>
      <c r="O14" s="1" t="str">
        <f>IFERROR(__xludf.DUMMYFUNCTION("""COMPUTED_VALUE"""),"Разбирается")</f>
        <v>Разбирается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 t="str">
        <f>IFERROR(__xludf.DUMMYFUNCTION("""COMPUTED_VALUE"""),"Классификация электролитов")</f>
        <v>Классификация электролитов</v>
      </c>
      <c r="AL14" s="1">
        <f>IFERROR(__xludf.DUMMYFUNCTION("""COMPUTED_VALUE"""),1253.0)</f>
        <v>1253</v>
      </c>
      <c r="AM14" s="1" t="str">
        <f>IFERROR(__xludf.DUMMYFUNCTION("""COMPUTED_VALUE"""),"Разбирается")</f>
        <v>Разбирается</v>
      </c>
      <c r="AN14" s="1"/>
      <c r="AO14" s="1"/>
      <c r="AP14" s="1"/>
      <c r="AQ14" s="1"/>
      <c r="AR14" s="1"/>
      <c r="AS14" s="1"/>
      <c r="AT14" s="1" t="str">
        <f>IFERROR(__xludf.DUMMYFUNCTION("""COMPUTED_VALUE"""),"Нахождение массы чистого вещества в образце с примесями")</f>
        <v>Нахождение массы чистого вещества в образце с примесями</v>
      </c>
      <c r="AU14" s="1">
        <f>IFERROR(__xludf.DUMMYFUNCTION("""COMPUTED_VALUE"""),1222.0)</f>
        <v>1222</v>
      </c>
      <c r="AV14" s="1" t="str">
        <f>IFERROR(__xludf.DUMMYFUNCTION("""COMPUTED_VALUE"""),"Разбирается")</f>
        <v>Разбирается</v>
      </c>
    </row>
    <row r="15">
      <c r="A15" s="1"/>
      <c r="B15" s="1"/>
      <c r="C15" s="1"/>
      <c r="D15" s="1" t="str">
        <f>IFERROR(__xludf.DUMMYFUNCTION("""COMPUTED_VALUE"""),"Умение определять период и группу, в которых находится химический элемент в Периодической системе Д.И. Менделеева")</f>
        <v>Умение определять период и группу, в которых находится химический элемент в Периодической системе Д.И. Менделеева</v>
      </c>
      <c r="E15" s="1">
        <f>IFERROR(__xludf.DUMMYFUNCTION("""COMPUTED_VALUE"""),50.0)</f>
        <v>50</v>
      </c>
      <c r="F15" s="1" t="str">
        <f>IFERROR(__xludf.DUMMYFUNCTION("""COMPUTED_VALUE"""),"Разбирается")</f>
        <v>Разбирается</v>
      </c>
      <c r="G15" s="1"/>
      <c r="H15" s="1"/>
      <c r="I15" s="1"/>
      <c r="J15" s="1" t="str">
        <f>IFERROR(__xludf.DUMMYFUNCTION("""COMPUTED_VALUE"""),"Умение составлять и решать уравнения для определения искомых величин")</f>
        <v>Умение составлять и решать уравнения для определения искомых величин</v>
      </c>
      <c r="K15" s="1">
        <f>IFERROR(__xludf.DUMMYFUNCTION("""COMPUTED_VALUE"""),1230.0)</f>
        <v>1230</v>
      </c>
      <c r="L15" s="1" t="str">
        <f>IFERROR(__xludf.DUMMYFUNCTION("""COMPUTED_VALUE"""),"Разбирается")</f>
        <v>Разбирается</v>
      </c>
      <c r="M15" s="1" t="str">
        <f>IFERROR(__xludf.DUMMYFUNCTION("""COMPUTED_VALUE"""),"Понятия полярности и кратности связи. Понятия длины связи и ее прочности (энергии)")</f>
        <v>Понятия полярности и кратности связи. Понятия длины связи и ее прочности (энергии)</v>
      </c>
      <c r="N15" s="1">
        <f>IFERROR(__xludf.DUMMYFUNCTION("""COMPUTED_VALUE"""),37.0)</f>
        <v>37</v>
      </c>
      <c r="O15" s="1" t="str">
        <f>IFERROR(__xludf.DUMMYFUNCTION("""COMPUTED_VALUE"""),"Разбирается")</f>
        <v>Разбирается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 t="str">
        <f>IFERROR(__xludf.DUMMYFUNCTION("""COMPUTED_VALUE"""),"Основно-кислотные взаимодействия и их принципы")</f>
        <v>Основно-кислотные взаимодействия и их принципы</v>
      </c>
      <c r="AL15" s="1">
        <f>IFERROR(__xludf.DUMMYFUNCTION("""COMPUTED_VALUE"""),1257.0)</f>
        <v>1257</v>
      </c>
      <c r="AM15" s="1" t="str">
        <f>IFERROR(__xludf.DUMMYFUNCTION("""COMPUTED_VALUE"""),"Разбирается")</f>
        <v>Разбирается</v>
      </c>
      <c r="AN15" s="1"/>
      <c r="AO15" s="1"/>
      <c r="AP15" s="1"/>
      <c r="AQ15" s="1"/>
      <c r="AR15" s="1"/>
      <c r="AS15" s="1"/>
      <c r="AT15" s="1" t="str">
        <f>IFERROR(__xludf.DUMMYFUNCTION("""COMPUTED_VALUE"""),"Нахождение объёма вещества")</f>
        <v>Нахождение объёма вещества</v>
      </c>
      <c r="AU15" s="1">
        <f>IFERROR(__xludf.DUMMYFUNCTION("""COMPUTED_VALUE"""),1224.0)</f>
        <v>1224</v>
      </c>
      <c r="AV15" s="1" t="str">
        <f>IFERROR(__xludf.DUMMYFUNCTION("""COMPUTED_VALUE"""),"Проходится")</f>
        <v>Проходится</v>
      </c>
    </row>
    <row r="16">
      <c r="A16" s="1"/>
      <c r="B16" s="1"/>
      <c r="C16" s="1"/>
      <c r="D16" s="1" t="str">
        <f>IFERROR(__xludf.DUMMYFUNCTION("""COMPUTED_VALUE"""),"Умение различать металлы и неметаллы в Периодической системе Д.И. Менделеева")</f>
        <v>Умение различать металлы и неметаллы в Периодической системе Д.И. Менделеева</v>
      </c>
      <c r="E16" s="1">
        <f>IFERROR(__xludf.DUMMYFUNCTION("""COMPUTED_VALUE"""),51.0)</f>
        <v>51</v>
      </c>
      <c r="F16" s="1" t="str">
        <f>IFERROR(__xludf.DUMMYFUNCTION("""COMPUTED_VALUE"""),"Разбирается")</f>
        <v>Разбирается</v>
      </c>
      <c r="G16" s="1"/>
      <c r="H16" s="1"/>
      <c r="I16" s="1"/>
      <c r="J16" s="1" t="str">
        <f>IFERROR(__xludf.DUMMYFUNCTION("""COMPUTED_VALUE"""),"Понятие молярной массы")</f>
        <v>Понятие молярной массы</v>
      </c>
      <c r="K16" s="1">
        <f>IFERROR(__xludf.DUMMYFUNCTION("""COMPUTED_VALUE"""),1250.0)</f>
        <v>1250</v>
      </c>
      <c r="L16" s="1" t="str">
        <f>IFERROR(__xludf.DUMMYFUNCTION("""COMPUTED_VALUE"""),"Разбирается")</f>
        <v>Разбирается</v>
      </c>
      <c r="M16" s="1" t="str">
        <f>IFERROR(__xludf.DUMMYFUNCTION("""COMPUTED_VALUE"""),"Сигма- и пи-связи")</f>
        <v>Сигма- и пи-связи</v>
      </c>
      <c r="N16" s="1">
        <f>IFERROR(__xludf.DUMMYFUNCTION("""COMPUTED_VALUE"""),39.0)</f>
        <v>39</v>
      </c>
      <c r="O16" s="1" t="str">
        <f>IFERROR(__xludf.DUMMYFUNCTION("""COMPUTED_VALUE"""),"Разбирается")</f>
        <v>Разбирается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 t="str">
        <f>IFERROR(__xludf.DUMMYFUNCTION("""COMPUTED_VALUE"""),"Нахождение массы вещества")</f>
        <v>Нахождение массы вещества</v>
      </c>
      <c r="AU16" s="1">
        <f>IFERROR(__xludf.DUMMYFUNCTION("""COMPUTED_VALUE"""),1225.0)</f>
        <v>1225</v>
      </c>
      <c r="AV16" s="1" t="str">
        <f>IFERROR(__xludf.DUMMYFUNCTION("""COMPUTED_VALUE"""),"Проходится")</f>
        <v>Проходится</v>
      </c>
    </row>
    <row r="17">
      <c r="A17" s="1"/>
      <c r="B17" s="1"/>
      <c r="C17" s="1"/>
      <c r="D17" s="1" t="str">
        <f>IFERROR(__xludf.DUMMYFUNCTION("""COMPUTED_VALUE"""),"Изменение сродства к электрону атомов в зависимости от положения химического элемента в Периодической системе Д.И. Менделеева")</f>
        <v>Изменение сродства к электрону атомов в зависимости от положения химического элемента в Периодической системе Д.И. Менделеева</v>
      </c>
      <c r="E17" s="1">
        <f>IFERROR(__xludf.DUMMYFUNCTION("""COMPUTED_VALUE"""),53.0)</f>
        <v>53</v>
      </c>
      <c r="F17" s="1" t="str">
        <f>IFERROR(__xludf.DUMMYFUNCTION("""COMPUTED_VALUE"""),"Разбирается")</f>
        <v>Разбирается</v>
      </c>
      <c r="G17" s="1"/>
      <c r="H17" s="1"/>
      <c r="I17" s="1"/>
      <c r="J17" s="1"/>
      <c r="K17" s="1"/>
      <c r="L17" s="1"/>
      <c r="M17" s="1" t="str">
        <f>IFERROR(__xludf.DUMMYFUNCTION("""COMPUTED_VALUE"""),"Умение определять тип связи между атомами химических элементов")</f>
        <v>Умение определять тип связи между атомами химических элементов</v>
      </c>
      <c r="N17" s="1">
        <f>IFERROR(__xludf.DUMMYFUNCTION("""COMPUTED_VALUE"""),52.0)</f>
        <v>52</v>
      </c>
      <c r="O17" s="1" t="str">
        <f>IFERROR(__xludf.DUMMYFUNCTION("""COMPUTED_VALUE"""),"Разбирается")</f>
        <v>Разбирается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 t="str">
        <f>IFERROR(__xludf.DUMMYFUNCTION("""COMPUTED_VALUE"""),"Умение выстраивать алгоритм действий на основе условия задачи")</f>
        <v>Умение выстраивать алгоритм действий на основе условия задачи</v>
      </c>
      <c r="AU17" s="1">
        <f>IFERROR(__xludf.DUMMYFUNCTION("""COMPUTED_VALUE"""),1229.0)</f>
        <v>1229</v>
      </c>
      <c r="AV17" s="1" t="str">
        <f>IFERROR(__xludf.DUMMYFUNCTION("""COMPUTED_VALUE"""),"Проходится")</f>
        <v>Проходится</v>
      </c>
    </row>
    <row r="18">
      <c r="A18" s="1"/>
      <c r="B18" s="1"/>
      <c r="C18" s="1"/>
      <c r="D18" s="1" t="str">
        <f>IFERROR(__xludf.DUMMYFUNCTION("""COMPUTED_VALUE"""),"Умение определять возможные степени окисления и валентности элемента по положению химического элемента в Периодической системе Д.И. Менделеева")</f>
        <v>Умение определять возможные степени окисления и валентности элемента по положению химического элемента в Периодической системе Д.И. Менделеева</v>
      </c>
      <c r="E18" s="1">
        <f>IFERROR(__xludf.DUMMYFUNCTION("""COMPUTED_VALUE"""),57.0)</f>
        <v>57</v>
      </c>
      <c r="F18" s="1" t="str">
        <f>IFERROR(__xludf.DUMMYFUNCTION("""COMPUTED_VALUE"""),"Проходится")</f>
        <v>Проходится</v>
      </c>
      <c r="G18" s="1"/>
      <c r="H18" s="1"/>
      <c r="I18" s="1"/>
      <c r="J18" s="1"/>
      <c r="K18" s="1"/>
      <c r="L18" s="1"/>
      <c r="M18" s="1" t="str">
        <f>IFERROR(__xludf.DUMMYFUNCTION("""COMPUTED_VALUE"""),"Валентные электроны")</f>
        <v>Валентные электроны</v>
      </c>
      <c r="N18" s="1">
        <f>IFERROR(__xludf.DUMMYFUNCTION("""COMPUTED_VALUE"""),54.0)</f>
        <v>54</v>
      </c>
      <c r="O18" s="1" t="str">
        <f>IFERROR(__xludf.DUMMYFUNCTION("""COMPUTED_VALUE"""),"Проходится")</f>
        <v>Проходится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 t="str">
        <f>IFERROR(__xludf.DUMMYFUNCTION("""COMPUTED_VALUE"""),"Умение составлять и решать уравнения для определения искомых величин")</f>
        <v>Умение составлять и решать уравнения для определения искомых величин</v>
      </c>
      <c r="AU18" s="1">
        <f>IFERROR(__xludf.DUMMYFUNCTION("""COMPUTED_VALUE"""),1230.0)</f>
        <v>1230</v>
      </c>
      <c r="AV18" s="1" t="str">
        <f>IFERROR(__xludf.DUMMYFUNCTION("""COMPUTED_VALUE"""),"Проходится")</f>
        <v>Проходится</v>
      </c>
    </row>
    <row r="19">
      <c r="A19" s="1"/>
      <c r="B19" s="1"/>
      <c r="C19" s="1"/>
      <c r="D19" s="1" t="str">
        <f>IFERROR(__xludf.DUMMYFUNCTION("""COMPUTED_VALUE"""),"Изменение энергии ионизации атомов в зависимости от положения химического элемента в Периодической системе Д.И. Менделеева")</f>
        <v>Изменение энергии ионизации атомов в зависимости от положения химического элемента в Периодической системе Д.И. Менделеева</v>
      </c>
      <c r="E19" s="1">
        <f>IFERROR(__xludf.DUMMYFUNCTION("""COMPUTED_VALUE"""),60.0)</f>
        <v>60</v>
      </c>
      <c r="F19" s="1" t="str">
        <f>IFERROR(__xludf.DUMMYFUNCTION("""COMPUTED_VALUE"""),"Разбирается")</f>
        <v>Разбирается</v>
      </c>
      <c r="G19" s="1"/>
      <c r="H19" s="1"/>
      <c r="I19" s="1"/>
      <c r="J19" s="1"/>
      <c r="K19" s="1"/>
      <c r="L19" s="1"/>
      <c r="M19" s="1" t="str">
        <f>IFERROR(__xludf.DUMMYFUNCTION("""COMPUTED_VALUE"""),"Неспаренные электроны")</f>
        <v>Неспаренные электроны</v>
      </c>
      <c r="N19" s="1">
        <f>IFERROR(__xludf.DUMMYFUNCTION("""COMPUTED_VALUE"""),55.0)</f>
        <v>55</v>
      </c>
      <c r="O19" s="1" t="str">
        <f>IFERROR(__xludf.DUMMYFUNCTION("""COMPUTED_VALUE"""),"Проходится")</f>
        <v>Проходится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 t="str">
        <f>IFERROR(__xludf.DUMMYFUNCTION("""COMPUTED_VALUE"""),"Понятие молярной массы")</f>
        <v>Понятие молярной массы</v>
      </c>
      <c r="AU19" s="1">
        <f>IFERROR(__xludf.DUMMYFUNCTION("""COMPUTED_VALUE"""),1250.0)</f>
        <v>1250</v>
      </c>
      <c r="AV19" s="1" t="str">
        <f>IFERROR(__xludf.DUMMYFUNCTION("""COMPUTED_VALUE"""),"Проходится")</f>
        <v>Проходится</v>
      </c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 t="str">
        <f>IFERROR(__xludf.DUMMYFUNCTION("""COMPUTED_VALUE"""),"Умение определять тип кристаллической решетки соединения")</f>
        <v>Умение определять тип кристаллической решетки соединения</v>
      </c>
      <c r="N20" s="1">
        <f>IFERROR(__xludf.DUMMYFUNCTION("""COMPUTED_VALUE"""),58.0)</f>
        <v>58</v>
      </c>
      <c r="O20" s="1" t="str">
        <f>IFERROR(__xludf.DUMMYFUNCTION("""COMPUTED_VALUE"""),"Разбирается")</f>
        <v>Разбирается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 t="str">
        <f>IFERROR(__xludf.DUMMYFUNCTION("""COMPUTED_VALUE"""),"Связь между строением вещества и его физическими свойствами")</f>
        <v>Связь между строением вещества и его физическими свойствами</v>
      </c>
      <c r="N21" s="1">
        <f>IFERROR(__xludf.DUMMYFUNCTION("""COMPUTED_VALUE"""),59.0)</f>
        <v>59</v>
      </c>
      <c r="O21" s="1" t="str">
        <f>IFERROR(__xludf.DUMMYFUNCTION("""COMPUTED_VALUE"""),"Разбирается")</f>
        <v>Разбирается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</row>
  </sheetData>
  <drawing r:id="rId1"/>
</worksheet>
</file>