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2022" sheetId="1" r:id="rId4"/>
    <sheet state="visible" name="Budget 2021" sheetId="2" r:id="rId5"/>
    <sheet state="visible" name="Budget 2020" sheetId="3" r:id="rId6"/>
    <sheet state="visible" name="Stock Allocation" sheetId="4" r:id="rId7"/>
    <sheet state="visible" name="JPZP Speculation Fund" sheetId="5" r:id="rId8"/>
    <sheet state="visible" name="Dad Loan Stocks" sheetId="6" r:id="rId9"/>
  </sheets>
  <definedNames/>
  <calcPr/>
</workbook>
</file>

<file path=xl/sharedStrings.xml><?xml version="1.0" encoding="utf-8"?>
<sst xmlns="http://schemas.openxmlformats.org/spreadsheetml/2006/main" count="564" uniqueCount="268">
  <si>
    <t>Category</t>
  </si>
  <si>
    <t>Accurate as of 1/16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</si>
  <si>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</si>
  <si>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</si>
  <si>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</si>
  <si>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</si>
  <si>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</si>
  <si>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</si>
  <si>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</si>
  <si>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</si>
  <si>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</si>
  <si>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</si>
  <si>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</si>
  <si>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</si>
  <si>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Expected</t>
  </si>
  <si>
    <t>Actual</t>
  </si>
  <si>
    <t>Income</t>
  </si>
  <si>
    <t>Paycheck</t>
  </si>
  <si>
    <t>Expenses</t>
  </si>
  <si>
    <t>Rent (paid previous month)</t>
  </si>
  <si>
    <t>Utilities</t>
  </si>
  <si>
    <t>Food</t>
  </si>
  <si>
    <t>Hello Fresh</t>
  </si>
  <si>
    <t>Going Out/Bars</t>
  </si>
  <si>
    <t>Entertainment/Random</t>
  </si>
  <si>
    <t xml:space="preserve">Travel </t>
  </si>
  <si>
    <t>Phone Bill</t>
  </si>
  <si>
    <t>Health</t>
  </si>
  <si>
    <t>Ikon</t>
  </si>
  <si>
    <t>Mattress</t>
  </si>
  <si>
    <t>Prime</t>
  </si>
  <si>
    <t>Front</t>
  </si>
  <si>
    <t>CorePower</t>
  </si>
  <si>
    <t>Gas</t>
  </si>
  <si>
    <t>Auto Insurance</t>
  </si>
  <si>
    <t>Car</t>
  </si>
  <si>
    <t>Phone</t>
  </si>
  <si>
    <t>Savings</t>
  </si>
  <si>
    <t>Emergency Fund (Marcus)</t>
  </si>
  <si>
    <t>Short Term (USAA)</t>
  </si>
  <si>
    <t>Roth IRA</t>
  </si>
  <si>
    <t>RobinHood</t>
  </si>
  <si>
    <t>Coinbase</t>
  </si>
  <si>
    <t>CS Mutual Fund</t>
  </si>
  <si>
    <t>Extra for Checking</t>
  </si>
  <si>
    <t>ACCOUNT BALANCES</t>
  </si>
  <si>
    <t>USAA Checking</t>
  </si>
  <si>
    <t>USAA Savings</t>
  </si>
  <si>
    <t>Charles Schwab</t>
  </si>
  <si>
    <t>Roth</t>
  </si>
  <si>
    <t>401k</t>
  </si>
  <si>
    <t>Kraken</t>
  </si>
  <si>
    <t>Dad E*trade</t>
  </si>
  <si>
    <t>Traeger Stonks</t>
  </si>
  <si>
    <t>Donde</t>
  </si>
  <si>
    <t>I Bonds</t>
  </si>
  <si>
    <t>Total</t>
  </si>
  <si>
    <t>Accurate as of 11/24</t>
  </si>
  <si>
    <t>Watch</t>
  </si>
  <si>
    <t>Phone Accessories</t>
  </si>
  <si>
    <t>Winnings!!!</t>
  </si>
  <si>
    <t>Amex Debt</t>
  </si>
  <si>
    <t>Apparel/Footwear</t>
  </si>
  <si>
    <t>Personal Hygiene</t>
  </si>
  <si>
    <t xml:space="preserve">Gas/Car wash </t>
  </si>
  <si>
    <t>Watch/PS4</t>
  </si>
  <si>
    <t>Phone/Accessories</t>
  </si>
  <si>
    <t>CS Brokerage</t>
  </si>
  <si>
    <t>Live Balance</t>
  </si>
  <si>
    <t>Checking</t>
  </si>
  <si>
    <t>USAA Saving</t>
  </si>
  <si>
    <t>Marcus</t>
  </si>
  <si>
    <t>Robinhood</t>
  </si>
  <si>
    <t>Net Assets</t>
  </si>
  <si>
    <t>Position</t>
  </si>
  <si>
    <t>Stock</t>
  </si>
  <si>
    <t>Ticker</t>
  </si>
  <si>
    <t>Sector</t>
  </si>
  <si>
    <t>Industry</t>
  </si>
  <si>
    <t>Market Cap (Billion$)</t>
  </si>
  <si>
    <t>Average Cost</t>
  </si>
  <si>
    <t>Total Cost</t>
  </si>
  <si>
    <t>Stock Price</t>
  </si>
  <si>
    <t>Shares</t>
  </si>
  <si>
    <t>Equity</t>
  </si>
  <si>
    <t>Allocation</t>
  </si>
  <si>
    <t>Gain</t>
  </si>
  <si>
    <t>Consumer Cyclical</t>
  </si>
  <si>
    <t>MercadoLibre</t>
  </si>
  <si>
    <t>MELI</t>
  </si>
  <si>
    <t>Internet Retail</t>
  </si>
  <si>
    <t>Financial Services</t>
  </si>
  <si>
    <t>Amazon</t>
  </si>
  <si>
    <t>AMZN</t>
  </si>
  <si>
    <t>Technology</t>
  </si>
  <si>
    <t>CrowdStrike Holdings</t>
  </si>
  <si>
    <t>CRWD</t>
  </si>
  <si>
    <t>Software - Infrastructure</t>
  </si>
  <si>
    <t>Healthcare</t>
  </si>
  <si>
    <t>Nvidia</t>
  </si>
  <si>
    <t>NVDA</t>
  </si>
  <si>
    <t>Semiconductors</t>
  </si>
  <si>
    <t>Communication Services</t>
  </si>
  <si>
    <t>Shopify</t>
  </si>
  <si>
    <t>SHOP</t>
  </si>
  <si>
    <t>Software - Application</t>
  </si>
  <si>
    <t>Industrials</t>
  </si>
  <si>
    <t>LuluLemon</t>
  </si>
  <si>
    <t>LULU</t>
  </si>
  <si>
    <t>Apparel Retail</t>
  </si>
  <si>
    <t>Real Estate</t>
  </si>
  <si>
    <t>Roku</t>
  </si>
  <si>
    <t>ROKU</t>
  </si>
  <si>
    <t>Entertainment</t>
  </si>
  <si>
    <t>Shockwave Medical</t>
  </si>
  <si>
    <t>SWAV</t>
  </si>
  <si>
    <t>Medical Devices</t>
  </si>
  <si>
    <t>Square</t>
  </si>
  <si>
    <t>SQ</t>
  </si>
  <si>
    <t xml:space="preserve">Software - Infrastructure </t>
  </si>
  <si>
    <t>Twilio</t>
  </si>
  <si>
    <t>TWLO</t>
  </si>
  <si>
    <t>Internet Content &amp; Information</t>
  </si>
  <si>
    <t>Paypal</t>
  </si>
  <si>
    <t>PYPL</t>
  </si>
  <si>
    <t>Credit Services</t>
  </si>
  <si>
    <t>Lemonade</t>
  </si>
  <si>
    <t>LMND</t>
  </si>
  <si>
    <t>Insurance - Property &amp; Casualty</t>
  </si>
  <si>
    <t>MongoDB</t>
  </si>
  <si>
    <t>MDB</t>
  </si>
  <si>
    <t>Accenture</t>
  </si>
  <si>
    <t>ACN</t>
  </si>
  <si>
    <t>Information Technology Services</t>
  </si>
  <si>
    <t>Atlassian</t>
  </si>
  <si>
    <t>TEAM</t>
  </si>
  <si>
    <t>ASML Holdings</t>
  </si>
  <si>
    <t>ASML</t>
  </si>
  <si>
    <t>Semiconductor Equipment and Materials</t>
  </si>
  <si>
    <t>Kinsale Capital</t>
  </si>
  <si>
    <t>KNSL</t>
  </si>
  <si>
    <t>PubMatic</t>
  </si>
  <si>
    <t>PUBM</t>
  </si>
  <si>
    <t>Electronic Gaming &amp; Multimedia</t>
  </si>
  <si>
    <t>Unity Software</t>
  </si>
  <si>
    <t>U</t>
  </si>
  <si>
    <t>Disney</t>
  </si>
  <si>
    <t>DIS</t>
  </si>
  <si>
    <t>Magnite</t>
  </si>
  <si>
    <t>MGNI</t>
  </si>
  <si>
    <t>Advertising Agencies</t>
  </si>
  <si>
    <t>Pinterest</t>
  </si>
  <si>
    <t>PINS</t>
  </si>
  <si>
    <t>Mastercard</t>
  </si>
  <si>
    <t>MA</t>
  </si>
  <si>
    <t xml:space="preserve">Credit Services </t>
  </si>
  <si>
    <t>Teladoc</t>
  </si>
  <si>
    <t>TDOC</t>
  </si>
  <si>
    <t>Health Information Services</t>
  </si>
  <si>
    <t>AMD</t>
  </si>
  <si>
    <t>Fulgent Genetics</t>
  </si>
  <si>
    <t>FLGT</t>
  </si>
  <si>
    <t>Diagnostics &amp; Research</t>
  </si>
  <si>
    <t>American Tower</t>
  </si>
  <si>
    <t>AMT</t>
  </si>
  <si>
    <t>REIT-Specialty</t>
  </si>
  <si>
    <t>Latch</t>
  </si>
  <si>
    <t>LTCH</t>
  </si>
  <si>
    <t>Elastic</t>
  </si>
  <si>
    <t>ESTC</t>
  </si>
  <si>
    <t>Visa</t>
  </si>
  <si>
    <t>V</t>
  </si>
  <si>
    <t>Endava</t>
  </si>
  <si>
    <t>DAVA</t>
  </si>
  <si>
    <t>Illumina</t>
  </si>
  <si>
    <t>ILMN</t>
  </si>
  <si>
    <t>Fiverr International</t>
  </si>
  <si>
    <t>FVRR</t>
  </si>
  <si>
    <t>Impinj</t>
  </si>
  <si>
    <t>PI</t>
  </si>
  <si>
    <t>Communication Equipment</t>
  </si>
  <si>
    <t>Twist Bioscience</t>
  </si>
  <si>
    <t>TWST</t>
  </si>
  <si>
    <t>COIN</t>
  </si>
  <si>
    <t>Masimo</t>
  </si>
  <si>
    <t>MASI</t>
  </si>
  <si>
    <t>Medical Instruments &amp; Supplies</t>
  </si>
  <si>
    <t>3M</t>
  </si>
  <si>
    <t>MMM</t>
  </si>
  <si>
    <t>Specialty Industrial Machinary</t>
  </si>
  <si>
    <t>Docusign</t>
  </si>
  <si>
    <t>DOCU</t>
  </si>
  <si>
    <t>Alteryx</t>
  </si>
  <si>
    <t>AYX</t>
  </si>
  <si>
    <t>Confluent</t>
  </si>
  <si>
    <t>CFLT</t>
  </si>
  <si>
    <t>Fastly</t>
  </si>
  <si>
    <t>FSLY</t>
  </si>
  <si>
    <t>Teradyne</t>
  </si>
  <si>
    <t>TER</t>
  </si>
  <si>
    <t>OfferPad</t>
  </si>
  <si>
    <t>OPAD</t>
  </si>
  <si>
    <t>Wix</t>
  </si>
  <si>
    <t>WIX</t>
  </si>
  <si>
    <t>StoneCo</t>
  </si>
  <si>
    <t>STNE</t>
  </si>
  <si>
    <t>Store Capital</t>
  </si>
  <si>
    <t>STOR</t>
  </si>
  <si>
    <t>Chewy</t>
  </si>
  <si>
    <t>CHWY</t>
  </si>
  <si>
    <t>Argo Blockchain</t>
  </si>
  <si>
    <t>ARBK</t>
  </si>
  <si>
    <t>SEMrush</t>
  </si>
  <si>
    <t>SEMR</t>
  </si>
  <si>
    <t>Jumia</t>
  </si>
  <si>
    <t>JMIA</t>
  </si>
  <si>
    <t>Skillz</t>
  </si>
  <si>
    <t>SKLZ</t>
  </si>
  <si>
    <t>Unity Biotechnology</t>
  </si>
  <si>
    <t>UBX</t>
  </si>
  <si>
    <t>Biotechnology</t>
  </si>
  <si>
    <t>TOTAL</t>
  </si>
  <si>
    <t>TOTAL COST</t>
  </si>
  <si>
    <t>Current Holdings</t>
  </si>
  <si>
    <t>TOTAL GAIN</t>
  </si>
  <si>
    <t>S&amp;P 500 Gain (9/2018)</t>
  </si>
  <si>
    <t>Outperformance</t>
  </si>
  <si>
    <t>IPO Price</t>
  </si>
  <si>
    <t>Live Price</t>
  </si>
  <si>
    <t>Market Capitalization (B)</t>
  </si>
  <si>
    <t>Projected Revenue Growth (CAGR 3 YR)</t>
  </si>
  <si>
    <t>Riskified</t>
  </si>
  <si>
    <t>RSKD</t>
  </si>
  <si>
    <t>Stocks from Dad's 11k</t>
  </si>
  <si>
    <t>Price</t>
  </si>
  <si>
    <t>#</t>
  </si>
  <si>
    <t>Cost</t>
  </si>
  <si>
    <t>Live Equity</t>
  </si>
  <si>
    <t>Stock Gain</t>
  </si>
  <si>
    <t>Total Equity</t>
  </si>
  <si>
    <t>Percentage Gain</t>
  </si>
  <si>
    <t>Starbucks</t>
  </si>
  <si>
    <t>SBUX</t>
  </si>
  <si>
    <t>American Express</t>
  </si>
  <si>
    <t>AXP</t>
  </si>
  <si>
    <t>Bank of America</t>
  </si>
  <si>
    <t>BAC</t>
  </si>
  <si>
    <t>Delta Air Lines</t>
  </si>
  <si>
    <t>DAL</t>
  </si>
  <si>
    <t>Berkshire Hathaway</t>
  </si>
  <si>
    <t>BRK.B</t>
  </si>
  <si>
    <t>Zynga</t>
  </si>
  <si>
    <t>ZNGA</t>
  </si>
  <si>
    <t xml:space="preserve">ASML Holdings </t>
  </si>
  <si>
    <t>Twist Biosciences</t>
  </si>
  <si>
    <t>Pinterst</t>
  </si>
  <si>
    <t xml:space="preserve">Shockwave </t>
  </si>
  <si>
    <t>BigCommerce</t>
  </si>
  <si>
    <t>BIGC</t>
  </si>
  <si>
    <t>Inphi</t>
  </si>
  <si>
    <t>IPHI</t>
  </si>
  <si>
    <t>Jumia Tech</t>
  </si>
  <si>
    <t>Bitcoin</t>
  </si>
  <si>
    <t>BTCUSD</t>
  </si>
  <si>
    <t>Fiverr</t>
  </si>
  <si>
    <t>Pelaton</t>
  </si>
  <si>
    <t>PTON</t>
  </si>
  <si>
    <t>Unity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</si>
</sst>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/>
    <font>
      <color rgb="FF000000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D3D3"/>
        <bgColor rgb="FFFFD3D3"/>
      </patternFill>
    </fill>
    <fill>
      <patternFill patternType="solid">
        <fgColor rgb="FFFFDDDD"/>
        <bgColor rgb="FFFFDDDD"/>
      </patternFill>
    </fill>
    <fill>
      <patternFill patternType="solid">
        <fgColor rgb="FFFFCCCC"/>
        <bgColor rgb="FFFFCCCC"/>
      </patternFill>
    </fill>
    <fill>
      <patternFill patternType="solid">
        <fgColor rgb="FFFFD9D9"/>
        <bgColor rgb="FFFFD9D9"/>
      </patternFill>
    </fill>
  </fills>
  <borders count="9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left" readingOrder="0"/>
    </xf>
    <xf borderId="1" fillId="0" fontId="6" numFmtId="0" xfId="0" applyBorder="1" applyFont="1"/>
    <xf borderId="0" fillId="0" fontId="5" numFmtId="164" xfId="0" applyFont="1" applyNumberFormat="1"/>
    <xf borderId="1" fillId="0" fontId="5" numFmtId="164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164" xfId="0" applyBorder="1" applyFont="1" applyNumberFormat="1"/>
    <xf borderId="1" fillId="0" fontId="7" numFmtId="164" xfId="0" applyAlignment="1" applyBorder="1" applyFont="1" applyNumberFormat="1">
      <alignment readingOrder="0"/>
    </xf>
    <xf borderId="0" fillId="0" fontId="2" numFmtId="49" xfId="0" applyAlignment="1" applyFont="1" applyNumberFormat="1">
      <alignment horizontal="left" readingOrder="0"/>
    </xf>
    <xf borderId="0" fillId="0" fontId="5" numFmtId="164" xfId="0" applyAlignment="1" applyFont="1" applyNumberFormat="1">
      <alignment horizontal="left"/>
    </xf>
    <xf borderId="2" fillId="0" fontId="5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2" fillId="0" fontId="5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164" xfId="0" applyBorder="1" applyFont="1" applyNumberFormat="1"/>
    <xf borderId="2" fillId="0" fontId="2" numFmtId="10" xfId="0" applyBorder="1" applyFont="1" applyNumberFormat="1"/>
    <xf borderId="2" fillId="0" fontId="2" numFmtId="10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2" fillId="0" fontId="8" numFmtId="0" xfId="0" applyAlignment="1" applyBorder="1" applyFont="1">
      <alignment readingOrder="0" vertical="bottom"/>
    </xf>
    <xf borderId="2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2" fillId="2" fontId="4" numFmtId="164" xfId="0" applyAlignment="1" applyBorder="1" applyFill="1" applyFont="1" applyNumberFormat="1">
      <alignment horizontal="right" vertical="bottom"/>
    </xf>
    <xf borderId="2" fillId="0" fontId="4" numFmtId="164" xfId="0" applyAlignment="1" applyBorder="1" applyFont="1" applyNumberFormat="1">
      <alignment horizontal="right" readingOrder="0" vertical="bottom"/>
    </xf>
    <xf borderId="2" fillId="0" fontId="4" numFmtId="164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horizontal="right" readingOrder="0" vertical="bottom"/>
    </xf>
    <xf borderId="2" fillId="3" fontId="4" numFmtId="10" xfId="0" applyAlignment="1" applyBorder="1" applyFill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2" fillId="0" fontId="8" numFmtId="0" xfId="0" applyAlignment="1" applyBorder="1" applyFont="1">
      <alignment horizontal="center" vertical="bottom"/>
    </xf>
    <xf borderId="2" fillId="0" fontId="4" numFmtId="0" xfId="0" applyAlignment="1" applyBorder="1" applyFont="1">
      <alignment vertical="bottom"/>
    </xf>
    <xf borderId="2" fillId="0" fontId="4" numFmtId="10" xfId="0" applyAlignment="1" applyBorder="1" applyFont="1" applyNumberFormat="1">
      <alignment horizontal="right" vertical="bottom"/>
    </xf>
    <xf borderId="2" fillId="4" fontId="4" numFmtId="10" xfId="0" applyAlignment="1" applyBorder="1" applyFill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3" fillId="0" fontId="5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2" numFmtId="164" xfId="0" applyAlignment="1" applyBorder="1" applyFont="1" applyNumberFormat="1">
      <alignment readingOrder="0"/>
    </xf>
    <xf borderId="3" fillId="0" fontId="2" numFmtId="164" xfId="0" applyBorder="1" applyFont="1" applyNumberFormat="1"/>
    <xf borderId="3" fillId="0" fontId="2" numFmtId="10" xfId="0" applyAlignment="1" applyBorder="1" applyFont="1" applyNumberFormat="1">
      <alignment readingOrder="0"/>
    </xf>
    <xf borderId="3" fillId="0" fontId="8" numFmtId="0" xfId="0" applyAlignment="1" applyBorder="1" applyFont="1">
      <alignment readingOrder="0" vertical="bottom"/>
    </xf>
    <xf borderId="3" fillId="0" fontId="4" numFmtId="164" xfId="0" applyAlignment="1" applyBorder="1" applyFont="1" applyNumberFormat="1">
      <alignment horizontal="right" vertical="bottom"/>
    </xf>
    <xf borderId="3" fillId="0" fontId="4" numFmtId="164" xfId="0" applyAlignment="1" applyBorder="1" applyFont="1" applyNumberFormat="1">
      <alignment horizontal="right" readingOrder="0" vertical="bottom"/>
    </xf>
    <xf borderId="3" fillId="0" fontId="4" numFmtId="0" xfId="0" applyAlignment="1" applyBorder="1" applyFont="1">
      <alignment horizontal="right" readingOrder="0" vertical="bottom"/>
    </xf>
    <xf borderId="3" fillId="4" fontId="4" numFmtId="10" xfId="0" applyAlignment="1" applyBorder="1" applyFont="1" applyNumberFormat="1">
      <alignment horizontal="right" vertical="bottom"/>
    </xf>
    <xf borderId="2" fillId="0" fontId="8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3" fillId="5" fontId="4" numFmtId="10" xfId="0" applyAlignment="1" applyBorder="1" applyFill="1" applyFont="1" applyNumberFormat="1">
      <alignment horizontal="right" vertical="bottom"/>
    </xf>
    <xf borderId="3" fillId="2" fontId="4" numFmtId="164" xfId="0" applyAlignment="1" applyBorder="1" applyFont="1" applyNumberFormat="1">
      <alignment horizontal="right" vertical="bottom"/>
    </xf>
    <xf borderId="3" fillId="6" fontId="4" numFmtId="10" xfId="0" applyAlignment="1" applyBorder="1" applyFill="1" applyFont="1" applyNumberFormat="1">
      <alignment horizontal="right" vertical="bottom"/>
    </xf>
    <xf borderId="3" fillId="0" fontId="2" numFmtId="10" xfId="0" applyBorder="1" applyFont="1" applyNumberFormat="1"/>
    <xf borderId="3" fillId="0" fontId="4" numFmtId="10" xfId="0" applyAlignment="1" applyBorder="1" applyFont="1" applyNumberFormat="1">
      <alignment horizontal="right" vertical="bottom"/>
    </xf>
    <xf borderId="4" fillId="0" fontId="1" numFmtId="0" xfId="0" applyAlignment="1" applyBorder="1" applyFont="1">
      <alignment horizontal="center" readingOrder="0"/>
    </xf>
    <xf borderId="5" fillId="0" fontId="6" numFmtId="0" xfId="0" applyBorder="1" applyFont="1"/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6" fillId="0" fontId="1" numFmtId="10" xfId="0" applyAlignment="1" applyBorder="1" applyFont="1" applyNumberFormat="1">
      <alignment horizontal="center"/>
    </xf>
    <xf borderId="3" fillId="0" fontId="6" numFmtId="0" xfId="0" applyBorder="1" applyFont="1"/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0" xfId="0" applyAlignment="1" applyFont="1" applyNumberFormat="1">
      <alignment horizontal="right" vertical="bottom"/>
    </xf>
    <xf borderId="7" fillId="0" fontId="1" numFmtId="164" xfId="0" applyAlignment="1" applyBorder="1" applyFont="1" applyNumberFormat="1">
      <alignment horizontal="center"/>
    </xf>
    <xf borderId="8" fillId="0" fontId="6" numFmtId="0" xfId="0" applyBorder="1" applyFont="1"/>
    <xf borderId="0" fillId="0" fontId="8" numFmtId="10" xfId="0" applyAlignment="1" applyFont="1" applyNumberFormat="1">
      <alignment horizontal="right" vertical="bottom"/>
    </xf>
    <xf borderId="0" fillId="0" fontId="4" numFmtId="164" xfId="0" applyAlignment="1" applyFont="1" applyNumberFormat="1">
      <alignment readingOrder="0" vertical="bottom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7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rgbClr val="000000"/>
                </a:solidFill>
                <a:latin typeface="+mn-lt"/>
              </a:defRPr>
            </a:pPr>
            <a:r>
              <a:rPr b="1" i="1" sz="2000">
                <a:solidFill>
                  <a:srgbClr val="000000"/>
                </a:solidFill>
                <a:latin typeface="+mn-lt"/>
              </a:rPr>
              <a:t>Portfolio Industry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'Stock Allocation'!$Q$1:$Q$7</c:f>
            </c:strRef>
          </c:cat>
          <c:val>
            <c:numRef>
              <c:f>'Stock Allocation'!$R$1:$R$7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2000">
                <a:solidFill>
                  <a:schemeClr val="dk1"/>
                </a:solidFill>
                <a:latin typeface="+mn-lt"/>
              </a:defRPr>
            </a:pPr>
            <a:r>
              <a:rPr b="1" i="1" sz="2000">
                <a:solidFill>
                  <a:schemeClr val="dk1"/>
                </a:solidFill>
                <a:latin typeface="+mn-lt"/>
              </a:rPr>
              <a:t>Portfolio Equity Breakdown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'Stock Allocation'!$Q$1:$Q$7</c:f>
            </c:strRef>
          </c:cat>
          <c:val>
            <c:numRef>
              <c:f>'Stock Allocation'!$S$1:$S$7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590550</xdr:colOff>
      <xdr:row>0</xdr:row>
      <xdr:rowOff>0</xdr:rowOff>
    </xdr:from>
    <xdr:ext cx="8382000" cy="5210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323850</xdr:colOff>
      <xdr:row>25</xdr:row>
      <xdr:rowOff>114300</xdr:rowOff>
    </xdr:from>
    <xdr:ext cx="9134475" cy="5400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7.38"/>
    <col customWidth="1" min="3" max="3" width="18.75"/>
  </cols>
  <sheetData>
    <row r="1">
      <c r="A1" s="1" t="s">
        <v>0</v>
      </c>
      <c r="B1" s="1" t="s">
        <v>1</v>
      </c>
      <c r="C1" s="1"/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  <c r="R1" s="1" t="s">
        <v>9</v>
      </c>
      <c r="T1" s="1" t="s">
        <v>10</v>
      </c>
      <c r="V1" s="1" t="s">
        <v>11</v>
      </c>
      <c r="X1" s="1" t="s">
        <v>12</v>
      </c>
      <c r="Z1" s="1" t="s">
        <v>13</v>
      </c>
      <c r="AB1" s="2"/>
    </row>
    <row r="2">
      <c r="A2" s="2"/>
      <c r="B2" s="2"/>
      <c r="C2" s="2"/>
      <c r="D2" s="3" t="s">
        <v>14</v>
      </c>
      <c r="E2" s="3" t="s">
        <v>15</v>
      </c>
      <c r="F2" s="3" t="s">
        <v>14</v>
      </c>
      <c r="G2" s="3" t="s">
        <v>15</v>
      </c>
      <c r="H2" s="3" t="s">
        <v>14</v>
      </c>
      <c r="I2" s="3" t="s">
        <v>15</v>
      </c>
      <c r="J2" s="3" t="s">
        <v>14</v>
      </c>
      <c r="K2" s="3" t="s">
        <v>15</v>
      </c>
      <c r="L2" s="3" t="s">
        <v>14</v>
      </c>
      <c r="M2" s="3" t="s">
        <v>15</v>
      </c>
      <c r="N2" s="3" t="s">
        <v>14</v>
      </c>
      <c r="O2" s="3" t="s">
        <v>15</v>
      </c>
      <c r="P2" s="3" t="s">
        <v>14</v>
      </c>
      <c r="Q2" s="3" t="s">
        <v>15</v>
      </c>
      <c r="R2" s="3" t="s">
        <v>14</v>
      </c>
      <c r="S2" s="3" t="s">
        <v>15</v>
      </c>
      <c r="T2" s="3" t="s">
        <v>14</v>
      </c>
      <c r="U2" s="3" t="s">
        <v>15</v>
      </c>
      <c r="V2" s="3" t="s">
        <v>14</v>
      </c>
      <c r="W2" s="3" t="s">
        <v>15</v>
      </c>
      <c r="X2" s="3" t="s">
        <v>14</v>
      </c>
      <c r="Y2" s="3" t="s">
        <v>15</v>
      </c>
      <c r="Z2" s="3" t="s">
        <v>14</v>
      </c>
      <c r="AA2" s="3" t="s">
        <v>15</v>
      </c>
      <c r="AB2" s="2"/>
    </row>
    <row r="3">
      <c r="A3" s="4" t="s">
        <v>16</v>
      </c>
      <c r="B3" s="4"/>
      <c r="C3" s="4"/>
      <c r="D3" s="3">
        <f t="shared" ref="D3:AA3" si="1">D4</f>
        <v>3138</v>
      </c>
      <c r="E3" s="3">
        <f t="shared" si="1"/>
        <v>1544.03</v>
      </c>
      <c r="F3" s="3">
        <f t="shared" si="1"/>
        <v>3138</v>
      </c>
      <c r="G3" s="3" t="str">
        <f t="shared" si="1"/>
        <v/>
      </c>
      <c r="H3" s="3">
        <f t="shared" si="1"/>
        <v>3138</v>
      </c>
      <c r="I3" s="3" t="str">
        <f t="shared" si="1"/>
        <v/>
      </c>
      <c r="J3" s="3">
        <f t="shared" si="1"/>
        <v>3138</v>
      </c>
      <c r="K3" s="3" t="str">
        <f t="shared" si="1"/>
        <v/>
      </c>
      <c r="L3" s="3">
        <f t="shared" si="1"/>
        <v>3138</v>
      </c>
      <c r="M3" s="3" t="str">
        <f t="shared" si="1"/>
        <v/>
      </c>
      <c r="N3" s="3">
        <f t="shared" si="1"/>
        <v>3138</v>
      </c>
      <c r="O3" s="3" t="str">
        <f t="shared" si="1"/>
        <v/>
      </c>
      <c r="P3" s="3">
        <f t="shared" si="1"/>
        <v>3138</v>
      </c>
      <c r="Q3" s="3" t="str">
        <f t="shared" si="1"/>
        <v/>
      </c>
      <c r="R3" s="3">
        <f t="shared" si="1"/>
        <v>3138</v>
      </c>
      <c r="S3" s="3" t="str">
        <f t="shared" si="1"/>
        <v/>
      </c>
      <c r="T3" s="3">
        <f t="shared" si="1"/>
        <v>3138</v>
      </c>
      <c r="U3" s="3" t="str">
        <f t="shared" si="1"/>
        <v/>
      </c>
      <c r="V3" s="3">
        <f t="shared" si="1"/>
        <v>3138</v>
      </c>
      <c r="W3" s="3" t="str">
        <f t="shared" si="1"/>
        <v/>
      </c>
      <c r="X3" s="3">
        <f t="shared" si="1"/>
        <v>3138</v>
      </c>
      <c r="Y3" s="3" t="str">
        <f t="shared" si="1"/>
        <v/>
      </c>
      <c r="Z3" s="3">
        <f t="shared" si="1"/>
        <v>3138</v>
      </c>
      <c r="AA3" s="3" t="str">
        <f t="shared" si="1"/>
        <v/>
      </c>
      <c r="AB3" s="2"/>
    </row>
    <row r="4">
      <c r="A4" s="3" t="s">
        <v>17</v>
      </c>
      <c r="B4" s="3"/>
      <c r="C4" s="3"/>
      <c r="D4" s="3">
        <f>1544*2+50</f>
        <v>3138</v>
      </c>
      <c r="E4" s="2">
        <f>1544.03</f>
        <v>1544.03</v>
      </c>
      <c r="F4" s="3">
        <f>1544*2+50</f>
        <v>3138</v>
      </c>
      <c r="G4" s="3"/>
      <c r="H4" s="3">
        <f>1544*2+50</f>
        <v>3138</v>
      </c>
      <c r="I4" s="2"/>
      <c r="J4" s="3">
        <f>1544*2+50</f>
        <v>3138</v>
      </c>
      <c r="K4" s="2"/>
      <c r="L4" s="3">
        <f>1544*2+50</f>
        <v>3138</v>
      </c>
      <c r="M4" s="2"/>
      <c r="N4" s="3">
        <f>1544*2+50</f>
        <v>3138</v>
      </c>
      <c r="O4" s="2"/>
      <c r="P4" s="3">
        <f>1544*2+50</f>
        <v>3138</v>
      </c>
      <c r="Q4" s="2"/>
      <c r="R4" s="3">
        <f>1544*2+50</f>
        <v>3138</v>
      </c>
      <c r="S4" s="2"/>
      <c r="T4" s="3">
        <f>1544*2+50</f>
        <v>3138</v>
      </c>
      <c r="U4" s="2"/>
      <c r="V4" s="3">
        <f>1544*2+50</f>
        <v>3138</v>
      </c>
      <c r="W4" s="2"/>
      <c r="X4" s="3">
        <f>1544*2+50</f>
        <v>3138</v>
      </c>
      <c r="Y4" s="2"/>
      <c r="Z4" s="3">
        <f>1544*2+50</f>
        <v>3138</v>
      </c>
      <c r="AA4" s="2"/>
      <c r="AB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18</v>
      </c>
      <c r="B6" s="4"/>
      <c r="C6" s="4"/>
      <c r="D6" s="2">
        <f t="shared" ref="D6:AA6" si="2">sum(D7:D24)</f>
        <v>2564.8</v>
      </c>
      <c r="E6" s="2">
        <f t="shared" si="2"/>
        <v>1434.88</v>
      </c>
      <c r="F6" s="2">
        <f t="shared" si="2"/>
        <v>2814.8</v>
      </c>
      <c r="G6" s="2">
        <f t="shared" si="2"/>
        <v>0</v>
      </c>
      <c r="H6" s="5">
        <f t="shared" si="2"/>
        <v>2814.8</v>
      </c>
      <c r="I6" s="5">
        <f t="shared" si="2"/>
        <v>0</v>
      </c>
      <c r="J6" s="5">
        <f t="shared" si="2"/>
        <v>2814.8</v>
      </c>
      <c r="K6" s="5">
        <f t="shared" si="2"/>
        <v>0</v>
      </c>
      <c r="L6" s="5">
        <f t="shared" si="2"/>
        <v>2814.8</v>
      </c>
      <c r="M6" s="5">
        <f t="shared" si="2"/>
        <v>0</v>
      </c>
      <c r="N6" s="5">
        <f t="shared" si="2"/>
        <v>2814.8</v>
      </c>
      <c r="O6" s="5">
        <f t="shared" si="2"/>
        <v>0</v>
      </c>
      <c r="P6" s="5">
        <f t="shared" si="2"/>
        <v>2814.8</v>
      </c>
      <c r="Q6" s="5">
        <f t="shared" si="2"/>
        <v>0</v>
      </c>
      <c r="R6" s="5">
        <f t="shared" si="2"/>
        <v>2814.8</v>
      </c>
      <c r="S6" s="5">
        <f t="shared" si="2"/>
        <v>0</v>
      </c>
      <c r="T6" s="5">
        <f t="shared" si="2"/>
        <v>2814.8</v>
      </c>
      <c r="U6" s="5">
        <f t="shared" si="2"/>
        <v>0</v>
      </c>
      <c r="V6" s="5">
        <f t="shared" si="2"/>
        <v>2814.8</v>
      </c>
      <c r="W6" s="5">
        <f t="shared" si="2"/>
        <v>0</v>
      </c>
      <c r="X6" s="5">
        <f t="shared" si="2"/>
        <v>2814.8</v>
      </c>
      <c r="Y6" s="5">
        <f t="shared" si="2"/>
        <v>0</v>
      </c>
      <c r="Z6" s="5">
        <f t="shared" si="2"/>
        <v>2814.8</v>
      </c>
      <c r="AA6" s="5">
        <f t="shared" si="2"/>
        <v>0</v>
      </c>
      <c r="AB6" s="2"/>
    </row>
    <row r="7">
      <c r="A7" s="3" t="s">
        <v>19</v>
      </c>
      <c r="B7" s="3"/>
      <c r="C7" s="3"/>
      <c r="D7" s="3">
        <v>925.0</v>
      </c>
      <c r="E7" s="3">
        <v>0.0</v>
      </c>
      <c r="F7" s="3">
        <v>925.0</v>
      </c>
      <c r="G7" s="3"/>
      <c r="H7" s="3">
        <v>925.0</v>
      </c>
      <c r="I7" s="3"/>
      <c r="J7" s="3">
        <v>925.0</v>
      </c>
      <c r="K7" s="3"/>
      <c r="L7" s="3">
        <v>925.0</v>
      </c>
      <c r="M7" s="3"/>
      <c r="N7" s="3">
        <v>925.0</v>
      </c>
      <c r="O7" s="3"/>
      <c r="P7" s="3">
        <v>925.0</v>
      </c>
      <c r="Q7" s="3"/>
      <c r="R7" s="3">
        <v>925.0</v>
      </c>
      <c r="S7" s="3"/>
      <c r="T7" s="3">
        <v>925.0</v>
      </c>
      <c r="U7" s="3"/>
      <c r="V7" s="3">
        <v>925.0</v>
      </c>
      <c r="W7" s="3"/>
      <c r="X7" s="3">
        <v>925.0</v>
      </c>
      <c r="Y7" s="3"/>
      <c r="Z7" s="3">
        <v>925.0</v>
      </c>
      <c r="AA7" s="2"/>
      <c r="AB7" s="2"/>
    </row>
    <row r="8">
      <c r="A8" s="3" t="s">
        <v>20</v>
      </c>
      <c r="B8" s="3"/>
      <c r="C8" s="3"/>
      <c r="D8" s="3">
        <v>75.0</v>
      </c>
      <c r="E8" s="3">
        <v>0.0</v>
      </c>
      <c r="F8" s="3">
        <v>75.0</v>
      </c>
      <c r="G8" s="3"/>
      <c r="H8" s="3">
        <v>75.0</v>
      </c>
      <c r="I8" s="3"/>
      <c r="J8" s="3">
        <v>75.0</v>
      </c>
      <c r="K8" s="3"/>
      <c r="L8" s="3">
        <v>75.0</v>
      </c>
      <c r="M8" s="3"/>
      <c r="N8" s="3">
        <v>75.0</v>
      </c>
      <c r="O8" s="3"/>
      <c r="P8" s="3">
        <v>75.0</v>
      </c>
      <c r="Q8" s="3"/>
      <c r="R8" s="3">
        <v>75.0</v>
      </c>
      <c r="S8" s="3"/>
      <c r="T8" s="3">
        <v>75.0</v>
      </c>
      <c r="U8" s="3"/>
      <c r="V8" s="3">
        <v>75.0</v>
      </c>
      <c r="W8" s="3"/>
      <c r="X8" s="3">
        <v>75.0</v>
      </c>
      <c r="Y8" s="3"/>
      <c r="Z8" s="3">
        <v>75.0</v>
      </c>
      <c r="AA8" s="2"/>
      <c r="AB8" s="2"/>
    </row>
    <row r="9">
      <c r="A9" s="3" t="s">
        <v>21</v>
      </c>
      <c r="B9" s="3"/>
      <c r="C9" s="3"/>
      <c r="D9" s="3">
        <v>150.0</v>
      </c>
      <c r="E9" s="3">
        <f>25.76+24.11+21.65+42.05+27.57+42.99+16.05+13.07+55.49</f>
        <v>268.74</v>
      </c>
      <c r="F9" s="3">
        <v>300.0</v>
      </c>
      <c r="G9" s="3"/>
      <c r="H9" s="3">
        <v>300.0</v>
      </c>
      <c r="I9" s="2"/>
      <c r="J9" s="3">
        <v>300.0</v>
      </c>
      <c r="K9" s="2"/>
      <c r="L9" s="3">
        <v>300.0</v>
      </c>
      <c r="M9" s="2"/>
      <c r="N9" s="3">
        <v>300.0</v>
      </c>
      <c r="O9" s="2"/>
      <c r="P9" s="3">
        <v>300.0</v>
      </c>
      <c r="Q9" s="2"/>
      <c r="R9" s="3">
        <v>300.0</v>
      </c>
      <c r="S9" s="2"/>
      <c r="T9" s="3">
        <v>300.0</v>
      </c>
      <c r="U9" s="2"/>
      <c r="V9" s="3">
        <v>300.0</v>
      </c>
      <c r="W9" s="2"/>
      <c r="X9" s="3">
        <v>300.0</v>
      </c>
      <c r="Y9" s="2"/>
      <c r="Z9" s="3">
        <v>300.0</v>
      </c>
      <c r="AA9" s="2"/>
      <c r="AB9" s="2"/>
    </row>
    <row r="10">
      <c r="A10" s="3" t="s">
        <v>22</v>
      </c>
      <c r="B10" s="3"/>
      <c r="C10" s="3"/>
      <c r="D10" s="3">
        <v>280.0</v>
      </c>
      <c r="E10" s="3">
        <f>71.73*3</f>
        <v>215.19</v>
      </c>
      <c r="F10" s="3">
        <v>280.0</v>
      </c>
      <c r="G10" s="3"/>
      <c r="H10" s="3">
        <v>280.0</v>
      </c>
      <c r="I10" s="2"/>
      <c r="J10" s="3">
        <v>280.0</v>
      </c>
      <c r="K10" s="2"/>
      <c r="L10" s="3">
        <v>280.0</v>
      </c>
      <c r="M10" s="2"/>
      <c r="N10" s="3">
        <v>280.0</v>
      </c>
      <c r="O10" s="3"/>
      <c r="P10" s="3">
        <v>280.0</v>
      </c>
      <c r="Q10" s="3"/>
      <c r="R10" s="3">
        <v>280.0</v>
      </c>
      <c r="S10" s="2"/>
      <c r="T10" s="3">
        <v>280.0</v>
      </c>
      <c r="U10" s="3"/>
      <c r="V10" s="3">
        <v>280.0</v>
      </c>
      <c r="W10" s="2"/>
      <c r="X10" s="3">
        <v>280.0</v>
      </c>
      <c r="Y10" s="3"/>
      <c r="Z10" s="3">
        <v>280.0</v>
      </c>
      <c r="AA10" s="2"/>
      <c r="AB10" s="2"/>
    </row>
    <row r="11">
      <c r="A11" s="3" t="s">
        <v>23</v>
      </c>
      <c r="B11" s="3"/>
      <c r="C11" s="3"/>
      <c r="D11" s="3">
        <v>150.0</v>
      </c>
      <c r="E11" s="3">
        <f>26.48+21.17+78.33+138+19.62+40</f>
        <v>323.6</v>
      </c>
      <c r="F11" s="3">
        <v>200.0</v>
      </c>
      <c r="G11" s="3"/>
      <c r="H11" s="3">
        <v>200.0</v>
      </c>
      <c r="I11" s="2"/>
      <c r="J11" s="3">
        <v>200.0</v>
      </c>
      <c r="K11" s="2"/>
      <c r="L11" s="3">
        <v>200.0</v>
      </c>
      <c r="M11" s="2"/>
      <c r="N11" s="3">
        <v>200.0</v>
      </c>
      <c r="O11" s="3"/>
      <c r="P11" s="3">
        <v>200.0</v>
      </c>
      <c r="Q11" s="3"/>
      <c r="R11" s="3">
        <v>200.0</v>
      </c>
      <c r="S11" s="2"/>
      <c r="T11" s="3">
        <v>200.0</v>
      </c>
      <c r="U11" s="3"/>
      <c r="V11" s="3">
        <v>200.0</v>
      </c>
      <c r="W11" s="2"/>
      <c r="X11" s="3">
        <v>200.0</v>
      </c>
      <c r="Y11" s="3"/>
      <c r="Z11" s="3">
        <v>200.0</v>
      </c>
      <c r="AA11" s="2"/>
      <c r="AB11" s="2"/>
    </row>
    <row r="12">
      <c r="A12" s="3" t="s">
        <v>24</v>
      </c>
      <c r="B12" s="3"/>
      <c r="C12" s="3"/>
      <c r="D12" s="3">
        <v>100.0</v>
      </c>
      <c r="E12" s="2">
        <f>99.99*3+6.44+5.2+107.24+45.04</f>
        <v>463.89</v>
      </c>
      <c r="F12" s="3">
        <v>150.0</v>
      </c>
      <c r="G12" s="3"/>
      <c r="H12" s="3">
        <v>150.0</v>
      </c>
      <c r="I12" s="3"/>
      <c r="J12" s="3">
        <v>150.0</v>
      </c>
      <c r="K12" s="2"/>
      <c r="L12" s="3">
        <v>150.0</v>
      </c>
      <c r="M12" s="2"/>
      <c r="N12" s="3">
        <v>150.0</v>
      </c>
      <c r="O12" s="2"/>
      <c r="P12" s="3">
        <v>150.0</v>
      </c>
      <c r="Q12" s="2"/>
      <c r="R12" s="3">
        <v>150.0</v>
      </c>
      <c r="S12" s="2"/>
      <c r="T12" s="3">
        <v>150.0</v>
      </c>
      <c r="U12" s="2"/>
      <c r="V12" s="3">
        <v>150.0</v>
      </c>
      <c r="W12" s="3"/>
      <c r="X12" s="3">
        <v>150.0</v>
      </c>
      <c r="Y12" s="2"/>
      <c r="Z12" s="3">
        <v>150.0</v>
      </c>
      <c r="AA12" s="3"/>
      <c r="AB12" s="2"/>
    </row>
    <row r="13">
      <c r="A13" s="3" t="s">
        <v>25</v>
      </c>
      <c r="B13" s="3"/>
      <c r="C13" s="3"/>
      <c r="D13" s="3">
        <v>50.0</v>
      </c>
      <c r="E13" s="3">
        <f>45.06</f>
        <v>45.06</v>
      </c>
      <c r="F13" s="3">
        <v>50.0</v>
      </c>
      <c r="G13" s="3"/>
      <c r="H13" s="3">
        <v>50.0</v>
      </c>
      <c r="I13" s="3"/>
      <c r="J13" s="3">
        <v>50.0</v>
      </c>
      <c r="K13" s="3"/>
      <c r="L13" s="3">
        <v>50.0</v>
      </c>
      <c r="M13" s="3"/>
      <c r="N13" s="3">
        <v>50.0</v>
      </c>
      <c r="O13" s="3"/>
      <c r="P13" s="3">
        <v>50.0</v>
      </c>
      <c r="Q13" s="2"/>
      <c r="R13" s="3">
        <v>50.0</v>
      </c>
      <c r="S13" s="2"/>
      <c r="T13" s="3">
        <v>50.0</v>
      </c>
      <c r="U13" s="3"/>
      <c r="V13" s="3">
        <v>50.0</v>
      </c>
      <c r="W13" s="3"/>
      <c r="X13" s="3">
        <v>50.0</v>
      </c>
      <c r="Y13" s="3"/>
      <c r="Z13" s="3">
        <v>50.0</v>
      </c>
      <c r="AA13" s="3"/>
      <c r="AB13" s="2"/>
    </row>
    <row r="14">
      <c r="A14" s="3" t="s">
        <v>26</v>
      </c>
      <c r="B14" s="3"/>
      <c r="C14" s="3"/>
      <c r="D14" s="3">
        <v>50.0</v>
      </c>
      <c r="E14" s="3"/>
      <c r="F14" s="3">
        <v>50.0</v>
      </c>
      <c r="G14" s="3"/>
      <c r="H14" s="3">
        <v>50.0</v>
      </c>
      <c r="I14" s="3"/>
      <c r="J14" s="3">
        <v>50.0</v>
      </c>
      <c r="K14" s="2"/>
      <c r="L14" s="3">
        <v>50.0</v>
      </c>
      <c r="M14" s="3"/>
      <c r="N14" s="3">
        <v>50.0</v>
      </c>
      <c r="O14" s="3"/>
      <c r="P14" s="3">
        <v>50.0</v>
      </c>
      <c r="Q14" s="3"/>
      <c r="R14" s="3">
        <v>50.0</v>
      </c>
      <c r="S14" s="3"/>
      <c r="T14" s="3">
        <v>50.0</v>
      </c>
      <c r="U14" s="3"/>
      <c r="V14" s="3">
        <v>50.0</v>
      </c>
      <c r="W14" s="3"/>
      <c r="X14" s="3">
        <v>50.0</v>
      </c>
      <c r="Y14" s="3"/>
      <c r="Z14" s="3">
        <v>50.0</v>
      </c>
      <c r="AA14" s="2"/>
      <c r="AB14" s="2"/>
    </row>
    <row r="15">
      <c r="A15" s="3" t="s">
        <v>27</v>
      </c>
      <c r="B15" s="3"/>
      <c r="C15" s="3"/>
      <c r="D15" s="3">
        <v>93.75</v>
      </c>
      <c r="E15" s="3"/>
      <c r="F15" s="3">
        <v>93.75</v>
      </c>
      <c r="G15" s="3"/>
      <c r="H15" s="3">
        <v>93.75</v>
      </c>
      <c r="I15" s="3"/>
      <c r="J15" s="3">
        <v>93.75</v>
      </c>
      <c r="K15" s="2"/>
      <c r="L15" s="3">
        <v>93.75</v>
      </c>
      <c r="M15" s="3"/>
      <c r="N15" s="3">
        <v>93.75</v>
      </c>
      <c r="O15" s="3"/>
      <c r="P15" s="3">
        <v>93.75</v>
      </c>
      <c r="Q15" s="3"/>
      <c r="R15" s="3">
        <v>93.75</v>
      </c>
      <c r="S15" s="3"/>
      <c r="T15" s="3">
        <v>93.75</v>
      </c>
      <c r="U15" s="3"/>
      <c r="V15" s="3">
        <v>93.75</v>
      </c>
      <c r="W15" s="3"/>
      <c r="X15" s="3">
        <v>93.75</v>
      </c>
      <c r="Y15" s="3"/>
      <c r="Z15" s="3">
        <v>93.75</v>
      </c>
      <c r="AA15" s="3"/>
      <c r="AB15" s="2"/>
    </row>
    <row r="16">
      <c r="A16" s="3" t="s">
        <v>28</v>
      </c>
      <c r="B16" s="3"/>
      <c r="C16" s="3"/>
      <c r="D16" s="3">
        <v>0.0</v>
      </c>
      <c r="E16" s="3"/>
      <c r="F16" s="3">
        <v>0.0</v>
      </c>
      <c r="G16" s="3"/>
      <c r="H16" s="3">
        <v>0.0</v>
      </c>
      <c r="I16" s="3"/>
      <c r="J16" s="3">
        <v>0.0</v>
      </c>
      <c r="K16" s="2"/>
      <c r="L16" s="3">
        <v>0.0</v>
      </c>
      <c r="M16" s="3"/>
      <c r="N16" s="3">
        <v>0.0</v>
      </c>
      <c r="O16" s="3"/>
      <c r="P16" s="3">
        <v>0.0</v>
      </c>
      <c r="Q16" s="3"/>
      <c r="R16" s="3">
        <v>0.0</v>
      </c>
      <c r="S16" s="3"/>
      <c r="T16" s="3">
        <v>0.0</v>
      </c>
      <c r="U16" s="3"/>
      <c r="V16" s="3">
        <v>0.0</v>
      </c>
      <c r="W16" s="3"/>
      <c r="X16" s="3">
        <v>0.0</v>
      </c>
      <c r="Y16" s="3"/>
      <c r="Z16" s="3">
        <v>0.0</v>
      </c>
      <c r="AA16" s="2"/>
      <c r="AB16" s="2"/>
    </row>
    <row r="17">
      <c r="A17" s="3" t="s">
        <v>29</v>
      </c>
      <c r="B17" s="3"/>
      <c r="C17" s="3"/>
      <c r="D17" s="3">
        <v>62.47</v>
      </c>
      <c r="E17" s="3">
        <v>62.47</v>
      </c>
      <c r="F17" s="3">
        <v>62.47</v>
      </c>
      <c r="G17" s="3"/>
      <c r="H17" s="3">
        <v>62.47</v>
      </c>
      <c r="I17" s="3"/>
      <c r="J17" s="3">
        <v>62.47</v>
      </c>
      <c r="K17" s="2"/>
      <c r="L17" s="3">
        <v>62.47</v>
      </c>
      <c r="M17" s="3"/>
      <c r="N17" s="3">
        <v>62.47</v>
      </c>
      <c r="O17" s="3"/>
      <c r="P17" s="3">
        <v>62.47</v>
      </c>
      <c r="Q17" s="3"/>
      <c r="R17" s="3">
        <v>62.47</v>
      </c>
      <c r="S17" s="3"/>
      <c r="T17" s="3">
        <v>62.47</v>
      </c>
      <c r="U17" s="3"/>
      <c r="V17" s="3">
        <v>62.47</v>
      </c>
      <c r="W17" s="3"/>
      <c r="X17" s="3">
        <v>62.47</v>
      </c>
      <c r="Y17" s="3"/>
      <c r="Z17" s="3">
        <v>62.47</v>
      </c>
      <c r="AA17" s="3"/>
      <c r="AB17" s="2"/>
    </row>
    <row r="18">
      <c r="A18" s="3" t="s">
        <v>30</v>
      </c>
      <c r="B18" s="3"/>
      <c r="C18" s="3"/>
      <c r="D18" s="3">
        <v>13.96</v>
      </c>
      <c r="E18" s="3"/>
      <c r="F18" s="3">
        <v>13.96</v>
      </c>
      <c r="G18" s="3"/>
      <c r="H18" s="3">
        <v>13.96</v>
      </c>
      <c r="I18" s="3"/>
      <c r="J18" s="3">
        <v>13.96</v>
      </c>
      <c r="K18" s="2"/>
      <c r="L18" s="3">
        <v>13.96</v>
      </c>
      <c r="M18" s="3"/>
      <c r="N18" s="3">
        <v>13.96</v>
      </c>
      <c r="O18" s="3"/>
      <c r="P18" s="3">
        <v>13.96</v>
      </c>
      <c r="Q18" s="3"/>
      <c r="R18" s="3">
        <v>13.96</v>
      </c>
      <c r="S18" s="3"/>
      <c r="T18" s="3">
        <v>13.96</v>
      </c>
      <c r="U18" s="3"/>
      <c r="V18" s="3">
        <v>13.96</v>
      </c>
      <c r="W18" s="3"/>
      <c r="X18" s="3">
        <v>13.96</v>
      </c>
      <c r="Y18" s="3"/>
      <c r="Z18" s="3">
        <v>13.96</v>
      </c>
      <c r="AA18" s="2"/>
      <c r="AB18" s="2"/>
    </row>
    <row r="19">
      <c r="A19" s="3" t="s">
        <v>31</v>
      </c>
      <c r="B19" s="3"/>
      <c r="C19" s="3"/>
      <c r="D19" s="3">
        <v>99.0</v>
      </c>
      <c r="E19" s="3"/>
      <c r="F19" s="3">
        <v>99.0</v>
      </c>
      <c r="G19" s="2"/>
      <c r="H19" s="3">
        <v>99.0</v>
      </c>
      <c r="I19" s="2"/>
      <c r="J19" s="3">
        <v>99.0</v>
      </c>
      <c r="K19" s="2"/>
      <c r="L19" s="3">
        <v>99.0</v>
      </c>
      <c r="M19" s="3"/>
      <c r="N19" s="3">
        <v>99.0</v>
      </c>
      <c r="O19" s="3"/>
      <c r="P19" s="3">
        <v>99.0</v>
      </c>
      <c r="Q19" s="3"/>
      <c r="R19" s="3">
        <v>99.0</v>
      </c>
      <c r="S19" s="3"/>
      <c r="T19" s="3">
        <v>99.0</v>
      </c>
      <c r="U19" s="3"/>
      <c r="V19" s="3">
        <v>99.0</v>
      </c>
      <c r="W19" s="3"/>
      <c r="X19" s="3">
        <v>99.0</v>
      </c>
      <c r="Y19" s="3"/>
      <c r="Z19" s="3">
        <v>99.0</v>
      </c>
      <c r="AA19" s="3"/>
      <c r="AB19" s="2"/>
    </row>
    <row r="20">
      <c r="A20" s="3" t="s">
        <v>32</v>
      </c>
      <c r="B20" s="3"/>
      <c r="C20" s="3"/>
      <c r="D20" s="3">
        <v>109.0</v>
      </c>
      <c r="E20" s="3">
        <f>10.49</f>
        <v>10.49</v>
      </c>
      <c r="F20" s="3">
        <v>109.0</v>
      </c>
      <c r="G20" s="2"/>
      <c r="H20" s="3">
        <v>109.0</v>
      </c>
      <c r="I20" s="2"/>
      <c r="J20" s="3">
        <v>109.0</v>
      </c>
      <c r="K20" s="2"/>
      <c r="L20" s="3">
        <v>109.0</v>
      </c>
      <c r="M20" s="3"/>
      <c r="N20" s="3">
        <v>109.0</v>
      </c>
      <c r="O20" s="3"/>
      <c r="P20" s="3">
        <v>109.0</v>
      </c>
      <c r="Q20" s="3"/>
      <c r="R20" s="3">
        <v>109.0</v>
      </c>
      <c r="S20" s="3"/>
      <c r="T20" s="3">
        <v>109.0</v>
      </c>
      <c r="U20" s="3"/>
      <c r="V20" s="3">
        <v>109.0</v>
      </c>
      <c r="W20" s="3"/>
      <c r="X20" s="3">
        <v>109.0</v>
      </c>
      <c r="Y20" s="3"/>
      <c r="Z20" s="3">
        <v>109.0</v>
      </c>
      <c r="AA20" s="3"/>
      <c r="AB20" s="2"/>
    </row>
    <row r="21">
      <c r="A21" s="3" t="s">
        <v>33</v>
      </c>
      <c r="B21" s="3"/>
      <c r="C21" s="3"/>
      <c r="D21" s="3">
        <v>150.0</v>
      </c>
      <c r="E21" s="3">
        <f>45.44</f>
        <v>45.44</v>
      </c>
      <c r="F21" s="3">
        <v>150.0</v>
      </c>
      <c r="G21" s="2"/>
      <c r="H21" s="3">
        <v>150.0</v>
      </c>
      <c r="I21" s="2"/>
      <c r="J21" s="3">
        <v>150.0</v>
      </c>
      <c r="K21" s="2"/>
      <c r="L21" s="3">
        <v>150.0</v>
      </c>
      <c r="M21" s="3"/>
      <c r="N21" s="3">
        <v>150.0</v>
      </c>
      <c r="O21" s="2"/>
      <c r="P21" s="3">
        <v>150.0</v>
      </c>
      <c r="Q21" s="3"/>
      <c r="R21" s="3">
        <v>150.0</v>
      </c>
      <c r="S21" s="2"/>
      <c r="T21" s="3">
        <v>150.0</v>
      </c>
      <c r="U21" s="2"/>
      <c r="V21" s="3">
        <v>150.0</v>
      </c>
      <c r="W21" s="3"/>
      <c r="X21" s="3">
        <v>150.0</v>
      </c>
      <c r="Y21" s="3"/>
      <c r="Z21" s="3">
        <v>150.0</v>
      </c>
      <c r="AA21" s="3"/>
      <c r="AB21" s="2"/>
    </row>
    <row r="22">
      <c r="A22" s="3" t="s">
        <v>34</v>
      </c>
      <c r="B22" s="3"/>
      <c r="C22" s="3"/>
      <c r="D22" s="3">
        <v>102.0</v>
      </c>
      <c r="E22" s="3"/>
      <c r="F22" s="3">
        <v>102.0</v>
      </c>
      <c r="G22" s="3"/>
      <c r="H22" s="3">
        <v>102.0</v>
      </c>
      <c r="I22" s="3"/>
      <c r="J22" s="3">
        <v>102.0</v>
      </c>
      <c r="K22" s="3"/>
      <c r="L22" s="3">
        <v>102.0</v>
      </c>
      <c r="M22" s="3"/>
      <c r="N22" s="3">
        <v>102.0</v>
      </c>
      <c r="O22" s="3"/>
      <c r="P22" s="3">
        <v>102.0</v>
      </c>
      <c r="Q22" s="3"/>
      <c r="R22" s="3">
        <v>102.0</v>
      </c>
      <c r="S22" s="3"/>
      <c r="T22" s="3">
        <v>102.0</v>
      </c>
      <c r="U22" s="3"/>
      <c r="V22" s="3">
        <v>102.0</v>
      </c>
      <c r="W22" s="3"/>
      <c r="X22" s="3">
        <v>102.0</v>
      </c>
      <c r="Y22" s="3"/>
      <c r="Z22" s="3">
        <v>102.0</v>
      </c>
      <c r="AA22" s="3"/>
      <c r="AB22" s="2"/>
    </row>
    <row r="23">
      <c r="A23" s="3" t="s">
        <v>35</v>
      </c>
      <c r="B23" s="3"/>
      <c r="C23" s="3"/>
      <c r="D23" s="3">
        <v>113.0</v>
      </c>
      <c r="E23" s="3"/>
      <c r="F23" s="3">
        <v>113.0</v>
      </c>
      <c r="G23" s="3"/>
      <c r="H23" s="3">
        <v>113.0</v>
      </c>
      <c r="I23" s="3"/>
      <c r="J23" s="3">
        <v>113.0</v>
      </c>
      <c r="K23" s="3"/>
      <c r="L23" s="3">
        <v>113.0</v>
      </c>
      <c r="M23" s="3"/>
      <c r="N23" s="3">
        <v>113.0</v>
      </c>
      <c r="O23" s="3"/>
      <c r="P23" s="3">
        <v>113.0</v>
      </c>
      <c r="Q23" s="3"/>
      <c r="R23" s="3">
        <v>113.0</v>
      </c>
      <c r="S23" s="3"/>
      <c r="T23" s="3">
        <v>113.0</v>
      </c>
      <c r="U23" s="3"/>
      <c r="V23" s="3">
        <v>113.0</v>
      </c>
      <c r="W23" s="3"/>
      <c r="X23" s="3">
        <v>113.0</v>
      </c>
      <c r="Y23" s="3"/>
      <c r="Z23" s="3">
        <v>113.0</v>
      </c>
      <c r="AA23" s="3"/>
      <c r="AB23" s="2"/>
    </row>
    <row r="24">
      <c r="A24" s="3" t="s">
        <v>36</v>
      </c>
      <c r="B24" s="3"/>
      <c r="C24" s="2"/>
      <c r="D24" s="3">
        <v>41.62</v>
      </c>
      <c r="E24" s="3"/>
      <c r="F24" s="3">
        <v>41.62</v>
      </c>
      <c r="G24" s="3"/>
      <c r="H24" s="3">
        <v>41.62</v>
      </c>
      <c r="I24" s="3"/>
      <c r="J24" s="3">
        <v>41.62</v>
      </c>
      <c r="K24" s="3"/>
      <c r="L24" s="3">
        <v>41.62</v>
      </c>
      <c r="M24" s="3"/>
      <c r="N24" s="3">
        <v>41.62</v>
      </c>
      <c r="O24" s="3"/>
      <c r="P24" s="3">
        <v>41.62</v>
      </c>
      <c r="Q24" s="3"/>
      <c r="R24" s="3">
        <v>41.62</v>
      </c>
      <c r="S24" s="3"/>
      <c r="T24" s="3">
        <v>41.62</v>
      </c>
      <c r="U24" s="3"/>
      <c r="V24" s="3">
        <v>41.62</v>
      </c>
      <c r="W24" s="3"/>
      <c r="X24" s="3">
        <v>41.62</v>
      </c>
      <c r="Y24" s="3"/>
      <c r="Z24" s="3">
        <v>41.62</v>
      </c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3"/>
      <c r="V25" s="2"/>
      <c r="W25" s="2"/>
      <c r="X25" s="2"/>
      <c r="Y25" s="2"/>
      <c r="Z25" s="2"/>
      <c r="AA25" s="2"/>
      <c r="AB25" s="2"/>
    </row>
    <row r="26">
      <c r="A26" s="4" t="s">
        <v>37</v>
      </c>
      <c r="B26" s="4"/>
      <c r="C26" s="4"/>
      <c r="D26" s="2">
        <f t="shared" ref="D26:AA26" si="3">sum(D27:D32)</f>
        <v>250</v>
      </c>
      <c r="E26" s="2">
        <f t="shared" si="3"/>
        <v>100</v>
      </c>
      <c r="F26" s="2">
        <f t="shared" si="3"/>
        <v>150</v>
      </c>
      <c r="G26" s="2">
        <f t="shared" si="3"/>
        <v>0</v>
      </c>
      <c r="H26" s="2">
        <f t="shared" si="3"/>
        <v>150</v>
      </c>
      <c r="I26" s="2">
        <f t="shared" si="3"/>
        <v>0</v>
      </c>
      <c r="J26" s="2">
        <f t="shared" si="3"/>
        <v>150</v>
      </c>
      <c r="K26" s="2">
        <f t="shared" si="3"/>
        <v>0</v>
      </c>
      <c r="L26" s="2">
        <f t="shared" si="3"/>
        <v>150</v>
      </c>
      <c r="M26" s="2">
        <f t="shared" si="3"/>
        <v>0</v>
      </c>
      <c r="N26" s="2">
        <f t="shared" si="3"/>
        <v>150</v>
      </c>
      <c r="O26" s="2">
        <f t="shared" si="3"/>
        <v>0</v>
      </c>
      <c r="P26" s="2">
        <f t="shared" si="3"/>
        <v>150</v>
      </c>
      <c r="Q26" s="2">
        <f t="shared" si="3"/>
        <v>0</v>
      </c>
      <c r="R26" s="2">
        <f t="shared" si="3"/>
        <v>150</v>
      </c>
      <c r="S26" s="2">
        <f t="shared" si="3"/>
        <v>0</v>
      </c>
      <c r="T26" s="2">
        <f t="shared" si="3"/>
        <v>150</v>
      </c>
      <c r="U26" s="2">
        <f t="shared" si="3"/>
        <v>0</v>
      </c>
      <c r="V26" s="2">
        <f t="shared" si="3"/>
        <v>150</v>
      </c>
      <c r="W26" s="2">
        <f t="shared" si="3"/>
        <v>0</v>
      </c>
      <c r="X26" s="2">
        <f t="shared" si="3"/>
        <v>150</v>
      </c>
      <c r="Y26" s="2">
        <f t="shared" si="3"/>
        <v>0</v>
      </c>
      <c r="Z26" s="2">
        <f t="shared" si="3"/>
        <v>150</v>
      </c>
      <c r="AA26" s="2">
        <f t="shared" si="3"/>
        <v>0</v>
      </c>
      <c r="AB26" s="2"/>
    </row>
    <row r="27">
      <c r="A27" s="3" t="s">
        <v>38</v>
      </c>
      <c r="B27" s="3"/>
      <c r="C27" s="3"/>
      <c r="D27" s="3">
        <v>100.0</v>
      </c>
      <c r="E27" s="3">
        <v>0.0</v>
      </c>
      <c r="F27" s="3">
        <v>50.0</v>
      </c>
      <c r="G27" s="3"/>
      <c r="H27" s="3">
        <v>50.0</v>
      </c>
      <c r="I27" s="3"/>
      <c r="J27" s="3">
        <v>50.0</v>
      </c>
      <c r="K27" s="3"/>
      <c r="L27" s="3">
        <v>50.0</v>
      </c>
      <c r="M27" s="3"/>
      <c r="N27" s="3">
        <v>50.0</v>
      </c>
      <c r="O27" s="3"/>
      <c r="P27" s="3">
        <v>50.0</v>
      </c>
      <c r="Q27" s="3"/>
      <c r="R27" s="3">
        <v>50.0</v>
      </c>
      <c r="S27" s="3"/>
      <c r="T27" s="3">
        <v>50.0</v>
      </c>
      <c r="U27" s="3"/>
      <c r="V27" s="3">
        <v>50.0</v>
      </c>
      <c r="W27" s="3"/>
      <c r="X27" s="3">
        <v>50.0</v>
      </c>
      <c r="Y27" s="3"/>
      <c r="Z27" s="3">
        <v>50.0</v>
      </c>
      <c r="AA27" s="3"/>
      <c r="AB27" s="2"/>
    </row>
    <row r="28">
      <c r="A28" s="3" t="s">
        <v>39</v>
      </c>
      <c r="B28" s="3"/>
      <c r="C28" s="3"/>
      <c r="D28" s="3">
        <v>50.0</v>
      </c>
      <c r="E28" s="3">
        <v>0.0</v>
      </c>
      <c r="F28" s="3">
        <v>50.0</v>
      </c>
      <c r="G28" s="3"/>
      <c r="H28" s="3">
        <v>50.0</v>
      </c>
      <c r="I28" s="3"/>
      <c r="J28" s="3">
        <v>50.0</v>
      </c>
      <c r="K28" s="3"/>
      <c r="L28" s="3">
        <v>50.0</v>
      </c>
      <c r="M28" s="3"/>
      <c r="N28" s="3">
        <v>50.0</v>
      </c>
      <c r="O28" s="3"/>
      <c r="P28" s="3">
        <v>50.0</v>
      </c>
      <c r="Q28" s="3"/>
      <c r="R28" s="3">
        <v>50.0</v>
      </c>
      <c r="S28" s="3"/>
      <c r="T28" s="3">
        <v>50.0</v>
      </c>
      <c r="U28" s="3"/>
      <c r="V28" s="3">
        <v>50.0</v>
      </c>
      <c r="W28" s="3"/>
      <c r="X28" s="3">
        <v>50.0</v>
      </c>
      <c r="Y28" s="3"/>
      <c r="Z28" s="3">
        <v>50.0</v>
      </c>
      <c r="AA28" s="3"/>
      <c r="AB28" s="2"/>
    </row>
    <row r="29">
      <c r="A29" s="3" t="s">
        <v>40</v>
      </c>
      <c r="B29" s="3"/>
      <c r="C29" s="3"/>
      <c r="D29" s="3">
        <v>0.0</v>
      </c>
      <c r="E29" s="3">
        <v>0.0</v>
      </c>
      <c r="F29" s="3">
        <v>0.0</v>
      </c>
      <c r="G29" s="3"/>
      <c r="H29" s="3">
        <v>0.0</v>
      </c>
      <c r="I29" s="3"/>
      <c r="J29" s="3">
        <v>0.0</v>
      </c>
      <c r="K29" s="3"/>
      <c r="L29" s="3">
        <v>0.0</v>
      </c>
      <c r="M29" s="3"/>
      <c r="N29" s="3">
        <v>0.0</v>
      </c>
      <c r="O29" s="3"/>
      <c r="P29" s="3">
        <v>0.0</v>
      </c>
      <c r="Q29" s="3"/>
      <c r="R29" s="3">
        <v>0.0</v>
      </c>
      <c r="S29" s="3"/>
      <c r="T29" s="3">
        <v>0.0</v>
      </c>
      <c r="U29" s="3"/>
      <c r="V29" s="3">
        <v>0.0</v>
      </c>
      <c r="W29" s="3"/>
      <c r="X29" s="3">
        <v>0.0</v>
      </c>
      <c r="Y29" s="3"/>
      <c r="Z29" s="3">
        <v>0.0</v>
      </c>
      <c r="AA29" s="3"/>
      <c r="AB29" s="2"/>
    </row>
    <row r="30">
      <c r="A30" s="3" t="s">
        <v>41</v>
      </c>
      <c r="B30" s="3"/>
      <c r="C30" s="3"/>
      <c r="D30" s="3">
        <v>100.0</v>
      </c>
      <c r="E30" s="3">
        <v>100.0</v>
      </c>
      <c r="F30" s="3">
        <v>50.0</v>
      </c>
      <c r="G30" s="3"/>
      <c r="H30" s="3">
        <v>50.0</v>
      </c>
      <c r="I30" s="3"/>
      <c r="J30" s="3">
        <v>50.0</v>
      </c>
      <c r="K30" s="3"/>
      <c r="L30" s="3">
        <v>50.0</v>
      </c>
      <c r="M30" s="3"/>
      <c r="N30" s="3">
        <v>50.0</v>
      </c>
      <c r="O30" s="3"/>
      <c r="P30" s="3">
        <v>50.0</v>
      </c>
      <c r="Q30" s="3"/>
      <c r="R30" s="3">
        <v>50.0</v>
      </c>
      <c r="S30" s="3"/>
      <c r="T30" s="3">
        <v>50.0</v>
      </c>
      <c r="U30" s="3"/>
      <c r="V30" s="3">
        <v>50.0</v>
      </c>
      <c r="W30" s="3"/>
      <c r="X30" s="3">
        <v>50.0</v>
      </c>
      <c r="Y30" s="3"/>
      <c r="Z30" s="3">
        <v>50.0</v>
      </c>
      <c r="AA30" s="3"/>
      <c r="AB30" s="2"/>
    </row>
    <row r="31">
      <c r="A31" s="3" t="s">
        <v>42</v>
      </c>
      <c r="B31" s="3"/>
      <c r="C31" s="3"/>
      <c r="D31" s="3">
        <v>0.0</v>
      </c>
      <c r="E31" s="3">
        <v>0.0</v>
      </c>
      <c r="F31" s="3">
        <v>0.0</v>
      </c>
      <c r="G31" s="3"/>
      <c r="H31" s="3">
        <v>0.0</v>
      </c>
      <c r="I31" s="3"/>
      <c r="J31" s="3">
        <v>0.0</v>
      </c>
      <c r="K31" s="3"/>
      <c r="L31" s="3">
        <v>0.0</v>
      </c>
      <c r="M31" s="3"/>
      <c r="N31" s="3">
        <v>0.0</v>
      </c>
      <c r="O31" s="3"/>
      <c r="P31" s="3">
        <v>0.0</v>
      </c>
      <c r="Q31" s="3"/>
      <c r="R31" s="3">
        <v>0.0</v>
      </c>
      <c r="S31" s="3"/>
      <c r="T31" s="3">
        <v>0.0</v>
      </c>
      <c r="U31" s="3"/>
      <c r="V31" s="3">
        <v>0.0</v>
      </c>
      <c r="W31" s="3"/>
      <c r="X31" s="3">
        <v>0.0</v>
      </c>
      <c r="Y31" s="3"/>
      <c r="Z31" s="3">
        <v>0.0</v>
      </c>
      <c r="AA31" s="3"/>
      <c r="AB31" s="2"/>
    </row>
    <row r="32">
      <c r="A32" s="3" t="s">
        <v>43</v>
      </c>
      <c r="B32" s="3"/>
      <c r="C32" s="3"/>
      <c r="D32" s="3">
        <v>0.0</v>
      </c>
      <c r="E32" s="3">
        <v>0.0</v>
      </c>
      <c r="F32" s="3">
        <v>0.0</v>
      </c>
      <c r="G32" s="3"/>
      <c r="H32" s="3">
        <v>0.0</v>
      </c>
      <c r="I32" s="3"/>
      <c r="J32" s="3">
        <v>0.0</v>
      </c>
      <c r="K32" s="3"/>
      <c r="L32" s="3">
        <v>0.0</v>
      </c>
      <c r="M32" s="3"/>
      <c r="N32" s="3">
        <v>0.0</v>
      </c>
      <c r="O32" s="3"/>
      <c r="P32" s="3">
        <v>0.0</v>
      </c>
      <c r="Q32" s="3"/>
      <c r="R32" s="3">
        <v>0.0</v>
      </c>
      <c r="S32" s="3"/>
      <c r="T32" s="3">
        <v>0.0</v>
      </c>
      <c r="U32" s="3"/>
      <c r="V32" s="3">
        <v>0.0</v>
      </c>
      <c r="W32" s="3"/>
      <c r="X32" s="3">
        <v>0.0</v>
      </c>
      <c r="Y32" s="3"/>
      <c r="Z32" s="3">
        <v>0.0</v>
      </c>
      <c r="AA32" s="3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6" t="s">
        <v>44</v>
      </c>
      <c r="B34" s="6"/>
      <c r="C34" s="6"/>
      <c r="D34" s="2">
        <f t="shared" ref="D34:AA34" si="4">D3-D6-D26</f>
        <v>323.2</v>
      </c>
      <c r="E34" s="2">
        <f t="shared" si="4"/>
        <v>9.15</v>
      </c>
      <c r="F34" s="2">
        <f t="shared" si="4"/>
        <v>173.2</v>
      </c>
      <c r="G34" s="2">
        <f t="shared" si="4"/>
        <v>0</v>
      </c>
      <c r="H34" s="2">
        <f t="shared" si="4"/>
        <v>173.2</v>
      </c>
      <c r="I34" s="2">
        <f t="shared" si="4"/>
        <v>0</v>
      </c>
      <c r="J34" s="2">
        <f t="shared" si="4"/>
        <v>173.2</v>
      </c>
      <c r="K34" s="2">
        <f t="shared" si="4"/>
        <v>0</v>
      </c>
      <c r="L34" s="2">
        <f t="shared" si="4"/>
        <v>173.2</v>
      </c>
      <c r="M34" s="2">
        <f t="shared" si="4"/>
        <v>0</v>
      </c>
      <c r="N34" s="2">
        <f t="shared" si="4"/>
        <v>173.2</v>
      </c>
      <c r="O34" s="2">
        <f t="shared" si="4"/>
        <v>0</v>
      </c>
      <c r="P34" s="2">
        <f t="shared" si="4"/>
        <v>173.2</v>
      </c>
      <c r="Q34" s="2">
        <f t="shared" si="4"/>
        <v>0</v>
      </c>
      <c r="R34" s="2">
        <f t="shared" si="4"/>
        <v>173.2</v>
      </c>
      <c r="S34" s="2">
        <f t="shared" si="4"/>
        <v>0</v>
      </c>
      <c r="T34" s="2">
        <f t="shared" si="4"/>
        <v>173.2</v>
      </c>
      <c r="U34" s="2">
        <f t="shared" si="4"/>
        <v>0</v>
      </c>
      <c r="V34" s="2">
        <f t="shared" si="4"/>
        <v>173.2</v>
      </c>
      <c r="W34" s="2">
        <f t="shared" si="4"/>
        <v>0</v>
      </c>
      <c r="X34" s="2">
        <f t="shared" si="4"/>
        <v>173.2</v>
      </c>
      <c r="Y34" s="2">
        <f t="shared" si="4"/>
        <v>0</v>
      </c>
      <c r="Z34" s="2">
        <f t="shared" si="4"/>
        <v>173.2</v>
      </c>
      <c r="AA34" s="2">
        <f t="shared" si="4"/>
        <v>0</v>
      </c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" t="s">
        <v>45</v>
      </c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 t="s">
        <v>46</v>
      </c>
      <c r="B39" s="7">
        <v>4500.0</v>
      </c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 t="s">
        <v>47</v>
      </c>
      <c r="B40" s="7">
        <v>200.56</v>
      </c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 t="s">
        <v>38</v>
      </c>
      <c r="B41" s="7">
        <v>0.0</v>
      </c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 t="s">
        <v>41</v>
      </c>
      <c r="B42" s="7">
        <v>27500.0</v>
      </c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 t="s">
        <v>48</v>
      </c>
      <c r="B43" s="7">
        <v>7100.0</v>
      </c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 t="s">
        <v>49</v>
      </c>
      <c r="B44" s="7">
        <v>3200.0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 t="s">
        <v>50</v>
      </c>
      <c r="B45" s="7">
        <v>20500.0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 t="s">
        <v>42</v>
      </c>
      <c r="B46" s="7">
        <v>1000.0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 t="s">
        <v>51</v>
      </c>
      <c r="B47" s="7">
        <v>350.0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 t="s">
        <v>52</v>
      </c>
      <c r="B48" s="7">
        <v>41000.0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 t="s">
        <v>53</v>
      </c>
      <c r="B49" s="7">
        <v>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 t="s">
        <v>54</v>
      </c>
      <c r="B50" s="7">
        <v>300.0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3" t="s">
        <v>55</v>
      </c>
      <c r="B51" s="7">
        <v>5148.0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3" t="s">
        <v>56</v>
      </c>
      <c r="B52" s="2">
        <f>sum(B39:B51)</f>
        <v>110798.56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</sheetData>
  <mergeCells count="12">
    <mergeCell ref="R1:S1"/>
    <mergeCell ref="T1:U1"/>
    <mergeCell ref="V1:W1"/>
    <mergeCell ref="X1:Y1"/>
    <mergeCell ref="Z1:AA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7.38"/>
    <col customWidth="1" min="3" max="3" width="18.75"/>
  </cols>
  <sheetData>
    <row r="1">
      <c r="A1" s="1" t="s">
        <v>0</v>
      </c>
      <c r="B1" s="1" t="s">
        <v>57</v>
      </c>
      <c r="C1" s="1"/>
      <c r="D1" s="1" t="s">
        <v>2</v>
      </c>
      <c r="F1" s="1" t="s">
        <v>3</v>
      </c>
      <c r="H1" s="1" t="s">
        <v>4</v>
      </c>
      <c r="J1" s="1" t="s">
        <v>5</v>
      </c>
      <c r="L1" s="1" t="s">
        <v>6</v>
      </c>
      <c r="N1" s="1" t="s">
        <v>7</v>
      </c>
      <c r="P1" s="1" t="s">
        <v>8</v>
      </c>
      <c r="R1" s="1" t="s">
        <v>9</v>
      </c>
      <c r="T1" s="1" t="s">
        <v>10</v>
      </c>
      <c r="V1" s="1" t="s">
        <v>11</v>
      </c>
      <c r="X1" s="1" t="s">
        <v>12</v>
      </c>
      <c r="Z1" s="1" t="s">
        <v>13</v>
      </c>
      <c r="AB1" s="2"/>
    </row>
    <row r="2">
      <c r="A2" s="2"/>
      <c r="B2" s="2"/>
      <c r="C2" s="2"/>
      <c r="D2" s="3" t="s">
        <v>14</v>
      </c>
      <c r="E2" s="3" t="s">
        <v>15</v>
      </c>
      <c r="F2" s="3" t="s">
        <v>14</v>
      </c>
      <c r="G2" s="3" t="s">
        <v>15</v>
      </c>
      <c r="H2" s="3" t="s">
        <v>14</v>
      </c>
      <c r="I2" s="3" t="s">
        <v>15</v>
      </c>
      <c r="J2" s="3" t="s">
        <v>14</v>
      </c>
      <c r="K2" s="3" t="s">
        <v>15</v>
      </c>
      <c r="L2" s="3" t="s">
        <v>14</v>
      </c>
      <c r="M2" s="3" t="s">
        <v>15</v>
      </c>
      <c r="N2" s="3" t="s">
        <v>14</v>
      </c>
      <c r="O2" s="3" t="s">
        <v>15</v>
      </c>
      <c r="P2" s="3" t="s">
        <v>14</v>
      </c>
      <c r="Q2" s="3" t="s">
        <v>15</v>
      </c>
      <c r="R2" s="3" t="s">
        <v>14</v>
      </c>
      <c r="S2" s="3" t="s">
        <v>15</v>
      </c>
      <c r="T2" s="3" t="s">
        <v>14</v>
      </c>
      <c r="U2" s="3" t="s">
        <v>15</v>
      </c>
      <c r="V2" s="3" t="s">
        <v>14</v>
      </c>
      <c r="W2" s="3" t="s">
        <v>15</v>
      </c>
      <c r="X2" s="3" t="s">
        <v>14</v>
      </c>
      <c r="Y2" s="3" t="s">
        <v>15</v>
      </c>
      <c r="Z2" s="3" t="s">
        <v>14</v>
      </c>
      <c r="AA2" s="3" t="s">
        <v>15</v>
      </c>
      <c r="AB2" s="2"/>
    </row>
    <row r="3">
      <c r="A3" s="4" t="s">
        <v>16</v>
      </c>
      <c r="B3" s="4"/>
      <c r="C3" s="4"/>
      <c r="D3" s="3">
        <f t="shared" ref="D3:AA3" si="1">D4</f>
        <v>3198.47</v>
      </c>
      <c r="E3" s="3">
        <f t="shared" si="1"/>
        <v>3644.87</v>
      </c>
      <c r="F3" s="3">
        <f t="shared" si="1"/>
        <v>3198.47</v>
      </c>
      <c r="G3" s="3">
        <f t="shared" si="1"/>
        <v>3815.34</v>
      </c>
      <c r="H3" s="3">
        <f t="shared" si="1"/>
        <v>3198.47</v>
      </c>
      <c r="I3" s="3">
        <f t="shared" si="1"/>
        <v>8200.57</v>
      </c>
      <c r="J3" s="3">
        <f t="shared" si="1"/>
        <v>4797.705</v>
      </c>
      <c r="K3" s="3">
        <f t="shared" si="1"/>
        <v>9874.9</v>
      </c>
      <c r="L3" s="3">
        <f t="shared" si="1"/>
        <v>3455.04</v>
      </c>
      <c r="M3" s="3">
        <f t="shared" si="1"/>
        <v>3351.19</v>
      </c>
      <c r="N3" s="3">
        <f t="shared" si="1"/>
        <v>3455.04</v>
      </c>
      <c r="O3" s="3">
        <f t="shared" si="1"/>
        <v>3392.81</v>
      </c>
      <c r="P3" s="3">
        <f t="shared" si="1"/>
        <v>3455.04</v>
      </c>
      <c r="Q3" s="3">
        <f t="shared" si="1"/>
        <v>3392.81</v>
      </c>
      <c r="R3" s="3">
        <f t="shared" si="1"/>
        <v>3455.04</v>
      </c>
      <c r="S3" s="3">
        <f t="shared" si="1"/>
        <v>3392.8</v>
      </c>
      <c r="T3" s="3">
        <f t="shared" si="1"/>
        <v>5157.56</v>
      </c>
      <c r="U3" s="3">
        <f t="shared" si="1"/>
        <v>5043.22</v>
      </c>
      <c r="V3" s="3">
        <f t="shared" si="1"/>
        <v>3455.04</v>
      </c>
      <c r="W3" s="3">
        <f t="shared" si="1"/>
        <v>3610.9</v>
      </c>
      <c r="X3" s="3">
        <f t="shared" si="1"/>
        <v>3150</v>
      </c>
      <c r="Y3" s="3">
        <f t="shared" si="1"/>
        <v>3162.66</v>
      </c>
      <c r="Z3" s="3">
        <f t="shared" si="1"/>
        <v>3455.04</v>
      </c>
      <c r="AA3" s="3">
        <f t="shared" si="1"/>
        <v>4943.18</v>
      </c>
      <c r="AB3" s="2"/>
    </row>
    <row r="4">
      <c r="A4" s="3" t="s">
        <v>17</v>
      </c>
      <c r="B4" s="3"/>
      <c r="C4" s="3"/>
      <c r="D4" s="3">
        <v>3198.47</v>
      </c>
      <c r="E4" s="2">
        <f>1610.37+1660.38+41.62+250+21+61.5</f>
        <v>3644.87</v>
      </c>
      <c r="F4" s="3">
        <v>3198.47</v>
      </c>
      <c r="G4" s="3">
        <f>1610.37+500+1660.36+41.62+2.99</f>
        <v>3815.34</v>
      </c>
      <c r="H4" s="3">
        <v>3198.47</v>
      </c>
      <c r="I4" s="2">
        <f>1610.37+3145+205+60+1400+1660.38+58.91+19.29+41.62</f>
        <v>8200.57</v>
      </c>
      <c r="J4" s="3">
        <f>3198.47*1.5</f>
        <v>4797.705</v>
      </c>
      <c r="K4" s="2">
        <f>1702.52+4647.6+1754.7+1700.6+41.62+27.86</f>
        <v>9874.9</v>
      </c>
      <c r="L4" s="3">
        <f>1702.52*2+50</f>
        <v>3455.04</v>
      </c>
      <c r="M4" s="2">
        <f>1650.59+1700.6</f>
        <v>3351.19</v>
      </c>
      <c r="N4" s="3">
        <f>1702.52*2+50</f>
        <v>3455.04</v>
      </c>
      <c r="O4" s="2">
        <f>1650.59+1700.6+41.62</f>
        <v>3392.81</v>
      </c>
      <c r="P4" s="3">
        <f>1702.52*2+50</f>
        <v>3455.04</v>
      </c>
      <c r="Q4" s="2">
        <f>1650.59+1700.6+41.62</f>
        <v>3392.81</v>
      </c>
      <c r="R4" s="3">
        <f>1702.52*2+50</f>
        <v>3455.04</v>
      </c>
      <c r="S4" s="2">
        <f>1650.59+1700.59+41.62</f>
        <v>3392.8</v>
      </c>
      <c r="T4" s="3">
        <f>1702.52*3 + 50</f>
        <v>5157.56</v>
      </c>
      <c r="U4" s="2">
        <f>1650.51+1700.59+1650.5+41.62</f>
        <v>5043.22</v>
      </c>
      <c r="V4" s="3">
        <v>3455.04</v>
      </c>
      <c r="W4" s="2">
        <f>160+1708.68+1700.6+41.62</f>
        <v>3610.9</v>
      </c>
      <c r="X4" s="3">
        <f>1550*2+50</f>
        <v>3150</v>
      </c>
      <c r="Y4" s="2">
        <f>1529.11+1591.93+41.62</f>
        <v>3162.66</v>
      </c>
      <c r="Z4" s="3">
        <f>1702.52*2+50</f>
        <v>3455.04</v>
      </c>
      <c r="AA4" s="2">
        <f>52.13+1541.94+470+1300+1579.11</f>
        <v>4943.18</v>
      </c>
      <c r="AB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18</v>
      </c>
      <c r="B6" s="4"/>
      <c r="C6" s="4"/>
      <c r="D6" s="2">
        <f t="shared" ref="D6:AA6" si="2">sum(D7:D23)</f>
        <v>1015.52</v>
      </c>
      <c r="E6" s="2">
        <f t="shared" si="2"/>
        <v>1973.39</v>
      </c>
      <c r="F6" s="2">
        <f t="shared" si="2"/>
        <v>1015.52</v>
      </c>
      <c r="G6" s="2">
        <f t="shared" si="2"/>
        <v>1387.69</v>
      </c>
      <c r="H6" s="5">
        <f t="shared" si="2"/>
        <v>1015.52</v>
      </c>
      <c r="I6" s="5">
        <f t="shared" si="2"/>
        <v>3306.03</v>
      </c>
      <c r="J6" s="5">
        <f t="shared" si="2"/>
        <v>1015.52</v>
      </c>
      <c r="K6" s="5">
        <f t="shared" si="2"/>
        <v>4677.35</v>
      </c>
      <c r="L6" s="5">
        <f t="shared" si="2"/>
        <v>1490.38</v>
      </c>
      <c r="M6" s="5">
        <f t="shared" si="2"/>
        <v>5023.53</v>
      </c>
      <c r="N6" s="5">
        <f t="shared" si="2"/>
        <v>2520.38</v>
      </c>
      <c r="O6" s="5">
        <f t="shared" si="2"/>
        <v>2365.49</v>
      </c>
      <c r="P6" s="5">
        <f t="shared" si="2"/>
        <v>2501.28</v>
      </c>
      <c r="Q6" s="5">
        <f t="shared" si="2"/>
        <v>4044.92</v>
      </c>
      <c r="R6" s="5">
        <f t="shared" si="2"/>
        <v>2601.28</v>
      </c>
      <c r="S6" s="5">
        <f t="shared" si="2"/>
        <v>3855.13</v>
      </c>
      <c r="T6" s="5">
        <f t="shared" si="2"/>
        <v>2631.28</v>
      </c>
      <c r="U6" s="5">
        <f t="shared" si="2"/>
        <v>3915.99</v>
      </c>
      <c r="V6" s="5">
        <f t="shared" si="2"/>
        <v>2607.04</v>
      </c>
      <c r="W6" s="5">
        <f t="shared" si="2"/>
        <v>3013.55</v>
      </c>
      <c r="X6" s="5">
        <f t="shared" si="2"/>
        <v>2607.04</v>
      </c>
      <c r="Y6" s="5">
        <f t="shared" si="2"/>
        <v>3302.598</v>
      </c>
      <c r="Z6" s="5">
        <f t="shared" si="2"/>
        <v>2607.04</v>
      </c>
      <c r="AA6" s="5">
        <f t="shared" si="2"/>
        <v>5378.93</v>
      </c>
      <c r="AB6" s="2"/>
    </row>
    <row r="7">
      <c r="A7" s="3" t="s">
        <v>19</v>
      </c>
      <c r="B7" s="3"/>
      <c r="C7" s="3"/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f>1850+787.5</f>
        <v>2637.5</v>
      </c>
      <c r="L7" s="3">
        <v>0.0</v>
      </c>
      <c r="M7" s="3">
        <v>925.0</v>
      </c>
      <c r="N7" s="3">
        <v>925.0</v>
      </c>
      <c r="O7" s="3">
        <v>0.0</v>
      </c>
      <c r="P7" s="3">
        <v>925.0</v>
      </c>
      <c r="Q7" s="3">
        <v>925.0</v>
      </c>
      <c r="R7" s="3">
        <v>925.0</v>
      </c>
      <c r="S7" s="3">
        <v>925.0</v>
      </c>
      <c r="T7" s="3">
        <v>925.0</v>
      </c>
      <c r="U7" s="3">
        <v>1048.33</v>
      </c>
      <c r="V7" s="3">
        <v>925.0</v>
      </c>
      <c r="W7" s="3">
        <v>925.0</v>
      </c>
      <c r="X7" s="3">
        <v>925.0</v>
      </c>
      <c r="Y7" s="3">
        <v>925.0</v>
      </c>
      <c r="Z7" s="3">
        <v>925.0</v>
      </c>
      <c r="AA7" s="3">
        <v>925.0</v>
      </c>
      <c r="AB7" s="2"/>
    </row>
    <row r="8">
      <c r="A8" s="3" t="s">
        <v>20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v>50.0</v>
      </c>
      <c r="M8" s="3">
        <v>42.44</v>
      </c>
      <c r="N8" s="3">
        <v>50.0</v>
      </c>
      <c r="O8" s="3">
        <v>67.92</v>
      </c>
      <c r="P8" s="3">
        <v>70.0</v>
      </c>
      <c r="Q8" s="3">
        <v>107.0</v>
      </c>
      <c r="R8" s="3">
        <v>70.0</v>
      </c>
      <c r="S8" s="3">
        <v>0.0</v>
      </c>
      <c r="T8" s="3">
        <v>100.0</v>
      </c>
      <c r="U8" s="3">
        <v>0.0</v>
      </c>
      <c r="V8" s="3">
        <v>100.0</v>
      </c>
      <c r="W8" s="3">
        <v>70.28</v>
      </c>
      <c r="X8" s="3">
        <v>100.0</v>
      </c>
      <c r="Y8" s="3">
        <v>52.27</v>
      </c>
      <c r="Z8" s="3">
        <v>100.0</v>
      </c>
      <c r="AA8" s="3">
        <v>72.0</v>
      </c>
      <c r="AB8" s="2"/>
    </row>
    <row r="9">
      <c r="A9" s="3" t="s">
        <v>21</v>
      </c>
      <c r="B9" s="3"/>
      <c r="C9" s="3"/>
      <c r="D9" s="3">
        <v>350.0</v>
      </c>
      <c r="E9" s="3">
        <f>26.95+43.61+25.01+32.72+48.5+5.5+38.25+32.3+27.64</f>
        <v>280.48</v>
      </c>
      <c r="F9" s="3">
        <v>350.0</v>
      </c>
      <c r="G9" s="3">
        <f>56.48+77.24+72+23.71</f>
        <v>229.43</v>
      </c>
      <c r="H9" s="3">
        <v>350.0</v>
      </c>
      <c r="I9" s="2">
        <f>36.81+42.1+51.23+12.06+15.17+317.62+18.17+8+13.49+7.19+8.5+32.18+13.49+8+37.08+35+16.63+10.56</f>
        <v>683.28</v>
      </c>
      <c r="J9" s="3">
        <v>350.0</v>
      </c>
      <c r="K9" s="2">
        <f>12.94+57.29+37.05+23.2+46.45+46.06+24.66+49.36+71+30.29+86.42+6.52+37.59+86.42</f>
        <v>615.25</v>
      </c>
      <c r="L9" s="3">
        <v>450.0</v>
      </c>
      <c r="M9" s="2">
        <f>220+160+170.08+25.38+19.51+17.63+13.7+18.3+69.25+6.1+25.11+17.45+49.64+29.08+16.15+23.05+12.04+19.72+19.57+23.5+7.82</f>
        <v>963.08</v>
      </c>
      <c r="N9" s="3">
        <v>350.0</v>
      </c>
      <c r="O9" s="2">
        <f>30.35+19.61+25.15+19.61+9.99+19.64+21.41+25.78+20.16+81.86+10.12+16.51+14.12+20.8+6.36+24.23+11.49+18.07+15.03+19.35+25.12+23.4+35.67+3.43+5.9+29.03</f>
        <v>552.19</v>
      </c>
      <c r="P9" s="3">
        <v>350.0</v>
      </c>
      <c r="Q9" s="2">
        <f>9.99+20.78+47.25+34.17+23.19+40.01+10+18.08+11.66+32.94+25+23.1+17.86+14.36+40.01+8.34+14.89+15.09+14.66+31.64+16+13.67+27.68+19.03+20.6+31.29+27.57+17.46+48.72+16.86+31.13+18.77+35.31+32.31+16.38+35.31+36.43+31.01+27.16+23.6+20.86</f>
        <v>1000.17</v>
      </c>
      <c r="R9" s="3">
        <v>400.0</v>
      </c>
      <c r="S9" s="2">
        <f>21.93+23.44+14.68+9.99+15.05+18.28+12.51+46.8+15.74+3.62+18.4+27.68+15.09+33.52+15.61+58.1+16.97+20.6+16.97+20.6+44.43+9+46.8+15.74++3.62+18.4+27.68+15.09+33.52+15.61+24.59+28.04+30.28+13.75+9</f>
        <v>761.13</v>
      </c>
      <c r="T9" s="3">
        <v>400.0</v>
      </c>
      <c r="U9" s="2">
        <f>47.15+9.9+21.1+19+9.99+3.86+25+10.61+10.38+7.69+28.38+71.75+22.44+12.88+9+18.37+13.52+5.98+51.04+14.4+10.66+40.08+28.38+5.92+7.51</f>
        <v>504.99</v>
      </c>
      <c r="V9" s="3">
        <v>400.0</v>
      </c>
      <c r="W9" s="2">
        <f>11.91+9.99+17.32+16+27.06+8.22+10+36+11.84+9.97+21.21+19.8+10.77+10+30.01+35.27+2.46+11.84+28.98+5.23+8.84+3+11.57</f>
        <v>357.29</v>
      </c>
      <c r="X9" s="3">
        <v>400.0</v>
      </c>
      <c r="Y9" s="2">
        <f>35.95+24+27.12+53+7.8+(10.33*1.2)+11.32+3.86+3.86+9.43+10.5+45+36+38.37+3.86+3.86+97.84+52.29+5.38+22.25+97.84+18.46+(24.76*1.2)+9.9+18.46+21.44</f>
        <v>699.898</v>
      </c>
      <c r="Z9" s="3">
        <v>400.0</v>
      </c>
      <c r="AA9" s="2">
        <f>20.42+17.23+6.5+8.98++126.96+26.25+42+6.72+16.28+20.42</f>
        <v>291.76</v>
      </c>
      <c r="AB9" s="2"/>
    </row>
    <row r="10">
      <c r="A10" s="3" t="s">
        <v>22</v>
      </c>
      <c r="B10" s="3"/>
      <c r="C10" s="3"/>
      <c r="D10" s="3"/>
      <c r="E10" s="3"/>
      <c r="F10" s="3"/>
      <c r="G10" s="3"/>
      <c r="H10" s="3"/>
      <c r="I10" s="2"/>
      <c r="J10" s="3"/>
      <c r="K10" s="2"/>
      <c r="L10" s="3">
        <v>200.0</v>
      </c>
      <c r="M10" s="2">
        <f>69.1+56.22</f>
        <v>125.32</v>
      </c>
      <c r="N10" s="3">
        <v>200.0</v>
      </c>
      <c r="O10" s="3">
        <f>60.1+64.55+60.44+64.55</f>
        <v>249.64</v>
      </c>
      <c r="P10" s="3">
        <v>200.0</v>
      </c>
      <c r="Q10" s="3">
        <f>54.25+60.44+3.08+64.55</f>
        <v>182.32</v>
      </c>
      <c r="R10" s="3">
        <v>200.0</v>
      </c>
      <c r="S10" s="2">
        <f>64.55+64.55+64.55+64.55+64.55</f>
        <v>322.75</v>
      </c>
      <c r="T10" s="3">
        <v>200.0</v>
      </c>
      <c r="U10" s="3">
        <f>64.55+64.55</f>
        <v>129.1</v>
      </c>
      <c r="V10" s="3">
        <v>200.0</v>
      </c>
      <c r="W10" s="2">
        <f>64.55*4</f>
        <v>258.2</v>
      </c>
      <c r="X10" s="3">
        <v>200.0</v>
      </c>
      <c r="Y10" s="3">
        <v>64.55</v>
      </c>
      <c r="Z10" s="3">
        <v>200.0</v>
      </c>
      <c r="AA10" s="2">
        <f>64.55*2</f>
        <v>129.1</v>
      </c>
      <c r="AB10" s="2"/>
    </row>
    <row r="11">
      <c r="A11" s="3" t="s">
        <v>24</v>
      </c>
      <c r="B11" s="3"/>
      <c r="C11" s="3"/>
      <c r="D11" s="3">
        <v>200.0</v>
      </c>
      <c r="E11" s="2">
        <f>99.99+20+99.99+99.99+99.99+11.69+95+12.99+12.99+25+99.99+10+99.99+10+10+10+25+20-83.89+99.99+99.99+99.99+12+10+99.99+2.99+75.1</f>
        <v>1278.77</v>
      </c>
      <c r="F11" s="3">
        <v>200.0</v>
      </c>
      <c r="G11" s="3">
        <f>99.99*6+150</f>
        <v>749.94</v>
      </c>
      <c r="H11" s="3">
        <v>200.0</v>
      </c>
      <c r="I11" s="3">
        <f>118.2+99.99+90+92.54+34.46+7.39+62.5+7.19+4.5+99.99+99.99+500+70+650+175+99.99</f>
        <v>2211.74</v>
      </c>
      <c r="J11" s="3">
        <v>200.0</v>
      </c>
      <c r="K11" s="2">
        <f>39+18+99.99+8.77+9.63*2 +29+12.22+10.18*4+5.44+99.99+10.15+7.56+99.99+13.69+99.99+10.38</f>
        <v>614.15</v>
      </c>
      <c r="L11" s="3">
        <v>150.0</v>
      </c>
      <c r="M11" s="2">
        <f>850+99.99+8.77+10.11+10.18+10.59+8.99+99.99*3+8.72+13.13+99.99*2+50+30.34+66.67+99.99+100+17.63</f>
        <v>1885.06</v>
      </c>
      <c r="N11" s="3">
        <v>300.0</v>
      </c>
      <c r="O11" s="2">
        <f>99.99+50.85+(8.4*3)+10.65+(8.81*2)+8.72+1.73+50+61.42+6.42+5.31+56+10.24+11.06+10.55+8.66+8.4+8.4</f>
        <v>451.22</v>
      </c>
      <c r="P11" s="3">
        <v>250.0</v>
      </c>
      <c r="Q11" s="2">
        <f>7.82+8.66+86+99.99+8.4+30.16+10.38+8.45+33.51+8.45+33.51+8.45+3.43+18.46+8.45+8.45+8.81+8.45+8.45+34.56+8.68+99.99+6+61.42+61.42</f>
        <v>680.35</v>
      </c>
      <c r="R11" s="3">
        <v>300.0</v>
      </c>
      <c r="S11" s="2">
        <f>5.44+140+10.32+8.81+172.75+13.98+61.41+65.42+(16.15*3)+8.81+5.1+8.54+19.86+5.24+22.43+(5.38*2)+6.06+5.38+4.12+5.38+30.14+5.9+6.94+5.38+10.76+14.74+6.06+5.38+8.54+5.1+8.81+98.12+99.99+94</f>
        <v>1028.12</v>
      </c>
      <c r="T11" s="3">
        <v>300.0</v>
      </c>
      <c r="U11" s="2">
        <f>71.5+46+25+45.04+5.38+19.49+(5.9*2)+40.92+18.23+250+180+32.31+5.46+(6.35*3)+5.38+5.38+12.15+50+4.99+73.99+9.52+5.27</f>
        <v>936.86</v>
      </c>
      <c r="V11" s="3">
        <v>300.0</v>
      </c>
      <c r="W11" s="3">
        <f>99.99+5.27+5.38+5.38+32.45+6.45+5.38+5.38+99.99+5.38+99.99+12.88+99.99+30+6.86+5.38+6.88+4.45+5.38+16.15+99.99</f>
        <v>659</v>
      </c>
      <c r="X11" s="3">
        <v>300.0</v>
      </c>
      <c r="Y11" s="2">
        <f>5.38*4+30+99.99+9.99+99.99+6.47*2+135.23+9.69+4.99+99.99+25+99.99+99.99+99.99+15+99.99</f>
        <v>964.29</v>
      </c>
      <c r="Z11" s="3">
        <v>300.0</v>
      </c>
      <c r="AA11" s="3">
        <f>99.99+157.68+(99.99*26)+21.55+8.5+17.15+9.47+10.05+4.99+10.51</f>
        <v>2939.63</v>
      </c>
      <c r="AB11" s="2"/>
    </row>
    <row r="12">
      <c r="A12" s="3" t="s">
        <v>25</v>
      </c>
      <c r="B12" s="3"/>
      <c r="C12" s="3"/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f>298.8+24.99+134.69+14.99+25.19+31.91</f>
        <v>530.57</v>
      </c>
      <c r="L12" s="3">
        <v>0.0</v>
      </c>
      <c r="M12" s="3">
        <f>97+14</f>
        <v>111</v>
      </c>
      <c r="N12" s="3">
        <v>0.0</v>
      </c>
      <c r="O12" s="3">
        <f>164.86+28.71</f>
        <v>193.57</v>
      </c>
      <c r="P12" s="3">
        <v>0.0</v>
      </c>
      <c r="Q12" s="2">
        <f>35.99+34.78+9.99+143+110+135.13</f>
        <v>468.89</v>
      </c>
      <c r="R12" s="3">
        <v>0.0</v>
      </c>
      <c r="S12" s="2">
        <f>7.4+120.9</f>
        <v>128.3</v>
      </c>
      <c r="T12" s="3">
        <v>0.0</v>
      </c>
      <c r="U12" s="3">
        <f>44.09+84.18+135.13+2.25</f>
        <v>265.65</v>
      </c>
      <c r="V12" s="3">
        <v>0.0</v>
      </c>
      <c r="W12" s="3">
        <v>0.0</v>
      </c>
      <c r="X12" s="3">
        <v>0.0</v>
      </c>
      <c r="Y12" s="3">
        <v>7.96</v>
      </c>
      <c r="Z12" s="3">
        <v>0.0</v>
      </c>
      <c r="AA12" s="3">
        <v>200.0</v>
      </c>
      <c r="AB12" s="2"/>
    </row>
    <row r="13">
      <c r="A13" s="3" t="s">
        <v>26</v>
      </c>
      <c r="B13" s="3"/>
      <c r="C13" s="3"/>
      <c r="D13" s="3">
        <v>50.0</v>
      </c>
      <c r="E13" s="3">
        <v>50.0</v>
      </c>
      <c r="F13" s="3">
        <v>50.0</v>
      </c>
      <c r="G13" s="3">
        <v>50.0</v>
      </c>
      <c r="H13" s="3">
        <v>50.0</v>
      </c>
      <c r="I13" s="3">
        <v>50.0</v>
      </c>
      <c r="J13" s="3">
        <v>50.0</v>
      </c>
      <c r="K13" s="2">
        <f>0</f>
        <v>0</v>
      </c>
      <c r="L13" s="3">
        <v>50.0</v>
      </c>
      <c r="M13" s="3">
        <v>50.0</v>
      </c>
      <c r="N13" s="3">
        <v>50.0</v>
      </c>
      <c r="O13" s="3">
        <v>50.0</v>
      </c>
      <c r="P13" s="3">
        <v>50.0</v>
      </c>
      <c r="Q13" s="3">
        <v>50.0</v>
      </c>
      <c r="R13" s="3">
        <v>50.0</v>
      </c>
      <c r="S13" s="3">
        <v>50.0</v>
      </c>
      <c r="T13" s="3">
        <v>50.0</v>
      </c>
      <c r="U13" s="3">
        <v>50.0</v>
      </c>
      <c r="V13" s="3">
        <v>50.0</v>
      </c>
      <c r="W13" s="3">
        <v>50.0</v>
      </c>
      <c r="X13" s="3">
        <v>50.0</v>
      </c>
      <c r="Y13" s="3">
        <v>50.0</v>
      </c>
      <c r="Z13" s="3">
        <v>50.0</v>
      </c>
      <c r="AA13" s="3">
        <v>50.0</v>
      </c>
      <c r="AB13" s="2"/>
    </row>
    <row r="14">
      <c r="A14" s="3" t="s">
        <v>27</v>
      </c>
      <c r="B14" s="3"/>
      <c r="C14" s="3"/>
      <c r="D14" s="3"/>
      <c r="E14" s="3"/>
      <c r="F14" s="3"/>
      <c r="G14" s="3"/>
      <c r="H14" s="3"/>
      <c r="I14" s="3"/>
      <c r="J14" s="3"/>
      <c r="K14" s="2"/>
      <c r="L14" s="3"/>
      <c r="M14" s="3"/>
      <c r="N14" s="3">
        <v>30.0</v>
      </c>
      <c r="O14" s="3">
        <f>35.67+15</f>
        <v>50.67</v>
      </c>
      <c r="P14" s="3">
        <v>30.0</v>
      </c>
      <c r="Q14" s="3">
        <f>52.13</f>
        <v>52.13</v>
      </c>
      <c r="R14" s="3">
        <v>30.0</v>
      </c>
      <c r="S14" s="3">
        <v>7.95</v>
      </c>
      <c r="T14" s="3">
        <v>30.0</v>
      </c>
      <c r="U14" s="3">
        <f>120.65+21.44+64.04+84+188</f>
        <v>478.13</v>
      </c>
      <c r="V14" s="3">
        <v>30.0</v>
      </c>
      <c r="W14" s="3">
        <f>45.04+31.11</f>
        <v>76.15</v>
      </c>
      <c r="X14" s="3">
        <v>30.0</v>
      </c>
      <c r="Y14" s="3">
        <v>0.0</v>
      </c>
      <c r="Z14" s="3">
        <v>30.0</v>
      </c>
      <c r="AA14" s="3">
        <f>93.73+10.51</f>
        <v>104.24</v>
      </c>
      <c r="AB14" s="2"/>
    </row>
    <row r="15">
      <c r="A15" s="3" t="s">
        <v>28</v>
      </c>
      <c r="B15" s="3"/>
      <c r="C15" s="3"/>
      <c r="D15" s="3">
        <v>50.0</v>
      </c>
      <c r="E15" s="3">
        <v>0.0</v>
      </c>
      <c r="F15" s="3">
        <v>50.0</v>
      </c>
      <c r="G15" s="3">
        <v>0.0</v>
      </c>
      <c r="H15" s="3">
        <v>50.0</v>
      </c>
      <c r="I15" s="3">
        <v>0.0</v>
      </c>
      <c r="J15" s="3">
        <v>50.0</v>
      </c>
      <c r="K15" s="2">
        <f>0</f>
        <v>0</v>
      </c>
      <c r="L15" s="3">
        <v>50.0</v>
      </c>
      <c r="M15" s="3">
        <v>320.0</v>
      </c>
      <c r="N15" s="3">
        <v>50.0</v>
      </c>
      <c r="O15" s="3">
        <v>0.0</v>
      </c>
      <c r="P15" s="3">
        <v>50.0</v>
      </c>
      <c r="Q15" s="3">
        <v>0.0</v>
      </c>
      <c r="R15" s="3">
        <v>50.0</v>
      </c>
      <c r="S15" s="3">
        <v>0.0</v>
      </c>
      <c r="T15" s="3">
        <v>50.0</v>
      </c>
      <c r="U15" s="3">
        <v>0.0</v>
      </c>
      <c r="V15" s="3">
        <v>50.0</v>
      </c>
      <c r="W15" s="3">
        <v>0.0</v>
      </c>
      <c r="X15" s="3">
        <v>50.0</v>
      </c>
      <c r="Y15" s="3">
        <v>0.0</v>
      </c>
      <c r="Z15" s="3">
        <v>50.0</v>
      </c>
      <c r="AA15" s="3">
        <v>50.0</v>
      </c>
      <c r="AB15" s="2"/>
    </row>
    <row r="16">
      <c r="A16" s="3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2"/>
      <c r="L16" s="3">
        <v>62.47</v>
      </c>
      <c r="M16" s="3">
        <v>62.47</v>
      </c>
      <c r="N16" s="3">
        <v>62.47</v>
      </c>
      <c r="O16" s="3">
        <v>62.47</v>
      </c>
      <c r="P16" s="3">
        <v>62.47</v>
      </c>
      <c r="Q16" s="3">
        <v>62.47</v>
      </c>
      <c r="R16" s="3">
        <v>62.47</v>
      </c>
      <c r="S16" s="3">
        <v>62.47</v>
      </c>
      <c r="T16" s="3">
        <v>62.47</v>
      </c>
      <c r="U16" s="3">
        <v>62.47</v>
      </c>
      <c r="V16" s="3">
        <v>62.47</v>
      </c>
      <c r="W16" s="3">
        <v>62.47</v>
      </c>
      <c r="X16" s="3">
        <v>62.47</v>
      </c>
      <c r="Y16" s="3">
        <v>62.47</v>
      </c>
      <c r="Z16" s="3">
        <v>62.47</v>
      </c>
      <c r="AA16" s="3">
        <v>62.47</v>
      </c>
      <c r="AB16" s="2"/>
    </row>
    <row r="17">
      <c r="A17" s="3" t="s">
        <v>30</v>
      </c>
      <c r="B17" s="3"/>
      <c r="C17" s="3"/>
      <c r="D17" s="3"/>
      <c r="E17" s="3"/>
      <c r="F17" s="3"/>
      <c r="G17" s="3"/>
      <c r="H17" s="3"/>
      <c r="I17" s="3"/>
      <c r="J17" s="3"/>
      <c r="K17" s="2"/>
      <c r="L17" s="3">
        <v>13.96</v>
      </c>
      <c r="M17" s="3">
        <v>13.96</v>
      </c>
      <c r="N17" s="3">
        <v>13.96</v>
      </c>
      <c r="O17" s="3">
        <v>13.96</v>
      </c>
      <c r="P17" s="3">
        <v>13.96</v>
      </c>
      <c r="Q17" s="3">
        <v>13.96</v>
      </c>
      <c r="R17" s="3">
        <v>13.96</v>
      </c>
      <c r="S17" s="3">
        <v>13.96</v>
      </c>
      <c r="T17" s="3">
        <v>13.96</v>
      </c>
      <c r="U17" s="3">
        <v>13.96</v>
      </c>
      <c r="V17" s="3">
        <v>13.96</v>
      </c>
      <c r="W17" s="3">
        <v>13.96</v>
      </c>
      <c r="X17" s="3">
        <v>13.96</v>
      </c>
      <c r="Y17" s="3">
        <v>13.96</v>
      </c>
      <c r="Z17" s="3">
        <v>13.96</v>
      </c>
      <c r="AA17" s="3">
        <v>13.96</v>
      </c>
      <c r="AB17" s="2"/>
    </row>
    <row r="18">
      <c r="A18" s="3" t="s">
        <v>31</v>
      </c>
      <c r="B18" s="3"/>
      <c r="C18" s="3"/>
      <c r="D18" s="3"/>
      <c r="E18" s="3"/>
      <c r="F18" s="3"/>
      <c r="G18" s="2"/>
      <c r="H18" s="3"/>
      <c r="I18" s="2"/>
      <c r="J18" s="3"/>
      <c r="K18" s="2"/>
      <c r="L18" s="3">
        <v>89.0</v>
      </c>
      <c r="M18" s="3">
        <v>0.0</v>
      </c>
      <c r="N18" s="3">
        <v>89.0</v>
      </c>
      <c r="O18" s="3">
        <f>99.9+77.67+3.23+5.31</f>
        <v>186.11</v>
      </c>
      <c r="P18" s="3">
        <f>99.9</f>
        <v>99.9</v>
      </c>
      <c r="Q18" s="3">
        <v>99.9</v>
      </c>
      <c r="R18" s="3">
        <f>99.9</f>
        <v>99.9</v>
      </c>
      <c r="S18" s="3">
        <v>99.9</v>
      </c>
      <c r="T18" s="3">
        <f>99.9</f>
        <v>99.9</v>
      </c>
      <c r="U18" s="3">
        <v>109.99</v>
      </c>
      <c r="V18" s="3">
        <v>109.99</v>
      </c>
      <c r="W18" s="3">
        <v>154.55</v>
      </c>
      <c r="X18" s="3">
        <v>109.99</v>
      </c>
      <c r="Y18" s="3">
        <v>109.82</v>
      </c>
      <c r="Z18" s="3">
        <v>109.99</v>
      </c>
      <c r="AA18" s="3">
        <v>99.9</v>
      </c>
      <c r="AB18" s="2"/>
    </row>
    <row r="19">
      <c r="A19" s="3" t="s">
        <v>32</v>
      </c>
      <c r="B19" s="3"/>
      <c r="C19" s="3"/>
      <c r="D19" s="3"/>
      <c r="E19" s="3"/>
      <c r="F19" s="3"/>
      <c r="G19" s="2"/>
      <c r="H19" s="3"/>
      <c r="I19" s="2"/>
      <c r="J19" s="3"/>
      <c r="K19" s="2"/>
      <c r="L19" s="3">
        <v>89.0</v>
      </c>
      <c r="M19" s="3">
        <v>89.0</v>
      </c>
      <c r="N19" s="3">
        <v>89.0</v>
      </c>
      <c r="O19" s="3">
        <v>89.0</v>
      </c>
      <c r="P19" s="3">
        <v>89.0</v>
      </c>
      <c r="Q19" s="3">
        <v>89.0</v>
      </c>
      <c r="R19" s="3">
        <v>89.0</v>
      </c>
      <c r="S19" s="3">
        <v>89.0</v>
      </c>
      <c r="T19" s="3">
        <v>89.0</v>
      </c>
      <c r="U19" s="3">
        <v>0.0</v>
      </c>
      <c r="V19" s="3">
        <v>89.0</v>
      </c>
      <c r="W19" s="3">
        <f>20.25*2</f>
        <v>40.5</v>
      </c>
      <c r="X19" s="3">
        <v>89.0</v>
      </c>
      <c r="Y19" s="3">
        <f>20.25+10.51</f>
        <v>30.76</v>
      </c>
      <c r="Z19" s="3">
        <v>89.0</v>
      </c>
      <c r="AA19" s="3">
        <v>89.0</v>
      </c>
      <c r="AB19" s="2"/>
    </row>
    <row r="20">
      <c r="A20" s="3" t="s">
        <v>33</v>
      </c>
      <c r="B20" s="3"/>
      <c r="C20" s="3"/>
      <c r="D20" s="3">
        <v>100.0</v>
      </c>
      <c r="E20" s="3">
        <f>10+26.1+22.46+30.06+10</f>
        <v>98.62</v>
      </c>
      <c r="F20" s="3">
        <v>100.0</v>
      </c>
      <c r="G20" s="2">
        <f>25.16+10+27.72+29.92</f>
        <v>92.8</v>
      </c>
      <c r="H20" s="3">
        <v>100.0</v>
      </c>
      <c r="I20" s="2">
        <f>40.07+37.47+7.95+10</f>
        <v>95.49</v>
      </c>
      <c r="J20" s="3">
        <v>100.0</v>
      </c>
      <c r="K20" s="2">
        <f>33.46+10+10+40.9</f>
        <v>94.36</v>
      </c>
      <c r="L20" s="3">
        <v>50.0</v>
      </c>
      <c r="M20" s="3">
        <f>38.79+20.01+29.67+59.36+39.1+13.32</f>
        <v>200.25</v>
      </c>
      <c r="N20" s="3">
        <v>75.0</v>
      </c>
      <c r="O20" s="2">
        <f>10.45+40.56+35.62+34.81+41.35</f>
        <v>162.79</v>
      </c>
      <c r="P20" s="3">
        <v>75.0</v>
      </c>
      <c r="Q20" s="3">
        <f>40.53+37.25</f>
        <v>77.78</v>
      </c>
      <c r="R20" s="3">
        <v>75.0</v>
      </c>
      <c r="S20" s="2">
        <f>42.16+19.86+33.12+35.46</f>
        <v>130.6</v>
      </c>
      <c r="T20" s="3">
        <v>75.0</v>
      </c>
      <c r="U20" s="2">
        <f>41.47+39.09</f>
        <v>80.56</v>
      </c>
      <c r="V20" s="3">
        <v>75.0</v>
      </c>
      <c r="W20" s="3">
        <f>32.93+38.52+35.48+37.6</f>
        <v>144.53</v>
      </c>
      <c r="X20" s="3">
        <v>75.0</v>
      </c>
      <c r="Y20" s="3">
        <v>120.0</v>
      </c>
      <c r="Z20" s="3">
        <v>75.0</v>
      </c>
      <c r="AA20" s="3">
        <f>43.58+47.49+1+35.49</f>
        <v>127.56</v>
      </c>
      <c r="AB20" s="2"/>
    </row>
    <row r="21">
      <c r="A21" s="3" t="s">
        <v>34</v>
      </c>
      <c r="B21" s="3"/>
      <c r="C21" s="3"/>
      <c r="D21" s="3">
        <v>160.0</v>
      </c>
      <c r="E21" s="3">
        <v>160.0</v>
      </c>
      <c r="F21" s="3">
        <v>160.0</v>
      </c>
      <c r="G21" s="3">
        <v>160.0</v>
      </c>
      <c r="H21" s="3">
        <v>160.0</v>
      </c>
      <c r="I21" s="3">
        <v>160.0</v>
      </c>
      <c r="J21" s="3">
        <v>160.0</v>
      </c>
      <c r="K21" s="3">
        <v>80.0</v>
      </c>
      <c r="L21" s="3">
        <v>160.0</v>
      </c>
      <c r="M21" s="3">
        <f>160</f>
        <v>160</v>
      </c>
      <c r="N21" s="3">
        <v>160.0</v>
      </c>
      <c r="O21" s="3">
        <v>160.0</v>
      </c>
      <c r="P21" s="3">
        <v>160.0</v>
      </c>
      <c r="Q21" s="3">
        <v>160.0</v>
      </c>
      <c r="R21" s="3">
        <v>160.0</v>
      </c>
      <c r="S21" s="3">
        <v>160.0</v>
      </c>
      <c r="T21" s="3">
        <v>160.0</v>
      </c>
      <c r="U21" s="3">
        <v>160.0</v>
      </c>
      <c r="V21" s="3">
        <v>160.0</v>
      </c>
      <c r="W21" s="3">
        <v>160.0</v>
      </c>
      <c r="X21" s="3">
        <v>160.0</v>
      </c>
      <c r="Y21" s="3">
        <v>160.0</v>
      </c>
      <c r="Z21" s="3">
        <v>160.0</v>
      </c>
      <c r="AA21" s="3">
        <f>80+102.69</f>
        <v>182.69</v>
      </c>
      <c r="AB21" s="2"/>
    </row>
    <row r="22">
      <c r="A22" s="3" t="s">
        <v>58</v>
      </c>
      <c r="B22" s="3"/>
      <c r="C22" s="2"/>
      <c r="D22" s="3">
        <v>56.57</v>
      </c>
      <c r="E22" s="3">
        <v>56.57</v>
      </c>
      <c r="F22" s="3">
        <v>56.57</v>
      </c>
      <c r="G22" s="3">
        <v>56.57</v>
      </c>
      <c r="H22" s="3">
        <v>56.57</v>
      </c>
      <c r="I22" s="3">
        <v>56.57</v>
      </c>
      <c r="J22" s="3">
        <v>56.57</v>
      </c>
      <c r="K22" s="3">
        <v>56.57</v>
      </c>
      <c r="L22" s="3">
        <v>27.0</v>
      </c>
      <c r="M22" s="3">
        <f>27</f>
        <v>27</v>
      </c>
      <c r="N22" s="3">
        <v>27.0</v>
      </c>
      <c r="O22" s="3">
        <v>27.0</v>
      </c>
      <c r="P22" s="3">
        <v>27.0</v>
      </c>
      <c r="Q22" s="3">
        <v>27.0</v>
      </c>
      <c r="R22" s="3">
        <v>27.0</v>
      </c>
      <c r="S22" s="3">
        <v>27.0</v>
      </c>
      <c r="T22" s="3">
        <v>27.0</v>
      </c>
      <c r="U22" s="3">
        <v>27.0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2"/>
    </row>
    <row r="23">
      <c r="A23" s="3" t="s">
        <v>59</v>
      </c>
      <c r="B23" s="3"/>
      <c r="C23" s="2"/>
      <c r="D23" s="3">
        <v>48.95</v>
      </c>
      <c r="E23" s="3">
        <v>48.95</v>
      </c>
      <c r="F23" s="3">
        <v>48.95</v>
      </c>
      <c r="G23" s="3">
        <v>48.95</v>
      </c>
      <c r="H23" s="3">
        <v>48.95</v>
      </c>
      <c r="I23" s="3">
        <v>48.95</v>
      </c>
      <c r="J23" s="3">
        <v>48.95</v>
      </c>
      <c r="K23" s="3">
        <v>48.95</v>
      </c>
      <c r="L23" s="3">
        <v>48.95</v>
      </c>
      <c r="M23" s="3">
        <v>48.95</v>
      </c>
      <c r="N23" s="3">
        <v>48.95</v>
      </c>
      <c r="O23" s="3">
        <v>48.95</v>
      </c>
      <c r="P23" s="3">
        <v>48.95</v>
      </c>
      <c r="Q23" s="3">
        <v>48.95</v>
      </c>
      <c r="R23" s="3">
        <v>48.95</v>
      </c>
      <c r="S23" s="3">
        <v>48.95</v>
      </c>
      <c r="T23" s="3">
        <v>48.95</v>
      </c>
      <c r="U23" s="3">
        <v>48.95</v>
      </c>
      <c r="V23" s="3">
        <v>41.62</v>
      </c>
      <c r="W23" s="3">
        <v>41.62</v>
      </c>
      <c r="X23" s="3">
        <v>41.62</v>
      </c>
      <c r="Y23" s="3">
        <v>41.62</v>
      </c>
      <c r="Z23" s="3">
        <v>41.62</v>
      </c>
      <c r="AA23" s="3">
        <v>41.62</v>
      </c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2"/>
      <c r="W24" s="2"/>
      <c r="X24" s="2"/>
      <c r="Y24" s="2"/>
      <c r="Z24" s="2"/>
      <c r="AA24" s="2"/>
      <c r="AB24" s="2"/>
    </row>
    <row r="25">
      <c r="A25" s="4" t="s">
        <v>37</v>
      </c>
      <c r="B25" s="4"/>
      <c r="C25" s="4"/>
      <c r="D25" s="2">
        <f t="shared" ref="D25:AA25" si="3">sum(D26:D31)</f>
        <v>2000</v>
      </c>
      <c r="E25" s="2">
        <f t="shared" si="3"/>
        <v>2000</v>
      </c>
      <c r="F25" s="2">
        <f t="shared" si="3"/>
        <v>2000</v>
      </c>
      <c r="G25" s="2">
        <f t="shared" si="3"/>
        <v>2050</v>
      </c>
      <c r="H25" s="2">
        <f t="shared" si="3"/>
        <v>2100</v>
      </c>
      <c r="I25" s="2">
        <f t="shared" si="3"/>
        <v>4308.91</v>
      </c>
      <c r="J25" s="2">
        <f t="shared" si="3"/>
        <v>2550</v>
      </c>
      <c r="K25" s="2">
        <f t="shared" si="3"/>
        <v>4250</v>
      </c>
      <c r="L25" s="2">
        <f t="shared" si="3"/>
        <v>850</v>
      </c>
      <c r="M25" s="2">
        <f t="shared" si="3"/>
        <v>600</v>
      </c>
      <c r="N25" s="2">
        <f t="shared" si="3"/>
        <v>900</v>
      </c>
      <c r="O25" s="2">
        <f t="shared" si="3"/>
        <v>300</v>
      </c>
      <c r="P25" s="2">
        <f t="shared" si="3"/>
        <v>650</v>
      </c>
      <c r="Q25" s="2">
        <f t="shared" si="3"/>
        <v>250</v>
      </c>
      <c r="R25" s="2">
        <f t="shared" si="3"/>
        <v>650</v>
      </c>
      <c r="S25" s="2">
        <f t="shared" si="3"/>
        <v>450</v>
      </c>
      <c r="T25" s="2">
        <f t="shared" si="3"/>
        <v>1850</v>
      </c>
      <c r="U25" s="2">
        <f t="shared" si="3"/>
        <v>750</v>
      </c>
      <c r="V25" s="2">
        <f t="shared" si="3"/>
        <v>650</v>
      </c>
      <c r="W25" s="2">
        <f t="shared" si="3"/>
        <v>75</v>
      </c>
      <c r="X25" s="2">
        <f t="shared" si="3"/>
        <v>350</v>
      </c>
      <c r="Y25" s="2">
        <f t="shared" si="3"/>
        <v>0</v>
      </c>
      <c r="Z25" s="2">
        <f t="shared" si="3"/>
        <v>450</v>
      </c>
      <c r="AA25" s="2">
        <f t="shared" si="3"/>
        <v>150</v>
      </c>
      <c r="AB25" s="2"/>
    </row>
    <row r="26">
      <c r="A26" s="3" t="s">
        <v>38</v>
      </c>
      <c r="B26" s="3"/>
      <c r="C26" s="3"/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100.0</v>
      </c>
      <c r="M26" s="3">
        <v>0.0</v>
      </c>
      <c r="N26" s="3">
        <v>100.0</v>
      </c>
      <c r="O26" s="3">
        <v>100.0</v>
      </c>
      <c r="P26" s="3">
        <v>100.0</v>
      </c>
      <c r="Q26" s="3">
        <v>100.0</v>
      </c>
      <c r="R26" s="3">
        <v>100.0</v>
      </c>
      <c r="S26" s="3">
        <v>200.0</v>
      </c>
      <c r="T26" s="3">
        <v>200.0</v>
      </c>
      <c r="U26" s="3">
        <v>100.0</v>
      </c>
      <c r="V26" s="3">
        <v>100.0</v>
      </c>
      <c r="W26" s="3">
        <v>0.0</v>
      </c>
      <c r="X26" s="3">
        <v>100.0</v>
      </c>
      <c r="Y26" s="3">
        <v>0.0</v>
      </c>
      <c r="Z26" s="3">
        <v>100.0</v>
      </c>
      <c r="AA26" s="3">
        <v>100.0</v>
      </c>
      <c r="AB26" s="2"/>
    </row>
    <row r="27">
      <c r="A27" s="3" t="s">
        <v>39</v>
      </c>
      <c r="B27" s="3"/>
      <c r="C27" s="3"/>
      <c r="D27" s="3">
        <v>200.0</v>
      </c>
      <c r="E27" s="3">
        <v>200.0</v>
      </c>
      <c r="F27" s="3">
        <v>200.0</v>
      </c>
      <c r="G27" s="3">
        <v>250.0</v>
      </c>
      <c r="H27" s="3">
        <v>200.0</v>
      </c>
      <c r="I27" s="3">
        <v>350.0</v>
      </c>
      <c r="J27" s="3">
        <v>300.0</v>
      </c>
      <c r="K27" s="3">
        <v>0.0</v>
      </c>
      <c r="L27" s="3">
        <v>50.0</v>
      </c>
      <c r="M27" s="3">
        <v>0.0</v>
      </c>
      <c r="N27" s="3">
        <v>100.0</v>
      </c>
      <c r="O27" s="3">
        <v>0.0</v>
      </c>
      <c r="P27" s="3">
        <v>100.0</v>
      </c>
      <c r="Q27" s="3">
        <v>0.0</v>
      </c>
      <c r="R27" s="3">
        <v>100.0</v>
      </c>
      <c r="S27" s="3">
        <v>50.0</v>
      </c>
      <c r="T27" s="3">
        <v>100.0</v>
      </c>
      <c r="U27" s="3">
        <v>0.0</v>
      </c>
      <c r="V27" s="3">
        <v>100.0</v>
      </c>
      <c r="W27" s="3">
        <v>0.0</v>
      </c>
      <c r="X27" s="3">
        <v>50.0</v>
      </c>
      <c r="Y27" s="3">
        <v>0.0</v>
      </c>
      <c r="Z27" s="3">
        <v>100.0</v>
      </c>
      <c r="AA27" s="3">
        <v>50.0</v>
      </c>
      <c r="AB27" s="2"/>
    </row>
    <row r="28">
      <c r="A28" s="3" t="s">
        <v>40</v>
      </c>
      <c r="B28" s="3"/>
      <c r="C28" s="3"/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2"/>
    </row>
    <row r="29">
      <c r="A29" s="3" t="s">
        <v>41</v>
      </c>
      <c r="B29" s="3"/>
      <c r="C29" s="3"/>
      <c r="D29" s="3">
        <v>600.0</v>
      </c>
      <c r="E29" s="3">
        <v>600.0</v>
      </c>
      <c r="F29" s="3">
        <v>600.0</v>
      </c>
      <c r="G29" s="3">
        <v>600.0</v>
      </c>
      <c r="H29" s="3">
        <v>500.0</v>
      </c>
      <c r="I29" s="3">
        <v>558.91</v>
      </c>
      <c r="J29" s="3">
        <v>750.0</v>
      </c>
      <c r="K29" s="3">
        <v>750.0</v>
      </c>
      <c r="L29" s="3">
        <v>200.0</v>
      </c>
      <c r="M29" s="3">
        <v>200.0</v>
      </c>
      <c r="N29" s="3">
        <v>200.0</v>
      </c>
      <c r="O29" s="3">
        <v>200.0</v>
      </c>
      <c r="P29" s="3">
        <v>200.0</v>
      </c>
      <c r="Q29" s="3">
        <v>100.0</v>
      </c>
      <c r="R29" s="3">
        <v>200.0</v>
      </c>
      <c r="S29" s="3">
        <v>150.0</v>
      </c>
      <c r="T29" s="3">
        <v>750.0</v>
      </c>
      <c r="U29" s="3">
        <v>350.0</v>
      </c>
      <c r="V29" s="3">
        <v>200.0</v>
      </c>
      <c r="W29" s="3">
        <v>75.0</v>
      </c>
      <c r="X29" s="3">
        <v>100.0</v>
      </c>
      <c r="Y29" s="3">
        <v>0.0</v>
      </c>
      <c r="Z29" s="3">
        <v>100.0</v>
      </c>
      <c r="AA29" s="3">
        <v>0.0</v>
      </c>
      <c r="AB29" s="2"/>
    </row>
    <row r="30">
      <c r="A30" s="3" t="s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>
        <v>100.0</v>
      </c>
      <c r="M30" s="3">
        <v>100.0</v>
      </c>
      <c r="N30" s="3">
        <v>100.0</v>
      </c>
      <c r="O30" s="3">
        <v>0.0</v>
      </c>
      <c r="P30" s="3">
        <v>200.0</v>
      </c>
      <c r="Q30" s="3">
        <v>50.0</v>
      </c>
      <c r="R30" s="3">
        <v>200.0</v>
      </c>
      <c r="S30" s="3">
        <v>50.0</v>
      </c>
      <c r="T30" s="3">
        <v>300.0</v>
      </c>
      <c r="U30" s="3">
        <v>200.0</v>
      </c>
      <c r="V30" s="3">
        <v>200.0</v>
      </c>
      <c r="W30" s="3">
        <v>0.0</v>
      </c>
      <c r="X30" s="3">
        <v>50.0</v>
      </c>
      <c r="Y30" s="3">
        <v>0.0</v>
      </c>
      <c r="Z30" s="3">
        <v>100.0</v>
      </c>
      <c r="AA30" s="3">
        <v>0.0</v>
      </c>
      <c r="AB30" s="2"/>
    </row>
    <row r="31">
      <c r="A31" s="3" t="s">
        <v>43</v>
      </c>
      <c r="B31" s="3"/>
      <c r="C31" s="3"/>
      <c r="D31" s="3">
        <v>1200.0</v>
      </c>
      <c r="E31" s="3">
        <v>1200.0</v>
      </c>
      <c r="F31" s="3">
        <v>1200.0</v>
      </c>
      <c r="G31" s="3">
        <v>1200.0</v>
      </c>
      <c r="H31" s="3">
        <v>1400.0</v>
      </c>
      <c r="I31" s="3">
        <v>3400.0</v>
      </c>
      <c r="J31" s="3">
        <v>1500.0</v>
      </c>
      <c r="K31" s="3">
        <v>3500.0</v>
      </c>
      <c r="L31" s="3">
        <v>400.0</v>
      </c>
      <c r="M31" s="3">
        <v>300.0</v>
      </c>
      <c r="N31" s="3">
        <v>400.0</v>
      </c>
      <c r="O31" s="3">
        <v>0.0</v>
      </c>
      <c r="P31" s="3">
        <v>50.0</v>
      </c>
      <c r="Q31" s="3">
        <v>0.0</v>
      </c>
      <c r="R31" s="3">
        <v>50.0</v>
      </c>
      <c r="S31" s="3">
        <v>0.0</v>
      </c>
      <c r="T31" s="3">
        <v>500.0</v>
      </c>
      <c r="U31" s="3">
        <v>100.0</v>
      </c>
      <c r="V31" s="3">
        <v>50.0</v>
      </c>
      <c r="W31" s="3">
        <v>0.0</v>
      </c>
      <c r="X31" s="3">
        <v>50.0</v>
      </c>
      <c r="Y31" s="3">
        <v>0.0</v>
      </c>
      <c r="Z31" s="3">
        <v>50.0</v>
      </c>
      <c r="AA31" s="3">
        <v>0.0</v>
      </c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6" t="s">
        <v>44</v>
      </c>
      <c r="B33" s="6"/>
      <c r="C33" s="6"/>
      <c r="D33" s="2">
        <f t="shared" ref="D33:AA33" si="4">D3-D6-D25</f>
        <v>182.95</v>
      </c>
      <c r="E33" s="2">
        <f t="shared" si="4"/>
        <v>-328.52</v>
      </c>
      <c r="F33" s="2">
        <f t="shared" si="4"/>
        <v>182.95</v>
      </c>
      <c r="G33" s="2">
        <f t="shared" si="4"/>
        <v>377.65</v>
      </c>
      <c r="H33" s="2">
        <f t="shared" si="4"/>
        <v>82.95</v>
      </c>
      <c r="I33" s="2">
        <f t="shared" si="4"/>
        <v>585.63</v>
      </c>
      <c r="J33" s="2">
        <f t="shared" si="4"/>
        <v>1232.185</v>
      </c>
      <c r="K33" s="2">
        <f t="shared" si="4"/>
        <v>947.55</v>
      </c>
      <c r="L33" s="2">
        <f t="shared" si="4"/>
        <v>1114.66</v>
      </c>
      <c r="M33" s="2">
        <f t="shared" si="4"/>
        <v>-2272.34</v>
      </c>
      <c r="N33" s="2">
        <f t="shared" si="4"/>
        <v>34.66</v>
      </c>
      <c r="O33" s="2">
        <f t="shared" si="4"/>
        <v>727.32</v>
      </c>
      <c r="P33" s="2">
        <f t="shared" si="4"/>
        <v>303.76</v>
      </c>
      <c r="Q33" s="2">
        <f t="shared" si="4"/>
        <v>-902.11</v>
      </c>
      <c r="R33" s="2">
        <f t="shared" si="4"/>
        <v>203.76</v>
      </c>
      <c r="S33" s="2">
        <f t="shared" si="4"/>
        <v>-912.33</v>
      </c>
      <c r="T33" s="2">
        <f t="shared" si="4"/>
        <v>676.28</v>
      </c>
      <c r="U33" s="2">
        <f t="shared" si="4"/>
        <v>377.23</v>
      </c>
      <c r="V33" s="2">
        <f t="shared" si="4"/>
        <v>198</v>
      </c>
      <c r="W33" s="2">
        <f t="shared" si="4"/>
        <v>522.35</v>
      </c>
      <c r="X33" s="2">
        <f t="shared" si="4"/>
        <v>192.96</v>
      </c>
      <c r="Y33" s="2">
        <f t="shared" si="4"/>
        <v>-139.938</v>
      </c>
      <c r="Z33" s="2">
        <f t="shared" si="4"/>
        <v>398</v>
      </c>
      <c r="AA33" s="2">
        <f t="shared" si="4"/>
        <v>-585.75</v>
      </c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" t="s">
        <v>45</v>
      </c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3" t="s">
        <v>46</v>
      </c>
      <c r="B38" s="7">
        <v>500.0</v>
      </c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3" t="s">
        <v>47</v>
      </c>
      <c r="B39" s="7">
        <v>200.56</v>
      </c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3" t="s">
        <v>38</v>
      </c>
      <c r="B40" s="7">
        <v>5200.0</v>
      </c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3" t="s">
        <v>41</v>
      </c>
      <c r="B41" s="7">
        <v>24000.0</v>
      </c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3" t="s">
        <v>48</v>
      </c>
      <c r="B42" s="7">
        <v>27000.0</v>
      </c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3" t="s">
        <v>49</v>
      </c>
      <c r="B43" s="7">
        <v>3200.0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3" t="s">
        <v>50</v>
      </c>
      <c r="B44" s="7">
        <v>18000.0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3" t="s">
        <v>42</v>
      </c>
      <c r="B45" s="7">
        <v>2000.0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3" t="s">
        <v>51</v>
      </c>
      <c r="B46" s="7">
        <v>1000.0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3" t="s">
        <v>52</v>
      </c>
      <c r="B47" s="7">
        <v>58000.0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 t="s">
        <v>53</v>
      </c>
      <c r="B48" s="7">
        <f>IFERROR(__xludf.DUMMYFUNCTION("(15000/18)*GOOGLEFINANCE(""COOK"")"),2583.3333333333335)</f>
        <v>2583.333333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 t="s">
        <v>54</v>
      </c>
      <c r="B49" s="7">
        <v>250.0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 t="s">
        <v>56</v>
      </c>
      <c r="B50" s="2">
        <f>sum(B38:B49)</f>
        <v>141933.8933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</sheetData>
  <mergeCells count="12">
    <mergeCell ref="R1:S1"/>
    <mergeCell ref="T1:U1"/>
    <mergeCell ref="V1:W1"/>
    <mergeCell ref="X1:Y1"/>
    <mergeCell ref="Z1:AA1"/>
    <mergeCell ref="D1:E1"/>
    <mergeCell ref="F1:G1"/>
    <mergeCell ref="H1:I1"/>
    <mergeCell ref="J1:K1"/>
    <mergeCell ref="L1:M1"/>
    <mergeCell ref="N1:O1"/>
    <mergeCell ref="P1:Q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1.38"/>
    <col customWidth="1" min="2" max="2" width="13.88"/>
  </cols>
  <sheetData>
    <row r="1">
      <c r="A1" s="1" t="s">
        <v>0</v>
      </c>
      <c r="B1" s="1"/>
      <c r="C1" s="1" t="s">
        <v>5</v>
      </c>
      <c r="D1" s="8"/>
      <c r="E1" s="1" t="s">
        <v>6</v>
      </c>
      <c r="F1" s="8"/>
      <c r="G1" s="1" t="s">
        <v>7</v>
      </c>
      <c r="H1" s="8"/>
      <c r="I1" s="1" t="s">
        <v>8</v>
      </c>
      <c r="J1" s="8"/>
      <c r="K1" s="1" t="s">
        <v>9</v>
      </c>
      <c r="L1" s="8"/>
      <c r="M1" s="1" t="s">
        <v>10</v>
      </c>
      <c r="N1" s="8"/>
      <c r="O1" s="1" t="s">
        <v>11</v>
      </c>
      <c r="P1" s="8"/>
      <c r="Q1" s="1" t="s">
        <v>12</v>
      </c>
      <c r="R1" s="8"/>
      <c r="S1" s="1" t="s">
        <v>13</v>
      </c>
      <c r="U1" s="2"/>
      <c r="V1" s="2"/>
      <c r="W1" s="2"/>
      <c r="X1" s="2"/>
      <c r="Y1" s="2"/>
      <c r="Z1" s="2"/>
      <c r="AA1" s="2"/>
    </row>
    <row r="2">
      <c r="A2" s="9"/>
      <c r="B2" s="9"/>
      <c r="C2" s="6" t="s">
        <v>14</v>
      </c>
      <c r="D2" s="10" t="s">
        <v>15</v>
      </c>
      <c r="E2" s="6" t="s">
        <v>14</v>
      </c>
      <c r="F2" s="10" t="s">
        <v>15</v>
      </c>
      <c r="G2" s="6" t="s">
        <v>14</v>
      </c>
      <c r="H2" s="10" t="s">
        <v>15</v>
      </c>
      <c r="I2" s="6" t="s">
        <v>14</v>
      </c>
      <c r="J2" s="10" t="s">
        <v>15</v>
      </c>
      <c r="K2" s="6" t="s">
        <v>14</v>
      </c>
      <c r="L2" s="10" t="s">
        <v>15</v>
      </c>
      <c r="M2" s="6" t="s">
        <v>14</v>
      </c>
      <c r="N2" s="10" t="s">
        <v>15</v>
      </c>
      <c r="O2" s="6" t="s">
        <v>14</v>
      </c>
      <c r="P2" s="10" t="s">
        <v>15</v>
      </c>
      <c r="Q2" s="6" t="s">
        <v>14</v>
      </c>
      <c r="R2" s="10" t="s">
        <v>15</v>
      </c>
      <c r="S2" s="6" t="s">
        <v>14</v>
      </c>
      <c r="T2" s="6" t="s">
        <v>15</v>
      </c>
      <c r="U2" s="9"/>
      <c r="V2" s="9"/>
      <c r="W2" s="9"/>
      <c r="X2" s="9"/>
      <c r="Y2" s="9"/>
      <c r="Z2" s="9"/>
      <c r="AA2" s="9"/>
    </row>
    <row r="3">
      <c r="A3" s="4" t="s">
        <v>16</v>
      </c>
      <c r="B3" s="4"/>
      <c r="C3" s="3">
        <f t="shared" ref="C3:E3" si="1">C4</f>
        <v>3400</v>
      </c>
      <c r="D3" s="11">
        <f t="shared" si="1"/>
        <v>3602.17</v>
      </c>
      <c r="E3" s="3">
        <f t="shared" si="1"/>
        <v>5378.24</v>
      </c>
      <c r="F3" s="12">
        <f>F4+F5</f>
        <v>5150.33</v>
      </c>
      <c r="G3" s="3">
        <f>G4</f>
        <v>3602.17</v>
      </c>
      <c r="H3" s="3">
        <f>H4 + H5</f>
        <v>8652.17</v>
      </c>
      <c r="I3" s="3">
        <f t="shared" ref="I3:T3" si="2">I4</f>
        <v>3198.47</v>
      </c>
      <c r="J3" s="3">
        <f t="shared" si="2"/>
        <v>3439.3</v>
      </c>
      <c r="K3" s="3">
        <f t="shared" si="2"/>
        <v>3265.02</v>
      </c>
      <c r="L3" s="3">
        <f t="shared" si="2"/>
        <v>3264.99</v>
      </c>
      <c r="M3" s="3">
        <f t="shared" si="2"/>
        <v>3265.02</v>
      </c>
      <c r="N3" s="3">
        <f t="shared" si="2"/>
        <v>3265.01</v>
      </c>
      <c r="O3" s="3">
        <f t="shared" si="2"/>
        <v>4872.53</v>
      </c>
      <c r="P3" s="3">
        <f t="shared" si="2"/>
        <v>5204.61</v>
      </c>
      <c r="Q3" s="3">
        <f t="shared" si="2"/>
        <v>3265.02</v>
      </c>
      <c r="R3" s="3">
        <f t="shared" si="2"/>
        <v>3306.61</v>
      </c>
      <c r="S3" s="3">
        <f t="shared" si="2"/>
        <v>3265.02</v>
      </c>
      <c r="T3" s="3">
        <f t="shared" si="2"/>
        <v>3306.62</v>
      </c>
      <c r="U3" s="2"/>
      <c r="V3" s="2"/>
      <c r="W3" s="2"/>
      <c r="X3" s="2"/>
      <c r="Y3" s="2"/>
      <c r="Z3" s="2"/>
      <c r="AA3" s="2"/>
    </row>
    <row r="4">
      <c r="A4" s="3" t="s">
        <v>17</v>
      </c>
      <c r="B4" s="3"/>
      <c r="C4" s="3">
        <v>3400.0</v>
      </c>
      <c r="D4" s="11">
        <f>1776.08+1826.09</f>
        <v>3602.17</v>
      </c>
      <c r="E4" s="3">
        <v>5378.24</v>
      </c>
      <c r="F4" s="11">
        <f>1776.07+1826.08-227.9+1776.08</f>
        <v>5150.33</v>
      </c>
      <c r="G4" s="3">
        <v>3602.17</v>
      </c>
      <c r="H4" s="11">
        <f>1826.09 + 1826.08</f>
        <v>3652.17</v>
      </c>
      <c r="I4" s="3">
        <v>3198.47</v>
      </c>
      <c r="J4" s="11">
        <f>1607.51+1831.79</f>
        <v>3439.3</v>
      </c>
      <c r="K4" s="3">
        <f>1607.51*2 + 50</f>
        <v>3265.02</v>
      </c>
      <c r="L4" s="11">
        <f>1607.5*2+50-0.01</f>
        <v>3264.99</v>
      </c>
      <c r="M4" s="3">
        <f>1607.51*2 + 50</f>
        <v>3265.02</v>
      </c>
      <c r="N4" s="3">
        <f>1607.51+1657.5</f>
        <v>3265.01</v>
      </c>
      <c r="O4" s="3">
        <f>1607.51*3 + 50</f>
        <v>4872.53</v>
      </c>
      <c r="P4" s="3">
        <f>1607.5+1897.98+1657.51+41.62</f>
        <v>5204.61</v>
      </c>
      <c r="Q4" s="3">
        <f>1607.51*2 + 50</f>
        <v>3265.02</v>
      </c>
      <c r="R4" s="3">
        <f>1607.49+1657.5+41.62</f>
        <v>3306.61</v>
      </c>
      <c r="S4" s="3">
        <f>1607.51*2 + 50</f>
        <v>3265.02</v>
      </c>
      <c r="T4" s="3">
        <f>1607.5*2 + 50 + 41.62</f>
        <v>3306.62</v>
      </c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12"/>
      <c r="E5" s="3"/>
      <c r="F5" s="11"/>
      <c r="G5" s="3" t="s">
        <v>60</v>
      </c>
      <c r="H5" s="11">
        <v>5000.0</v>
      </c>
      <c r="I5" s="2"/>
      <c r="J5" s="12"/>
      <c r="K5" s="2"/>
      <c r="L5" s="1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 t="s">
        <v>18</v>
      </c>
      <c r="B6" s="4"/>
      <c r="C6" s="2">
        <f t="shared" ref="C6:T6" si="3">sum(C7:C17)</f>
        <v>1437.21</v>
      </c>
      <c r="D6" s="2">
        <f t="shared" si="3"/>
        <v>1217.9</v>
      </c>
      <c r="E6" s="2">
        <f t="shared" si="3"/>
        <v>1473.87</v>
      </c>
      <c r="F6" s="2">
        <f t="shared" si="3"/>
        <v>1021.49</v>
      </c>
      <c r="G6" s="2">
        <f t="shared" si="3"/>
        <v>1387.77</v>
      </c>
      <c r="H6" s="2">
        <f t="shared" si="3"/>
        <v>2282.36</v>
      </c>
      <c r="I6" s="2">
        <f t="shared" si="3"/>
        <v>959.57</v>
      </c>
      <c r="J6" s="2">
        <f t="shared" si="3"/>
        <v>1362.18</v>
      </c>
      <c r="K6" s="2">
        <f t="shared" si="3"/>
        <v>959.57</v>
      </c>
      <c r="L6" s="2">
        <f t="shared" si="3"/>
        <v>1349.51</v>
      </c>
      <c r="M6" s="2">
        <f t="shared" si="3"/>
        <v>1086.57</v>
      </c>
      <c r="N6" s="2">
        <f t="shared" si="3"/>
        <v>3155.77</v>
      </c>
      <c r="O6" s="2">
        <f t="shared" si="3"/>
        <v>1191.57</v>
      </c>
      <c r="P6" s="2">
        <f t="shared" si="3"/>
        <v>1317.33</v>
      </c>
      <c r="Q6" s="2">
        <f t="shared" si="3"/>
        <v>1090.52</v>
      </c>
      <c r="R6" s="2">
        <f t="shared" si="3"/>
        <v>2675.21</v>
      </c>
      <c r="S6" s="2">
        <f t="shared" si="3"/>
        <v>1010.52</v>
      </c>
      <c r="T6" s="2">
        <f t="shared" si="3"/>
        <v>2130.76</v>
      </c>
      <c r="U6" s="2"/>
      <c r="V6" s="2"/>
      <c r="W6" s="2"/>
      <c r="X6" s="2"/>
      <c r="Y6" s="2"/>
      <c r="Z6" s="2"/>
      <c r="AA6" s="2"/>
    </row>
    <row r="7">
      <c r="A7" s="3" t="s">
        <v>61</v>
      </c>
      <c r="B7" s="3"/>
      <c r="C7" s="3">
        <v>494.21</v>
      </c>
      <c r="D7" s="13">
        <v>494.21</v>
      </c>
      <c r="E7" s="3">
        <f>494.2+247.1</f>
        <v>741.3</v>
      </c>
      <c r="F7" s="11">
        <f>(247.1*2)+133.15</f>
        <v>627.35</v>
      </c>
      <c r="G7" s="3">
        <v>494.2</v>
      </c>
      <c r="H7" s="11">
        <f>247.1*5</f>
        <v>1235.5</v>
      </c>
      <c r="I7" s="3">
        <v>0.0</v>
      </c>
      <c r="J7" s="11">
        <v>0.0</v>
      </c>
      <c r="K7" s="3">
        <v>0.0</v>
      </c>
      <c r="L7" s="11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2"/>
      <c r="V7" s="2"/>
      <c r="W7" s="2"/>
      <c r="X7" s="2"/>
      <c r="Y7" s="2"/>
      <c r="Z7" s="2"/>
      <c r="AA7" s="2"/>
    </row>
    <row r="8">
      <c r="A8" s="3" t="s">
        <v>21</v>
      </c>
      <c r="B8" s="3"/>
      <c r="C8" s="3">
        <v>300.0</v>
      </c>
      <c r="D8" s="13">
        <f>43.61+66.95</f>
        <v>110.56</v>
      </c>
      <c r="E8" s="3">
        <v>200.0</v>
      </c>
      <c r="F8" s="11">
        <f>4+13.73</f>
        <v>17.73</v>
      </c>
      <c r="G8" s="3">
        <v>200.0</v>
      </c>
      <c r="H8" s="11">
        <f>10.06 + 66.95 +48.61 + 22.55 + 21.91 + 26 + 19.37 + 10.4</f>
        <v>225.85</v>
      </c>
      <c r="I8" s="3">
        <v>250.0</v>
      </c>
      <c r="J8" s="11">
        <f>14.43+28.25+10.98+8.56+35.8+32.68+2.58+3.08+3.47</f>
        <v>139.83</v>
      </c>
      <c r="K8" s="3">
        <v>250.0</v>
      </c>
      <c r="L8" s="11">
        <f>15.93+5.5+15.93+22.13+5.5+15.45+24.5</f>
        <v>104.94</v>
      </c>
      <c r="M8" s="3">
        <v>350.0</v>
      </c>
      <c r="N8" s="3">
        <f>13.5+28.98+85+239.36+79.84+11.19+38.49+27.5+17.94+10+4.84+30.98+7.18</f>
        <v>594.8</v>
      </c>
      <c r="O8" s="3">
        <v>350.0</v>
      </c>
      <c r="P8" s="3">
        <f>71.48+13.19+24.75+7.4+20</f>
        <v>136.82</v>
      </c>
      <c r="Q8" s="3">
        <v>350.0</v>
      </c>
      <c r="R8" s="3">
        <f>5.78+31.55+6.62+9.56+14.46+66.95+2.15+9.4+13.68+44.23</f>
        <v>204.38</v>
      </c>
      <c r="S8" s="3">
        <v>350.0</v>
      </c>
      <c r="T8" s="3">
        <f>18+23.5+18.82+100.32+10.56+25</f>
        <v>196.2</v>
      </c>
      <c r="U8" s="2"/>
      <c r="V8" s="2"/>
      <c r="W8" s="2"/>
      <c r="X8" s="2"/>
      <c r="Y8" s="2"/>
      <c r="Z8" s="2"/>
      <c r="AA8" s="2"/>
    </row>
    <row r="9">
      <c r="A9" s="3" t="s">
        <v>24</v>
      </c>
      <c r="B9" s="3"/>
      <c r="C9" s="3">
        <v>100.0</v>
      </c>
      <c r="D9" s="13">
        <f>48.6+39</f>
        <v>87.6</v>
      </c>
      <c r="E9" s="3">
        <v>200.0</v>
      </c>
      <c r="F9" s="11">
        <v>120.0</v>
      </c>
      <c r="G9" s="3">
        <v>200.0</v>
      </c>
      <c r="H9" s="12">
        <f>12.32+55.93+48.74+130+6.45+100+20</f>
        <v>373.44</v>
      </c>
      <c r="I9" s="3">
        <v>200.0</v>
      </c>
      <c r="J9" s="11">
        <f>140+3.76+16+302.5+9.47</f>
        <v>471.73</v>
      </c>
      <c r="K9" s="3">
        <v>200.0</v>
      </c>
      <c r="L9" s="11">
        <f>239.88+21.54+14.5+183.79+65.42+109.04+(19.99*7)+(11.02*2)+39.99+6</f>
        <v>842.13</v>
      </c>
      <c r="M9" s="3">
        <v>200.0</v>
      </c>
      <c r="N9" s="3">
        <f>628.85+120.76+11.02+90+5.44+6.45+11.02+53+18</f>
        <v>944.54</v>
      </c>
      <c r="O9" s="3">
        <v>200.0</v>
      </c>
      <c r="P9" s="3">
        <f>19.99+(39.99*4)+12.55+11.02+19.99+20.72+(99.99*4)+5.44+14.5+11.02+2.25+15+12.55</f>
        <v>704.95</v>
      </c>
      <c r="Q9" s="3">
        <v>200.0</v>
      </c>
      <c r="R9" s="3">
        <f>(16*99.99)+11.02+20+40+29.99+15+35</f>
        <v>1750.85</v>
      </c>
      <c r="S9" s="3">
        <v>200.0</v>
      </c>
      <c r="T9" s="3">
        <f>(15*99.99)+11.02+63+20</f>
        <v>1593.87</v>
      </c>
      <c r="U9" s="2"/>
      <c r="V9" s="2"/>
      <c r="W9" s="2"/>
      <c r="X9" s="2"/>
      <c r="Y9" s="2"/>
      <c r="Z9" s="2"/>
      <c r="AA9" s="2"/>
    </row>
    <row r="10">
      <c r="A10" s="3" t="s">
        <v>62</v>
      </c>
      <c r="B10" s="3"/>
      <c r="C10" s="3">
        <v>50.0</v>
      </c>
      <c r="D10" s="13">
        <f>42.53+65</f>
        <v>107.53</v>
      </c>
      <c r="E10" s="3">
        <v>50.0</v>
      </c>
      <c r="F10" s="11">
        <v>0.0</v>
      </c>
      <c r="G10" s="3">
        <v>50.0</v>
      </c>
      <c r="H10" s="11">
        <v>44.0</v>
      </c>
      <c r="I10" s="3">
        <v>50.0</v>
      </c>
      <c r="J10" s="11">
        <f>36.53+9.42+50.04</f>
        <v>95.99</v>
      </c>
      <c r="K10" s="3">
        <v>50.0</v>
      </c>
      <c r="L10" s="11">
        <v>0.0</v>
      </c>
      <c r="M10" s="3">
        <v>50.0</v>
      </c>
      <c r="N10" s="3">
        <f>33+101.64+113.38</f>
        <v>248.02</v>
      </c>
      <c r="O10" s="3">
        <v>50.0</v>
      </c>
      <c r="P10" s="3">
        <v>0.0</v>
      </c>
      <c r="Q10" s="3">
        <v>50.0</v>
      </c>
      <c r="R10" s="3">
        <v>273.73</v>
      </c>
      <c r="S10" s="3">
        <v>50.0</v>
      </c>
      <c r="T10" s="3">
        <v>0.0</v>
      </c>
      <c r="U10" s="3"/>
      <c r="V10" s="2"/>
      <c r="W10" s="2"/>
      <c r="X10" s="2"/>
      <c r="Y10" s="2"/>
      <c r="Z10" s="2"/>
      <c r="AA10" s="2"/>
    </row>
    <row r="11">
      <c r="A11" s="3" t="s">
        <v>63</v>
      </c>
      <c r="B11" s="3"/>
      <c r="C11" s="3">
        <v>25.0</v>
      </c>
      <c r="D11" s="13">
        <v>0.0</v>
      </c>
      <c r="E11" s="3">
        <v>25.0</v>
      </c>
      <c r="F11" s="11">
        <v>0.0</v>
      </c>
      <c r="G11" s="3">
        <v>25.0</v>
      </c>
      <c r="H11" s="11">
        <v>0.0</v>
      </c>
      <c r="I11" s="3">
        <v>25.0</v>
      </c>
      <c r="J11" s="11">
        <v>44.88</v>
      </c>
      <c r="K11" s="3">
        <v>25.0</v>
      </c>
      <c r="L11" s="11">
        <v>0.0</v>
      </c>
      <c r="M11" s="3">
        <v>25.0</v>
      </c>
      <c r="N11" s="3">
        <v>0.0</v>
      </c>
      <c r="O11" s="3">
        <v>25.0</v>
      </c>
      <c r="P11" s="3">
        <v>0.0</v>
      </c>
      <c r="Q11" s="3">
        <v>25.0</v>
      </c>
      <c r="R11" s="3">
        <v>0.0</v>
      </c>
      <c r="S11" s="3">
        <v>25.0</v>
      </c>
      <c r="T11" s="3">
        <v>0.0</v>
      </c>
      <c r="U11" s="3"/>
      <c r="V11" s="2"/>
      <c r="W11" s="2"/>
      <c r="X11" s="2"/>
      <c r="Y11" s="2"/>
      <c r="Z11" s="2"/>
      <c r="AA11" s="2"/>
    </row>
    <row r="12">
      <c r="A12" s="3" t="s">
        <v>26</v>
      </c>
      <c r="B12" s="3"/>
      <c r="C12" s="3">
        <v>50.0</v>
      </c>
      <c r="D12" s="13">
        <v>50.0</v>
      </c>
      <c r="E12" s="3">
        <v>50.0</v>
      </c>
      <c r="F12" s="11">
        <v>50.0</v>
      </c>
      <c r="G12" s="3">
        <v>50.0</v>
      </c>
      <c r="H12" s="11">
        <v>50.0</v>
      </c>
      <c r="I12" s="3">
        <v>50.0</v>
      </c>
      <c r="J12" s="11">
        <v>50.0</v>
      </c>
      <c r="K12" s="3">
        <v>50.0</v>
      </c>
      <c r="L12" s="11">
        <v>50.0</v>
      </c>
      <c r="M12" s="3">
        <v>50.0</v>
      </c>
      <c r="N12" s="3">
        <v>50.0</v>
      </c>
      <c r="O12" s="3">
        <v>50.0</v>
      </c>
      <c r="P12" s="3">
        <v>50.0</v>
      </c>
      <c r="Q12" s="3">
        <v>50.0</v>
      </c>
      <c r="R12" s="3">
        <v>50.0</v>
      </c>
      <c r="S12" s="3">
        <v>50.0</v>
      </c>
      <c r="T12" s="3">
        <v>50.0</v>
      </c>
      <c r="U12" s="2"/>
      <c r="V12" s="2"/>
      <c r="W12" s="2"/>
      <c r="X12" s="2"/>
      <c r="Y12" s="2"/>
      <c r="Z12" s="2"/>
      <c r="AA12" s="2"/>
    </row>
    <row r="13">
      <c r="A13" s="3" t="s">
        <v>28</v>
      </c>
      <c r="B13" s="3"/>
      <c r="C13" s="3">
        <v>199.0</v>
      </c>
      <c r="D13" s="13">
        <v>199.0</v>
      </c>
      <c r="E13" s="3">
        <v>0.0</v>
      </c>
      <c r="F13" s="11">
        <v>0.0</v>
      </c>
      <c r="G13" s="3">
        <v>95.0</v>
      </c>
      <c r="H13" s="11">
        <v>95.0</v>
      </c>
      <c r="I13" s="3">
        <v>95.0</v>
      </c>
      <c r="J13" s="11">
        <v>95.0</v>
      </c>
      <c r="K13" s="3">
        <v>95.0</v>
      </c>
      <c r="L13" s="11">
        <v>95.0</v>
      </c>
      <c r="M13" s="3">
        <v>95.0</v>
      </c>
      <c r="N13" s="3">
        <v>95.0</v>
      </c>
      <c r="O13" s="3">
        <v>50.0</v>
      </c>
      <c r="P13" s="3">
        <v>0.0</v>
      </c>
      <c r="Q13" s="3">
        <v>50.0</v>
      </c>
      <c r="R13" s="3">
        <v>0.0</v>
      </c>
      <c r="S13" s="3">
        <v>50.0</v>
      </c>
      <c r="T13" s="3">
        <v>0.0</v>
      </c>
      <c r="U13" s="2"/>
      <c r="V13" s="2"/>
      <c r="W13" s="2"/>
      <c r="X13" s="2"/>
      <c r="Y13" s="2"/>
      <c r="Z13" s="2"/>
      <c r="AA13" s="2"/>
    </row>
    <row r="14">
      <c r="A14" s="3" t="s">
        <v>64</v>
      </c>
      <c r="B14" s="3"/>
      <c r="C14" s="3">
        <v>75.0</v>
      </c>
      <c r="D14" s="13">
        <v>25.0</v>
      </c>
      <c r="E14" s="3">
        <v>50.0</v>
      </c>
      <c r="F14" s="11">
        <f>10.26+21.39+17.19</f>
        <v>48.84</v>
      </c>
      <c r="G14" s="3">
        <v>100.0</v>
      </c>
      <c r="H14" s="11">
        <f>13.97+21.55+25+24.48</f>
        <v>85</v>
      </c>
      <c r="I14" s="3">
        <v>100.0</v>
      </c>
      <c r="J14" s="11">
        <f>23.13+10+21.6+23.21+25.49</f>
        <v>103.43</v>
      </c>
      <c r="K14" s="3">
        <v>100.0</v>
      </c>
      <c r="L14" s="11">
        <f>23.13+27.59+17.15</f>
        <v>67.87</v>
      </c>
      <c r="M14" s="3">
        <v>100.0</v>
      </c>
      <c r="N14" s="3">
        <f>27.43+20.67+39.47+29.34+27.65+34.3+28.49+26.95</f>
        <v>234.3</v>
      </c>
      <c r="O14" s="3">
        <v>100.0</v>
      </c>
      <c r="P14" s="3">
        <f>25.04+17.34+22.11+13.16</f>
        <v>77.65</v>
      </c>
      <c r="Q14" s="3">
        <v>100.0</v>
      </c>
      <c r="R14" s="3">
        <f>25.75+29.36+10+24.34+16.48+24.8</f>
        <v>130.73</v>
      </c>
      <c r="S14" s="3">
        <v>100.0</v>
      </c>
      <c r="T14" s="3">
        <f>28.69+24.8+24.4+27.28</f>
        <v>105.17</v>
      </c>
      <c r="U14" s="2"/>
      <c r="V14" s="2"/>
      <c r="W14" s="2"/>
      <c r="X14" s="2"/>
      <c r="Y14" s="2"/>
      <c r="Z14" s="2"/>
      <c r="AA14" s="2"/>
    </row>
    <row r="15">
      <c r="A15" s="3" t="s">
        <v>34</v>
      </c>
      <c r="B15" s="3"/>
      <c r="C15" s="3">
        <v>144.0</v>
      </c>
      <c r="D15" s="13">
        <v>144.0</v>
      </c>
      <c r="E15" s="3">
        <v>128.0</v>
      </c>
      <c r="F15" s="11">
        <v>128.0</v>
      </c>
      <c r="G15" s="3">
        <v>144.0</v>
      </c>
      <c r="H15" s="11">
        <v>144.0</v>
      </c>
      <c r="I15" s="3">
        <v>160.0</v>
      </c>
      <c r="J15" s="11">
        <f>171.75+80+80</f>
        <v>331.75</v>
      </c>
      <c r="K15" s="3">
        <v>160.0</v>
      </c>
      <c r="L15" s="11">
        <v>160.0</v>
      </c>
      <c r="M15" s="3">
        <v>160.0</v>
      </c>
      <c r="N15" s="3">
        <f>80+772.54+80</f>
        <v>932.54</v>
      </c>
      <c r="O15" s="3">
        <v>160.0</v>
      </c>
      <c r="P15" s="3">
        <v>160.0</v>
      </c>
      <c r="Q15" s="3">
        <v>160.0</v>
      </c>
      <c r="R15" s="3">
        <v>160.0</v>
      </c>
      <c r="S15" s="3">
        <v>80.0</v>
      </c>
      <c r="T15" s="3">
        <v>80.0</v>
      </c>
      <c r="U15" s="2"/>
      <c r="V15" s="2"/>
      <c r="W15" s="2"/>
      <c r="X15" s="2"/>
      <c r="Y15" s="2"/>
      <c r="Z15" s="2"/>
      <c r="AA15" s="2"/>
    </row>
    <row r="16">
      <c r="A16" s="3" t="s">
        <v>65</v>
      </c>
      <c r="B16" s="2"/>
      <c r="C16" s="3">
        <v>0.0</v>
      </c>
      <c r="D16" s="11">
        <v>0.0</v>
      </c>
      <c r="E16" s="3">
        <v>29.57</v>
      </c>
      <c r="F16" s="3">
        <v>29.57</v>
      </c>
      <c r="G16" s="3">
        <v>29.57</v>
      </c>
      <c r="H16" s="11">
        <v>29.57</v>
      </c>
      <c r="I16" s="3">
        <v>29.57</v>
      </c>
      <c r="J16" s="11">
        <v>29.57</v>
      </c>
      <c r="K16" s="3">
        <v>29.57</v>
      </c>
      <c r="L16" s="11">
        <v>29.57</v>
      </c>
      <c r="M16" s="3">
        <v>56.57</v>
      </c>
      <c r="N16" s="3">
        <v>56.57</v>
      </c>
      <c r="O16" s="3">
        <v>56.57</v>
      </c>
      <c r="P16" s="3">
        <v>56.57</v>
      </c>
      <c r="Q16" s="3">
        <v>56.57</v>
      </c>
      <c r="R16" s="3">
        <v>56.57</v>
      </c>
      <c r="S16" s="3">
        <v>56.57</v>
      </c>
      <c r="T16" s="3">
        <v>56.57</v>
      </c>
      <c r="U16" s="2"/>
      <c r="V16" s="2"/>
      <c r="W16" s="2"/>
      <c r="X16" s="2"/>
      <c r="Y16" s="2"/>
      <c r="Z16" s="2"/>
      <c r="AA16" s="2"/>
    </row>
    <row r="17">
      <c r="A17" s="3" t="s">
        <v>66</v>
      </c>
      <c r="B17" s="2"/>
      <c r="C17" s="3">
        <v>0.0</v>
      </c>
      <c r="D17" s="11">
        <v>0.0</v>
      </c>
      <c r="E17" s="3">
        <v>0.0</v>
      </c>
      <c r="F17" s="3">
        <v>0.0</v>
      </c>
      <c r="G17" s="3">
        <v>0.0</v>
      </c>
      <c r="H17" s="11">
        <v>0.0</v>
      </c>
      <c r="I17" s="3">
        <v>0.0</v>
      </c>
      <c r="J17" s="11">
        <v>0.0</v>
      </c>
      <c r="K17" s="3">
        <v>0.0</v>
      </c>
      <c r="L17" s="11">
        <v>0.0</v>
      </c>
      <c r="M17" s="3">
        <v>0.0</v>
      </c>
      <c r="N17" s="3">
        <v>0.0</v>
      </c>
      <c r="O17" s="3">
        <v>150.0</v>
      </c>
      <c r="P17" s="3">
        <f>82.39+48.95</f>
        <v>131.34</v>
      </c>
      <c r="Q17" s="3">
        <v>48.95</v>
      </c>
      <c r="R17" s="3">
        <v>48.95</v>
      </c>
      <c r="S17" s="3">
        <v>48.95</v>
      </c>
      <c r="T17" s="3">
        <v>48.95</v>
      </c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12"/>
      <c r="E18" s="2"/>
      <c r="F18" s="12"/>
      <c r="G18" s="2"/>
      <c r="H18" s="12"/>
      <c r="I18" s="2"/>
      <c r="J18" s="12"/>
      <c r="K18" s="2"/>
      <c r="L18" s="1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" t="s">
        <v>37</v>
      </c>
      <c r="B19" s="4"/>
      <c r="C19" s="2">
        <f t="shared" ref="C19:T19" si="4">sum(C20:C24)</f>
        <v>1890</v>
      </c>
      <c r="D19" s="2">
        <f t="shared" si="4"/>
        <v>2105.31</v>
      </c>
      <c r="E19" s="2">
        <f t="shared" si="4"/>
        <v>3685</v>
      </c>
      <c r="F19" s="2">
        <f t="shared" si="4"/>
        <v>3707.83</v>
      </c>
      <c r="G19" s="2">
        <f t="shared" si="4"/>
        <v>1815</v>
      </c>
      <c r="H19" s="2">
        <f t="shared" si="4"/>
        <v>5330.22</v>
      </c>
      <c r="I19" s="2">
        <f t="shared" si="4"/>
        <v>2000</v>
      </c>
      <c r="J19" s="2">
        <f t="shared" si="4"/>
        <v>2300</v>
      </c>
      <c r="K19" s="2">
        <f t="shared" si="4"/>
        <v>2100</v>
      </c>
      <c r="L19" s="2">
        <f t="shared" si="4"/>
        <v>2100</v>
      </c>
      <c r="M19" s="2">
        <f t="shared" si="4"/>
        <v>2100</v>
      </c>
      <c r="N19" s="2">
        <f t="shared" si="4"/>
        <v>2100</v>
      </c>
      <c r="O19" s="2">
        <f t="shared" si="4"/>
        <v>3600</v>
      </c>
      <c r="P19" s="2">
        <f t="shared" si="4"/>
        <v>3600</v>
      </c>
      <c r="Q19" s="2">
        <f t="shared" si="4"/>
        <v>2050</v>
      </c>
      <c r="R19" s="2">
        <f t="shared" si="4"/>
        <v>1700</v>
      </c>
      <c r="S19" s="2">
        <f t="shared" si="4"/>
        <v>700</v>
      </c>
      <c r="T19" s="2">
        <f t="shared" si="4"/>
        <v>700</v>
      </c>
      <c r="U19" s="2"/>
      <c r="V19" s="2"/>
      <c r="W19" s="2"/>
      <c r="X19" s="2"/>
      <c r="Y19" s="2"/>
      <c r="Z19" s="2"/>
      <c r="AA19" s="2"/>
    </row>
    <row r="20">
      <c r="A20" s="3" t="s">
        <v>38</v>
      </c>
      <c r="B20" s="3"/>
      <c r="C20" s="3">
        <v>800.0</v>
      </c>
      <c r="D20" s="11">
        <v>800.09</v>
      </c>
      <c r="E20" s="3">
        <v>1600.0</v>
      </c>
      <c r="F20" s="11">
        <v>1600.0</v>
      </c>
      <c r="G20" s="3">
        <v>750.0</v>
      </c>
      <c r="H20" s="11">
        <v>1750.0</v>
      </c>
      <c r="I20" s="3">
        <v>1000.0</v>
      </c>
      <c r="J20" s="11">
        <v>1000.0</v>
      </c>
      <c r="K20" s="3">
        <v>1000.0</v>
      </c>
      <c r="L20" s="11">
        <v>1000.0</v>
      </c>
      <c r="M20" s="3">
        <v>1000.0</v>
      </c>
      <c r="N20" s="3">
        <v>1000.0</v>
      </c>
      <c r="O20" s="3">
        <v>1000.0</v>
      </c>
      <c r="P20" s="3">
        <f>334+333+333</f>
        <v>1000</v>
      </c>
      <c r="Q20" s="3">
        <v>0.0</v>
      </c>
      <c r="R20" s="3">
        <v>0.0</v>
      </c>
      <c r="S20" s="3">
        <v>0.0</v>
      </c>
      <c r="T20" s="3">
        <v>0.0</v>
      </c>
      <c r="U20" s="2"/>
      <c r="V20" s="2"/>
      <c r="W20" s="2"/>
      <c r="X20" s="2"/>
      <c r="Y20" s="2"/>
      <c r="Z20" s="2"/>
      <c r="AA20" s="2"/>
    </row>
    <row r="21">
      <c r="A21" s="3" t="s">
        <v>39</v>
      </c>
      <c r="B21" s="3"/>
      <c r="C21" s="3">
        <v>250.0</v>
      </c>
      <c r="D21" s="11">
        <v>250.0</v>
      </c>
      <c r="E21" s="3">
        <v>375.0</v>
      </c>
      <c r="F21" s="11">
        <v>375.0</v>
      </c>
      <c r="G21" s="3">
        <v>225.0</v>
      </c>
      <c r="H21" s="11">
        <v>225.0</v>
      </c>
      <c r="I21" s="3">
        <v>100.0</v>
      </c>
      <c r="J21" s="11">
        <v>100.0</v>
      </c>
      <c r="K21" s="3">
        <v>200.0</v>
      </c>
      <c r="L21" s="11">
        <v>200.0</v>
      </c>
      <c r="M21" s="3">
        <v>200.0</v>
      </c>
      <c r="N21" s="3">
        <v>200.0</v>
      </c>
      <c r="O21" s="3">
        <v>200.0</v>
      </c>
      <c r="P21" s="3">
        <v>200.0</v>
      </c>
      <c r="Q21" s="3">
        <v>200.0</v>
      </c>
      <c r="R21" s="3">
        <v>200.0</v>
      </c>
      <c r="S21" s="3">
        <v>700.0</v>
      </c>
      <c r="T21" s="3">
        <v>700.0</v>
      </c>
      <c r="U21" s="2"/>
      <c r="V21" s="2"/>
      <c r="W21" s="2"/>
      <c r="X21" s="2"/>
      <c r="Y21" s="2"/>
      <c r="Z21" s="2"/>
      <c r="AA21" s="2"/>
    </row>
    <row r="22">
      <c r="A22" s="3" t="s">
        <v>40</v>
      </c>
      <c r="B22" s="3"/>
      <c r="C22" s="3">
        <v>340.0</v>
      </c>
      <c r="D22" s="11">
        <f>2*177.61</f>
        <v>355.22</v>
      </c>
      <c r="E22" s="3">
        <v>510.0</v>
      </c>
      <c r="F22" s="11">
        <f>177.61*3</f>
        <v>532.83</v>
      </c>
      <c r="G22" s="3">
        <v>340.0</v>
      </c>
      <c r="H22" s="11">
        <f>2*177.61</f>
        <v>355.22</v>
      </c>
      <c r="I22" s="3">
        <v>0.0</v>
      </c>
      <c r="J22" s="11">
        <v>0.0</v>
      </c>
      <c r="K22" s="3">
        <v>0.0</v>
      </c>
      <c r="L22" s="11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2"/>
      <c r="V22" s="2"/>
      <c r="W22" s="2"/>
      <c r="X22" s="2"/>
      <c r="Y22" s="2"/>
      <c r="Z22" s="2"/>
      <c r="AA22" s="2"/>
    </row>
    <row r="23">
      <c r="A23" s="3" t="s">
        <v>41</v>
      </c>
      <c r="B23" s="3"/>
      <c r="C23" s="3">
        <v>300.0</v>
      </c>
      <c r="D23" s="11">
        <v>400.0</v>
      </c>
      <c r="E23" s="3">
        <v>600.0</v>
      </c>
      <c r="F23" s="11">
        <v>600.0</v>
      </c>
      <c r="G23" s="3">
        <v>250.0</v>
      </c>
      <c r="H23" s="11">
        <v>1375.0</v>
      </c>
      <c r="I23" s="3">
        <v>300.0</v>
      </c>
      <c r="J23" s="11">
        <v>450.0</v>
      </c>
      <c r="K23" s="3">
        <v>300.0</v>
      </c>
      <c r="L23" s="11">
        <v>300.0</v>
      </c>
      <c r="M23" s="3">
        <v>300.0</v>
      </c>
      <c r="N23" s="3">
        <v>300.0</v>
      </c>
      <c r="O23" s="3">
        <v>900.0</v>
      </c>
      <c r="P23" s="3">
        <v>900.0</v>
      </c>
      <c r="Q23" s="3">
        <v>600.0</v>
      </c>
      <c r="R23" s="3">
        <v>500.0</v>
      </c>
      <c r="S23" s="3">
        <v>0.0</v>
      </c>
      <c r="T23" s="3">
        <v>0.0</v>
      </c>
      <c r="U23" s="2"/>
      <c r="V23" s="2"/>
      <c r="W23" s="2"/>
      <c r="X23" s="2"/>
      <c r="Y23" s="2"/>
      <c r="Z23" s="2"/>
      <c r="AA23" s="2"/>
    </row>
    <row r="24">
      <c r="A24" s="3" t="s">
        <v>67</v>
      </c>
      <c r="B24" s="3"/>
      <c r="C24" s="3">
        <v>200.0</v>
      </c>
      <c r="D24" s="11">
        <v>300.0</v>
      </c>
      <c r="E24" s="3">
        <v>600.0</v>
      </c>
      <c r="F24" s="11">
        <v>600.0</v>
      </c>
      <c r="G24" s="3">
        <v>250.0</v>
      </c>
      <c r="H24" s="11">
        <v>1625.0</v>
      </c>
      <c r="I24" s="3">
        <v>600.0</v>
      </c>
      <c r="J24" s="11">
        <v>750.0</v>
      </c>
      <c r="K24" s="3">
        <v>600.0</v>
      </c>
      <c r="L24" s="11">
        <v>600.0</v>
      </c>
      <c r="M24" s="3">
        <v>600.0</v>
      </c>
      <c r="N24" s="3">
        <v>600.0</v>
      </c>
      <c r="O24" s="3">
        <v>1500.0</v>
      </c>
      <c r="P24" s="3">
        <v>1500.0</v>
      </c>
      <c r="Q24" s="3">
        <v>1250.0</v>
      </c>
      <c r="R24" s="3">
        <v>1000.0</v>
      </c>
      <c r="S24" s="3">
        <v>0.0</v>
      </c>
      <c r="T24" s="3">
        <v>0.0</v>
      </c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12"/>
      <c r="E25" s="2"/>
      <c r="F25" s="12"/>
      <c r="G25" s="2"/>
      <c r="H25" s="12"/>
      <c r="I25" s="2"/>
      <c r="J25" s="12"/>
      <c r="K25" s="2"/>
      <c r="L25" s="1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6" t="s">
        <v>44</v>
      </c>
      <c r="B26" s="6"/>
      <c r="C26" s="2">
        <f t="shared" ref="C26:T26" si="5">C3-C6-C19</f>
        <v>72.79</v>
      </c>
      <c r="D26" s="12">
        <f t="shared" si="5"/>
        <v>278.96</v>
      </c>
      <c r="E26" s="2">
        <f t="shared" si="5"/>
        <v>219.37</v>
      </c>
      <c r="F26" s="2">
        <f t="shared" si="5"/>
        <v>421.01</v>
      </c>
      <c r="G26" s="2">
        <f t="shared" si="5"/>
        <v>399.4</v>
      </c>
      <c r="H26" s="2">
        <f t="shared" si="5"/>
        <v>1039.59</v>
      </c>
      <c r="I26" s="2">
        <f t="shared" si="5"/>
        <v>238.9</v>
      </c>
      <c r="J26" s="2">
        <f t="shared" si="5"/>
        <v>-222.88</v>
      </c>
      <c r="K26" s="2">
        <f t="shared" si="5"/>
        <v>205.45</v>
      </c>
      <c r="L26" s="2">
        <f t="shared" si="5"/>
        <v>-184.52</v>
      </c>
      <c r="M26" s="2">
        <f t="shared" si="5"/>
        <v>78.45</v>
      </c>
      <c r="N26" s="2">
        <f t="shared" si="5"/>
        <v>-1990.76</v>
      </c>
      <c r="O26" s="2">
        <f t="shared" si="5"/>
        <v>80.96</v>
      </c>
      <c r="P26" s="2">
        <f t="shared" si="5"/>
        <v>287.28</v>
      </c>
      <c r="Q26" s="2">
        <f t="shared" si="5"/>
        <v>124.5</v>
      </c>
      <c r="R26" s="2">
        <f t="shared" si="5"/>
        <v>-1068.6</v>
      </c>
      <c r="S26" s="2">
        <f t="shared" si="5"/>
        <v>1554.5</v>
      </c>
      <c r="T26" s="2">
        <f t="shared" si="5"/>
        <v>475.86</v>
      </c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X30" s="2"/>
      <c r="Y30" s="2"/>
      <c r="Z30" s="2"/>
      <c r="AA30" s="2"/>
    </row>
    <row r="31">
      <c r="A31" s="2"/>
      <c r="B31" s="6" t="s">
        <v>68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X31" s="2"/>
      <c r="Y31" s="2"/>
      <c r="Z31" s="2"/>
      <c r="AA31" s="2"/>
    </row>
    <row r="32">
      <c r="A32" s="3" t="s">
        <v>69</v>
      </c>
      <c r="B32" s="7">
        <v>800.0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X32" s="2"/>
      <c r="Y32" s="2"/>
      <c r="Z32" s="2"/>
      <c r="AA32" s="2"/>
    </row>
    <row r="33">
      <c r="A33" s="3" t="s">
        <v>70</v>
      </c>
      <c r="B33" s="7">
        <v>1200.25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X33" s="2"/>
      <c r="Y33" s="2"/>
      <c r="Z33" s="2"/>
      <c r="AA33" s="2"/>
    </row>
    <row r="34">
      <c r="A34" s="3" t="s">
        <v>71</v>
      </c>
      <c r="B34" s="7">
        <v>8452.64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X34" s="2"/>
      <c r="Y34" s="2"/>
      <c r="Z34" s="2"/>
      <c r="AA34" s="2"/>
    </row>
    <row r="35">
      <c r="A35" s="3" t="s">
        <v>72</v>
      </c>
      <c r="B35" s="7">
        <v>25000.0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X35" s="2"/>
      <c r="Y35" s="2"/>
      <c r="Z35" s="2"/>
      <c r="AA35" s="2"/>
    </row>
    <row r="36">
      <c r="A36" s="3" t="s">
        <v>67</v>
      </c>
      <c r="B36" s="7">
        <v>15000.0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X36" s="2"/>
      <c r="Y36" s="2"/>
      <c r="Z36" s="2"/>
      <c r="AA36" s="2"/>
    </row>
    <row r="37">
      <c r="A37" s="3" t="s">
        <v>49</v>
      </c>
      <c r="B37" s="7">
        <v>2700.0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X37" s="2"/>
      <c r="Y37" s="2"/>
      <c r="Z37" s="2"/>
      <c r="AA37" s="2"/>
    </row>
    <row r="38">
      <c r="A38" s="14" t="s">
        <v>50</v>
      </c>
      <c r="B38" s="7">
        <v>4700.0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X38" s="2"/>
      <c r="Y38" s="2"/>
      <c r="Z38" s="2"/>
      <c r="AA38" s="2"/>
    </row>
    <row r="39">
      <c r="A39" s="6" t="s">
        <v>73</v>
      </c>
      <c r="B39" s="15">
        <f>sum(B32:B38)</f>
        <v>57852.89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</sheetData>
  <mergeCells count="9">
    <mergeCell ref="Q1:R1"/>
    <mergeCell ref="S1:T1"/>
    <mergeCell ref="C1:D1"/>
    <mergeCell ref="E1:F1"/>
    <mergeCell ref="G1:H1"/>
    <mergeCell ref="I1:J1"/>
    <mergeCell ref="K1:L1"/>
    <mergeCell ref="M1:N1"/>
    <mergeCell ref="O1:P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2" width="18.25"/>
    <col customWidth="1" min="3" max="3" width="9.63"/>
    <col customWidth="1" min="4" max="4" width="20.88"/>
    <col customWidth="1" min="5" max="5" width="27.13"/>
    <col customWidth="1" min="6" max="6" width="11.5"/>
    <col customWidth="1" min="7" max="7" width="10.25"/>
    <col customWidth="1" min="8" max="8" width="10.38"/>
    <col customWidth="1" min="9" max="9" width="10.63"/>
    <col customWidth="1" min="10" max="10" width="10.13"/>
    <col customWidth="1" min="11" max="11" width="10.63"/>
    <col customWidth="1" min="12" max="12" width="8.88"/>
    <col customWidth="1" min="13" max="13" width="10.25"/>
    <col customWidth="1" min="14" max="14" width="3.75"/>
    <col customWidth="1" min="15" max="15" width="15.38"/>
    <col customWidth="1" min="17" max="17" width="16.75"/>
  </cols>
  <sheetData>
    <row r="1">
      <c r="A1" s="16" t="s">
        <v>74</v>
      </c>
      <c r="B1" s="16" t="s">
        <v>75</v>
      </c>
      <c r="C1" s="16" t="s">
        <v>76</v>
      </c>
      <c r="D1" s="16" t="s">
        <v>77</v>
      </c>
      <c r="E1" s="16" t="s">
        <v>78</v>
      </c>
      <c r="F1" s="17" t="s">
        <v>79</v>
      </c>
      <c r="G1" s="17" t="s">
        <v>80</v>
      </c>
      <c r="H1" s="17" t="s">
        <v>81</v>
      </c>
      <c r="I1" s="16" t="s">
        <v>82</v>
      </c>
      <c r="J1" s="16" t="s">
        <v>83</v>
      </c>
      <c r="K1" s="16" t="s">
        <v>84</v>
      </c>
      <c r="L1" s="16" t="s">
        <v>85</v>
      </c>
      <c r="M1" s="16" t="s">
        <v>86</v>
      </c>
      <c r="Q1" s="18" t="s">
        <v>87</v>
      </c>
      <c r="R1" s="19">
        <f>sumif($D$2:$D$58, "=Consumer Cyclical",$N$2:$N$58)</f>
        <v>4</v>
      </c>
      <c r="S1" s="2">
        <f>sumif($D$2:$D$58, "=Consumer Cyclical",$K$2:$K$58)</f>
        <v>7246.765</v>
      </c>
      <c r="T1" s="20">
        <f t="shared" ref="T1:T7" si="1">S1/$O$56</f>
        <v>0.2404343321</v>
      </c>
    </row>
    <row r="2">
      <c r="A2" s="21">
        <f>1</f>
        <v>1</v>
      </c>
      <c r="B2" s="16" t="s">
        <v>88</v>
      </c>
      <c r="C2" s="22" t="s">
        <v>89</v>
      </c>
      <c r="D2" s="22" t="s">
        <v>87</v>
      </c>
      <c r="E2" s="22" t="s">
        <v>90</v>
      </c>
      <c r="F2" s="23">
        <f>IFERROR(__xludf.DUMMYFUNCTION("GOOGLEFINANCE(C2, ""marketcap"")/1000000000"),46.970638508)</f>
        <v>46.97063851</v>
      </c>
      <c r="G2" s="23">
        <v>1110.04</v>
      </c>
      <c r="H2" s="24">
        <f t="shared" ref="H2:H54" si="2">G2*J2</f>
        <v>3607.63</v>
      </c>
      <c r="I2" s="24">
        <f>IFERROR(__xludf.DUMMYFUNCTION("GOOGLEFINANCE(C2)"),933.1)</f>
        <v>933.1</v>
      </c>
      <c r="J2" s="22">
        <v>3.25</v>
      </c>
      <c r="K2" s="24">
        <f t="shared" ref="K2:K54" si="3">I2*J2</f>
        <v>3032.575</v>
      </c>
      <c r="L2" s="25">
        <f t="shared" ref="L2:L54" si="4">K2/$Q$56</f>
        <v>0.111690979</v>
      </c>
      <c r="M2" s="26">
        <f t="shared" ref="M2:M54" si="5">(K2-H2)/H2</f>
        <v>-0.1593996613</v>
      </c>
      <c r="N2" s="27">
        <v>1.0</v>
      </c>
      <c r="Q2" s="18" t="s">
        <v>91</v>
      </c>
      <c r="R2" s="19">
        <f>sumif($D$3:$D$58, "=Financial Services",$N$3:$N$58)</f>
        <v>5</v>
      </c>
      <c r="S2" s="2">
        <f>sumif($D$3:$D$58, "=Financial Services",$K$3:$K$58)</f>
        <v>2341.421446</v>
      </c>
      <c r="T2" s="20">
        <f t="shared" si="1"/>
        <v>0.07768405646</v>
      </c>
    </row>
    <row r="3">
      <c r="A3" s="21">
        <f t="shared" ref="A3:A54" si="6">A2+1</f>
        <v>2</v>
      </c>
      <c r="B3" s="16" t="s">
        <v>92</v>
      </c>
      <c r="C3" s="22" t="s">
        <v>93</v>
      </c>
      <c r="D3" s="22" t="s">
        <v>87</v>
      </c>
      <c r="E3" s="22" t="s">
        <v>90</v>
      </c>
      <c r="F3" s="23">
        <f>IFERROR(__xludf.DUMMYFUNCTION("GOOGLEFINANCE(C3, ""marketcap"")/1000000000"),1269.980020307)</f>
        <v>1269.98002</v>
      </c>
      <c r="G3" s="23">
        <v>169.3</v>
      </c>
      <c r="H3" s="24">
        <f t="shared" si="2"/>
        <v>3386</v>
      </c>
      <c r="I3" s="24">
        <f>IFERROR(__xludf.DUMMYFUNCTION("GOOGLEFINANCE(C3)"),124.66)</f>
        <v>124.66</v>
      </c>
      <c r="J3" s="22">
        <v>20.0</v>
      </c>
      <c r="K3" s="24">
        <f t="shared" si="3"/>
        <v>2493.2</v>
      </c>
      <c r="L3" s="25">
        <f t="shared" si="4"/>
        <v>0.09182557686</v>
      </c>
      <c r="M3" s="26">
        <f t="shared" si="5"/>
        <v>-0.2636739516</v>
      </c>
      <c r="N3" s="27">
        <v>1.0</v>
      </c>
      <c r="Q3" s="18" t="s">
        <v>94</v>
      </c>
      <c r="R3" s="19">
        <f>sumif($D$3:$D$58, "=Technology",$N$3:$N$58)</f>
        <v>26</v>
      </c>
      <c r="S3" s="2">
        <f>sumif($D$3:$D$58, "=Technology",$K$3:$K$58)</f>
        <v>11412.56142</v>
      </c>
      <c r="T3" s="20">
        <f t="shared" si="1"/>
        <v>0.3786477943</v>
      </c>
    </row>
    <row r="4">
      <c r="A4" s="21">
        <f t="shared" si="6"/>
        <v>3</v>
      </c>
      <c r="B4" s="16" t="s">
        <v>95</v>
      </c>
      <c r="C4" s="22" t="s">
        <v>96</v>
      </c>
      <c r="D4" s="22" t="s">
        <v>94</v>
      </c>
      <c r="E4" s="22" t="s">
        <v>97</v>
      </c>
      <c r="F4" s="23">
        <f>IFERROR(__xludf.DUMMYFUNCTION("GOOGLEFINANCE(C4, ""marketcap"")/1000000000"),40.932605752)</f>
        <v>40.93260575</v>
      </c>
      <c r="G4" s="23">
        <v>133.28</v>
      </c>
      <c r="H4" s="24">
        <f t="shared" si="2"/>
        <v>1865.92</v>
      </c>
      <c r="I4" s="24">
        <f>IFERROR(__xludf.DUMMYFUNCTION("GOOGLEFINANCE(C4)"),175.39)</f>
        <v>175.39</v>
      </c>
      <c r="J4" s="22">
        <v>14.0</v>
      </c>
      <c r="K4" s="24">
        <f t="shared" si="3"/>
        <v>2455.46</v>
      </c>
      <c r="L4" s="25">
        <f t="shared" si="4"/>
        <v>0.0904355972</v>
      </c>
      <c r="M4" s="26">
        <f t="shared" si="5"/>
        <v>0.3159513806</v>
      </c>
      <c r="N4" s="27">
        <v>1.0</v>
      </c>
      <c r="Q4" s="18" t="s">
        <v>98</v>
      </c>
      <c r="R4" s="19">
        <f>sumif($D$3:$D$58, "=Healthcare",$N$3:$N$58)</f>
        <v>7</v>
      </c>
      <c r="S4" s="2">
        <f>sumif($D$3:$D$58, "=Healthcare",$K$3:$K$58)</f>
        <v>1935.92</v>
      </c>
      <c r="T4" s="20">
        <f t="shared" si="1"/>
        <v>0.06423026442</v>
      </c>
    </row>
    <row r="5">
      <c r="A5" s="21">
        <f t="shared" si="6"/>
        <v>4</v>
      </c>
      <c r="B5" s="16" t="s">
        <v>99</v>
      </c>
      <c r="C5" s="22" t="s">
        <v>100</v>
      </c>
      <c r="D5" s="22" t="s">
        <v>94</v>
      </c>
      <c r="E5" s="22" t="s">
        <v>101</v>
      </c>
      <c r="F5" s="23">
        <f>IFERROR(__xludf.DUMMYFUNCTION("GOOGLEFINANCE(C5, ""marketcap"")/1000000000"),333.211818237)</f>
        <v>333.2118182</v>
      </c>
      <c r="G5" s="23">
        <v>132.5</v>
      </c>
      <c r="H5" s="24">
        <f t="shared" si="2"/>
        <v>1723.21073</v>
      </c>
      <c r="I5" s="24">
        <f>IFERROR(__xludf.DUMMYFUNCTION("GOOGLEFINANCE(C5)"),133.82)</f>
        <v>133.82</v>
      </c>
      <c r="J5" s="22">
        <v>13.005364</v>
      </c>
      <c r="K5" s="24">
        <f t="shared" si="3"/>
        <v>1740.37781</v>
      </c>
      <c r="L5" s="25">
        <f t="shared" si="4"/>
        <v>0.06409882737</v>
      </c>
      <c r="M5" s="26">
        <f t="shared" si="5"/>
        <v>0.009962264151</v>
      </c>
      <c r="N5" s="27">
        <v>1.0</v>
      </c>
      <c r="Q5" s="18" t="s">
        <v>102</v>
      </c>
      <c r="R5" s="19">
        <f>sumif($D$3:$D$58, "=Communication Services",$N$3:$N$58)</f>
        <v>8</v>
      </c>
      <c r="S5" s="2">
        <f>sumif($D$3:$D$58, "=Communication Services",$K$3:$K$58)</f>
        <v>3774.68</v>
      </c>
      <c r="T5" s="20">
        <f t="shared" si="1"/>
        <v>0.1252369388</v>
      </c>
    </row>
    <row r="6">
      <c r="A6" s="21">
        <f t="shared" si="6"/>
        <v>5</v>
      </c>
      <c r="B6" s="16" t="s">
        <v>103</v>
      </c>
      <c r="C6" s="22" t="s">
        <v>104</v>
      </c>
      <c r="D6" s="22" t="s">
        <v>94</v>
      </c>
      <c r="E6" s="22" t="s">
        <v>105</v>
      </c>
      <c r="F6" s="23">
        <f>IFERROR(__xludf.DUMMYFUNCTION("GOOGLEFINANCE(C6, ""marketcap"")/1000000000"),41.598738425)</f>
        <v>41.59873843</v>
      </c>
      <c r="G6" s="23">
        <v>71.88</v>
      </c>
      <c r="H6" s="24">
        <f t="shared" si="2"/>
        <v>4672.2</v>
      </c>
      <c r="I6" s="24">
        <f>IFERROR(__xludf.DUMMYFUNCTION("GOOGLEFINANCE(C6)"),32.94)</f>
        <v>32.94</v>
      </c>
      <c r="J6" s="22">
        <v>65.0</v>
      </c>
      <c r="K6" s="24">
        <f t="shared" si="3"/>
        <v>2141.1</v>
      </c>
      <c r="L6" s="25">
        <f t="shared" si="4"/>
        <v>0.07885758969</v>
      </c>
      <c r="M6" s="26">
        <f t="shared" si="5"/>
        <v>-0.541736227</v>
      </c>
      <c r="N6" s="27">
        <v>1.0</v>
      </c>
      <c r="Q6" s="18" t="s">
        <v>106</v>
      </c>
      <c r="R6" s="19">
        <f>sumif($D$2:$D$58, "=Industrials",$N$2:$N$58)</f>
        <v>1</v>
      </c>
      <c r="S6" s="2">
        <f>sumif($D$3:$D$58, "=Industrials",$K$3:$K$58)</f>
        <v>118.7663472</v>
      </c>
      <c r="T6" s="20">
        <f t="shared" si="1"/>
        <v>0.003940448926</v>
      </c>
    </row>
    <row r="7">
      <c r="A7" s="21">
        <f t="shared" si="6"/>
        <v>6</v>
      </c>
      <c r="B7" s="16" t="s">
        <v>107</v>
      </c>
      <c r="C7" s="22" t="s">
        <v>108</v>
      </c>
      <c r="D7" s="22" t="s">
        <v>87</v>
      </c>
      <c r="E7" s="22" t="s">
        <v>109</v>
      </c>
      <c r="F7" s="23">
        <f>IFERROR(__xludf.DUMMYFUNCTION("GOOGLEFINANCE(C7, ""marketcap"")/1000000000"),42.979821891)</f>
        <v>42.97982189</v>
      </c>
      <c r="G7" s="23">
        <v>211.13</v>
      </c>
      <c r="H7" s="24">
        <f t="shared" si="2"/>
        <v>1055.65</v>
      </c>
      <c r="I7" s="24">
        <f>IFERROR(__xludf.DUMMYFUNCTION("GOOGLEFINANCE(C7)"),337.08)</f>
        <v>337.08</v>
      </c>
      <c r="J7" s="22">
        <v>5.0</v>
      </c>
      <c r="K7" s="24">
        <f t="shared" si="3"/>
        <v>1685.4</v>
      </c>
      <c r="L7" s="25">
        <f t="shared" si="4"/>
        <v>0.0620739721</v>
      </c>
      <c r="M7" s="26">
        <f t="shared" si="5"/>
        <v>0.5965518875</v>
      </c>
      <c r="N7" s="27">
        <v>1.0</v>
      </c>
      <c r="Q7" s="18" t="s">
        <v>110</v>
      </c>
      <c r="R7" s="19">
        <f>sumif($D$3:$D$58, "=Real Estate",$N$3:$N$58)</f>
        <v>2</v>
      </c>
      <c r="S7" s="2">
        <f>sumif($D$3:$D$58, "=Real Estate",$K$3:$K$58)</f>
        <v>321.36237</v>
      </c>
      <c r="T7" s="20">
        <f t="shared" si="1"/>
        <v>0.01066221228</v>
      </c>
    </row>
    <row r="8">
      <c r="A8" s="21">
        <f t="shared" si="6"/>
        <v>7</v>
      </c>
      <c r="B8" s="16" t="s">
        <v>111</v>
      </c>
      <c r="C8" s="22" t="s">
        <v>112</v>
      </c>
      <c r="D8" s="22" t="s">
        <v>102</v>
      </c>
      <c r="E8" s="22" t="s">
        <v>113</v>
      </c>
      <c r="F8" s="23">
        <f>IFERROR(__xludf.DUMMYFUNCTION("GOOGLEFINANCE(C8, ""marketcap"")/1000000000"),10.071567814)</f>
        <v>10.07156781</v>
      </c>
      <c r="G8" s="23">
        <v>145.83</v>
      </c>
      <c r="H8" s="24">
        <f t="shared" si="2"/>
        <v>2187.45</v>
      </c>
      <c r="I8" s="24">
        <f>IFERROR(__xludf.DUMMYFUNCTION("GOOGLEFINANCE(C8)"),73.02)</f>
        <v>73.02</v>
      </c>
      <c r="J8" s="22">
        <v>15.0</v>
      </c>
      <c r="K8" s="24">
        <f t="shared" si="3"/>
        <v>1095.3</v>
      </c>
      <c r="L8" s="25">
        <f t="shared" si="4"/>
        <v>0.04034034748</v>
      </c>
      <c r="M8" s="26">
        <f t="shared" si="5"/>
        <v>-0.4992799835</v>
      </c>
      <c r="N8" s="27">
        <v>1.0</v>
      </c>
    </row>
    <row r="9">
      <c r="A9" s="21">
        <f t="shared" si="6"/>
        <v>8</v>
      </c>
      <c r="B9" s="16" t="s">
        <v>114</v>
      </c>
      <c r="C9" s="22" t="s">
        <v>115</v>
      </c>
      <c r="D9" s="22" t="s">
        <v>98</v>
      </c>
      <c r="E9" s="22" t="s">
        <v>116</v>
      </c>
      <c r="F9" s="23">
        <f>IFERROR(__xludf.DUMMYFUNCTION("GOOGLEFINANCE(C9, ""marketcap"")/1000000000"),10.544250097)</f>
        <v>10.5442501</v>
      </c>
      <c r="G9" s="23">
        <v>65.69</v>
      </c>
      <c r="H9" s="24">
        <f t="shared" si="2"/>
        <v>197.07</v>
      </c>
      <c r="I9" s="24">
        <f>IFERROR(__xludf.DUMMYFUNCTION("GOOGLEFINANCE(C9)"),293.49)</f>
        <v>293.49</v>
      </c>
      <c r="J9" s="22">
        <v>3.0</v>
      </c>
      <c r="K9" s="24">
        <f t="shared" si="3"/>
        <v>880.47</v>
      </c>
      <c r="L9" s="25">
        <f t="shared" si="4"/>
        <v>0.03242807061</v>
      </c>
      <c r="M9" s="26">
        <f t="shared" si="5"/>
        <v>3.467803319</v>
      </c>
      <c r="N9" s="27">
        <v>1.0</v>
      </c>
      <c r="S9" s="2"/>
    </row>
    <row r="10">
      <c r="A10" s="21">
        <f t="shared" si="6"/>
        <v>9</v>
      </c>
      <c r="B10" s="16" t="s">
        <v>117</v>
      </c>
      <c r="C10" s="22" t="s">
        <v>118</v>
      </c>
      <c r="D10" s="22" t="s">
        <v>94</v>
      </c>
      <c r="E10" s="22" t="s">
        <v>119</v>
      </c>
      <c r="F10" s="23">
        <f>IFERROR(__xludf.DUMMYFUNCTION("GOOGLEFINANCE(C10, ""marketcap"")/1000000000"),37.601227344)</f>
        <v>37.60122734</v>
      </c>
      <c r="G10" s="23">
        <v>135.72</v>
      </c>
      <c r="H10" s="24">
        <f t="shared" si="2"/>
        <v>1492.92</v>
      </c>
      <c r="I10" s="24">
        <f>IFERROR(__xludf.DUMMYFUNCTION("GOOGLEFINANCE(C10)"),63.71)</f>
        <v>63.71</v>
      </c>
      <c r="J10" s="22">
        <v>11.0</v>
      </c>
      <c r="K10" s="24">
        <f t="shared" si="3"/>
        <v>700.81</v>
      </c>
      <c r="L10" s="25">
        <f t="shared" si="4"/>
        <v>0.02581111925</v>
      </c>
      <c r="M10" s="26">
        <f t="shared" si="5"/>
        <v>-0.5305776599</v>
      </c>
      <c r="N10" s="27">
        <v>1.0</v>
      </c>
    </row>
    <row r="11">
      <c r="A11" s="21">
        <f t="shared" si="6"/>
        <v>10</v>
      </c>
      <c r="B11" s="16" t="s">
        <v>120</v>
      </c>
      <c r="C11" s="22" t="s">
        <v>121</v>
      </c>
      <c r="D11" s="22" t="s">
        <v>102</v>
      </c>
      <c r="E11" s="22" t="s">
        <v>122</v>
      </c>
      <c r="F11" s="23">
        <f>IFERROR(__xludf.DUMMYFUNCTION("GOOGLEFINANCE(C11, ""marketcap"")/1000000000"),13.919362045)</f>
        <v>13.91936205</v>
      </c>
      <c r="G11" s="23">
        <v>129.66</v>
      </c>
      <c r="H11" s="24">
        <f t="shared" si="2"/>
        <v>1296.6</v>
      </c>
      <c r="I11" s="24">
        <f>IFERROR(__xludf.DUMMYFUNCTION("GOOGLEFINANCE(C11)"),76.01)</f>
        <v>76.01</v>
      </c>
      <c r="J11" s="22">
        <v>10.0</v>
      </c>
      <c r="K11" s="24">
        <f t="shared" si="3"/>
        <v>760.1</v>
      </c>
      <c r="L11" s="25">
        <f t="shared" si="4"/>
        <v>0.02799479423</v>
      </c>
      <c r="M11" s="26">
        <f t="shared" si="5"/>
        <v>-0.4137744871</v>
      </c>
      <c r="N11" s="27">
        <v>1.0</v>
      </c>
    </row>
    <row r="12">
      <c r="A12" s="21">
        <f t="shared" si="6"/>
        <v>11</v>
      </c>
      <c r="B12" s="16" t="s">
        <v>123</v>
      </c>
      <c r="C12" s="22" t="s">
        <v>124</v>
      </c>
      <c r="D12" s="22" t="s">
        <v>91</v>
      </c>
      <c r="E12" s="22" t="s">
        <v>125</v>
      </c>
      <c r="F12" s="23">
        <f>IFERROR(__xludf.DUMMYFUNCTION("GOOGLEFINANCE(C12, ""marketcap"")/1000000000"),109.899817838)</f>
        <v>109.8998178</v>
      </c>
      <c r="G12" s="23">
        <v>138.12</v>
      </c>
      <c r="H12" s="24">
        <f t="shared" si="2"/>
        <v>1104.96</v>
      </c>
      <c r="I12" s="24">
        <f>IFERROR(__xludf.DUMMYFUNCTION("GOOGLEFINANCE(C12)"),95.03)</f>
        <v>95.03</v>
      </c>
      <c r="J12" s="22">
        <v>8.0</v>
      </c>
      <c r="K12" s="24">
        <f t="shared" si="3"/>
        <v>760.24</v>
      </c>
      <c r="L12" s="25">
        <f t="shared" si="4"/>
        <v>0.02799995048</v>
      </c>
      <c r="M12" s="26">
        <f t="shared" si="5"/>
        <v>-0.3119750941</v>
      </c>
      <c r="N12" s="27">
        <v>1.0</v>
      </c>
      <c r="S12" s="2"/>
    </row>
    <row r="13">
      <c r="A13" s="21">
        <f t="shared" si="6"/>
        <v>12</v>
      </c>
      <c r="B13" s="16" t="s">
        <v>126</v>
      </c>
      <c r="C13" s="22" t="s">
        <v>127</v>
      </c>
      <c r="D13" s="22" t="s">
        <v>91</v>
      </c>
      <c r="E13" s="22" t="s">
        <v>128</v>
      </c>
      <c r="F13" s="23">
        <f>IFERROR(__xludf.DUMMYFUNCTION("GOOGLEFINANCE(C13, ""marketcap"")/1000000000"),1.561617134)</f>
        <v>1.561617134</v>
      </c>
      <c r="G13" s="23">
        <v>57.6</v>
      </c>
      <c r="H13" s="24">
        <f t="shared" si="2"/>
        <v>1440</v>
      </c>
      <c r="I13" s="24">
        <f>IFERROR(__xludf.DUMMYFUNCTION("GOOGLEFINANCE(C13)"),22.65)</f>
        <v>22.65</v>
      </c>
      <c r="J13" s="22">
        <v>25.0</v>
      </c>
      <c r="K13" s="24">
        <f t="shared" si="3"/>
        <v>566.25</v>
      </c>
      <c r="L13" s="25">
        <f t="shared" si="4"/>
        <v>0.02085521935</v>
      </c>
      <c r="M13" s="26">
        <f t="shared" si="5"/>
        <v>-0.6067708333</v>
      </c>
      <c r="N13" s="27">
        <v>1.0</v>
      </c>
      <c r="S13" s="2"/>
    </row>
    <row r="14">
      <c r="A14" s="21">
        <f t="shared" si="6"/>
        <v>13</v>
      </c>
      <c r="B14" s="16" t="s">
        <v>129</v>
      </c>
      <c r="C14" s="22" t="s">
        <v>130</v>
      </c>
      <c r="D14" s="22" t="s">
        <v>94</v>
      </c>
      <c r="E14" s="22" t="s">
        <v>97</v>
      </c>
      <c r="F14" s="23">
        <f>IFERROR(__xludf.DUMMYFUNCTION("GOOGLEFINANCE(C14, ""marketcap"")/1000000000"),15.207627048)</f>
        <v>15.20762705</v>
      </c>
      <c r="G14" s="3">
        <v>225.16</v>
      </c>
      <c r="H14" s="24">
        <f t="shared" si="2"/>
        <v>450.32</v>
      </c>
      <c r="I14" s="24">
        <f>IFERROR(__xludf.DUMMYFUNCTION("GOOGLEFINANCE(C14)"),221.34)</f>
        <v>221.34</v>
      </c>
      <c r="J14" s="22">
        <v>2.0</v>
      </c>
      <c r="K14" s="24">
        <f t="shared" si="3"/>
        <v>442.68</v>
      </c>
      <c r="L14" s="25">
        <f t="shared" si="4"/>
        <v>0.01630408566</v>
      </c>
      <c r="M14" s="26">
        <f t="shared" si="5"/>
        <v>-0.01696571327</v>
      </c>
      <c r="N14" s="27">
        <v>1.0</v>
      </c>
      <c r="R14" s="18"/>
      <c r="S14" s="6"/>
      <c r="T14" s="18"/>
    </row>
    <row r="15">
      <c r="A15" s="21">
        <f t="shared" si="6"/>
        <v>14</v>
      </c>
      <c r="B15" s="16" t="s">
        <v>131</v>
      </c>
      <c r="C15" s="22" t="s">
        <v>132</v>
      </c>
      <c r="D15" s="22" t="s">
        <v>94</v>
      </c>
      <c r="E15" s="22" t="s">
        <v>133</v>
      </c>
      <c r="F15" s="23">
        <f>IFERROR(__xludf.DUMMYFUNCTION("GOOGLEFINANCE(C15, ""marketcap"")/1000000000"),173.937945997)</f>
        <v>173.937946</v>
      </c>
      <c r="G15" s="23">
        <v>236.6</v>
      </c>
      <c r="H15" s="24">
        <f t="shared" si="2"/>
        <v>480.9708904</v>
      </c>
      <c r="I15" s="24">
        <f>IFERROR(__xludf.DUMMYFUNCTION("GOOGLEFINANCE(C15)"),274.98)</f>
        <v>274.98</v>
      </c>
      <c r="J15" s="22">
        <v>2.032844</v>
      </c>
      <c r="K15" s="24">
        <f t="shared" si="3"/>
        <v>558.9914431</v>
      </c>
      <c r="L15" s="25">
        <f t="shared" si="4"/>
        <v>0.02058788373</v>
      </c>
      <c r="M15" s="26">
        <f t="shared" si="5"/>
        <v>0.1622147084</v>
      </c>
      <c r="N15" s="27">
        <v>1.0</v>
      </c>
      <c r="Q15" s="18"/>
      <c r="S15" s="2"/>
      <c r="T15" s="20"/>
    </row>
    <row r="16">
      <c r="A16" s="21">
        <f t="shared" si="6"/>
        <v>15</v>
      </c>
      <c r="B16" s="16" t="s">
        <v>134</v>
      </c>
      <c r="C16" s="22" t="s">
        <v>135</v>
      </c>
      <c r="D16" s="22" t="s">
        <v>94</v>
      </c>
      <c r="E16" s="22" t="s">
        <v>105</v>
      </c>
      <c r="F16" s="23">
        <f>IFERROR(__xludf.DUMMYFUNCTION("GOOGLEFINANCE(C16, ""marketcap"")/1000000000"),35.278621381)</f>
        <v>35.27862138</v>
      </c>
      <c r="G16" s="3">
        <v>184.52</v>
      </c>
      <c r="H16" s="24">
        <f t="shared" si="2"/>
        <v>369.04</v>
      </c>
      <c r="I16" s="24">
        <f>IFERROR(__xludf.DUMMYFUNCTION("GOOGLEFINANCE(C16)"),241.62)</f>
        <v>241.62</v>
      </c>
      <c r="J16" s="22">
        <v>2.0</v>
      </c>
      <c r="K16" s="24">
        <f t="shared" si="3"/>
        <v>483.24</v>
      </c>
      <c r="L16" s="25">
        <f t="shared" si="4"/>
        <v>0.01779792707</v>
      </c>
      <c r="M16" s="26">
        <f t="shared" si="5"/>
        <v>0.30945155</v>
      </c>
      <c r="N16" s="27">
        <v>1.0</v>
      </c>
      <c r="S16" s="2"/>
    </row>
    <row r="17">
      <c r="A17" s="21">
        <f t="shared" si="6"/>
        <v>16</v>
      </c>
      <c r="B17" s="16" t="s">
        <v>136</v>
      </c>
      <c r="C17" s="22" t="s">
        <v>137</v>
      </c>
      <c r="D17" s="22" t="s">
        <v>94</v>
      </c>
      <c r="E17" s="22" t="s">
        <v>138</v>
      </c>
      <c r="F17" s="23">
        <f>IFERROR(__xludf.DUMMYFUNCTION("GOOGLEFINANCE(C17, ""marketcap"")/1000000000"),190.552965101)</f>
        <v>190.5529651</v>
      </c>
      <c r="G17" s="23">
        <v>365.18</v>
      </c>
      <c r="H17" s="24">
        <f t="shared" si="2"/>
        <v>366.2149201</v>
      </c>
      <c r="I17" s="24">
        <f>IFERROR(__xludf.DUMMYFUNCTION("GOOGLEFINANCE(C17)"),471.11)</f>
        <v>471.11</v>
      </c>
      <c r="J17" s="22">
        <v>1.002834</v>
      </c>
      <c r="K17" s="24">
        <f t="shared" si="3"/>
        <v>472.4451257</v>
      </c>
      <c r="L17" s="25">
        <f t="shared" si="4"/>
        <v>0.01740034743</v>
      </c>
      <c r="M17" s="26">
        <f t="shared" si="5"/>
        <v>0.2900761268</v>
      </c>
      <c r="N17" s="27">
        <v>1.0</v>
      </c>
      <c r="S17" s="2"/>
    </row>
    <row r="18">
      <c r="A18" s="21">
        <f t="shared" si="6"/>
        <v>17</v>
      </c>
      <c r="B18" s="16" t="s">
        <v>139</v>
      </c>
      <c r="C18" s="22" t="s">
        <v>140</v>
      </c>
      <c r="D18" s="22" t="s">
        <v>91</v>
      </c>
      <c r="E18" s="22" t="s">
        <v>128</v>
      </c>
      <c r="F18" s="23">
        <f>IFERROR(__xludf.DUMMYFUNCTION("GOOGLEFINANCE(C18, ""marketcap"")/1000000000"),5.754350837)</f>
        <v>5.754350837</v>
      </c>
      <c r="G18" s="23">
        <v>189.32</v>
      </c>
      <c r="H18" s="24">
        <f t="shared" si="2"/>
        <v>380.0176816</v>
      </c>
      <c r="I18" s="24">
        <f>IFERROR(__xludf.DUMMYFUNCTION("GOOGLEFINANCE(C18)"),251.24)</f>
        <v>251.24</v>
      </c>
      <c r="J18" s="22">
        <v>2.007277</v>
      </c>
      <c r="K18" s="24">
        <f t="shared" si="3"/>
        <v>504.3082735</v>
      </c>
      <c r="L18" s="25">
        <f t="shared" si="4"/>
        <v>0.0185738802</v>
      </c>
      <c r="M18" s="26">
        <f t="shared" si="5"/>
        <v>0.3270652863</v>
      </c>
      <c r="N18" s="27">
        <v>1.0</v>
      </c>
      <c r="S18" s="2"/>
    </row>
    <row r="19">
      <c r="A19" s="21">
        <f t="shared" si="6"/>
        <v>18</v>
      </c>
      <c r="B19" s="16" t="s">
        <v>141</v>
      </c>
      <c r="C19" s="22" t="s">
        <v>142</v>
      </c>
      <c r="D19" s="22" t="s">
        <v>102</v>
      </c>
      <c r="E19" s="22" t="s">
        <v>143</v>
      </c>
      <c r="F19" s="23">
        <f>IFERROR(__xludf.DUMMYFUNCTION("GOOGLEFINANCE(C19, ""marketcap"")/1000000000"),0.918263683)</f>
        <v>0.918263683</v>
      </c>
      <c r="G19" s="23">
        <v>25.73</v>
      </c>
      <c r="H19" s="24">
        <f t="shared" si="2"/>
        <v>643.25</v>
      </c>
      <c r="I19" s="24">
        <f>IFERROR(__xludf.DUMMYFUNCTION("GOOGLEFINANCE(C19)"),17.53)</f>
        <v>17.53</v>
      </c>
      <c r="J19" s="22">
        <v>25.0</v>
      </c>
      <c r="K19" s="24">
        <f t="shared" si="3"/>
        <v>438.25</v>
      </c>
      <c r="L19" s="25">
        <f t="shared" si="4"/>
        <v>0.01614092694</v>
      </c>
      <c r="M19" s="26">
        <f t="shared" si="5"/>
        <v>-0.3186941314</v>
      </c>
      <c r="N19" s="27">
        <v>1.0</v>
      </c>
      <c r="S19" s="2"/>
    </row>
    <row r="20">
      <c r="A20" s="21">
        <f t="shared" si="6"/>
        <v>19</v>
      </c>
      <c r="B20" s="16" t="s">
        <v>144</v>
      </c>
      <c r="C20" s="22" t="s">
        <v>145</v>
      </c>
      <c r="D20" s="22" t="s">
        <v>94</v>
      </c>
      <c r="E20" s="22" t="s">
        <v>105</v>
      </c>
      <c r="F20" s="23">
        <f>IFERROR(__xludf.DUMMYFUNCTION("GOOGLEFINANCE(C20, ""marketcap"")/1000000000"),11.075287523)</f>
        <v>11.07528752</v>
      </c>
      <c r="G20" s="23">
        <v>70.61</v>
      </c>
      <c r="H20" s="24">
        <f t="shared" si="2"/>
        <v>706.1</v>
      </c>
      <c r="I20" s="24">
        <f>IFERROR(__xludf.DUMMYFUNCTION("GOOGLEFINANCE(C20)"),36.86)</f>
        <v>36.86</v>
      </c>
      <c r="J20" s="22">
        <v>10.0</v>
      </c>
      <c r="K20" s="24">
        <f t="shared" si="3"/>
        <v>368.6</v>
      </c>
      <c r="L20" s="25">
        <f t="shared" si="4"/>
        <v>0.01357568893</v>
      </c>
      <c r="M20" s="26">
        <f t="shared" si="5"/>
        <v>-0.4779776236</v>
      </c>
      <c r="N20" s="27">
        <v>1.0</v>
      </c>
      <c r="S20" s="2"/>
    </row>
    <row r="21">
      <c r="A21" s="21">
        <f t="shared" si="6"/>
        <v>20</v>
      </c>
      <c r="B21" s="16" t="s">
        <v>146</v>
      </c>
      <c r="C21" s="22" t="s">
        <v>147</v>
      </c>
      <c r="D21" s="22" t="s">
        <v>102</v>
      </c>
      <c r="E21" s="22" t="s">
        <v>113</v>
      </c>
      <c r="F21" s="23">
        <f>IFERROR(__xludf.DUMMYFUNCTION("GOOGLEFINANCE(C21, ""marketcap"")/1000000000"),199.023129351)</f>
        <v>199.0231294</v>
      </c>
      <c r="G21" s="23">
        <v>142.76</v>
      </c>
      <c r="H21" s="24">
        <f t="shared" si="2"/>
        <v>571.04</v>
      </c>
      <c r="I21" s="24">
        <f>IFERROR(__xludf.DUMMYFUNCTION("GOOGLEFINANCE(C21)"),109.17)</f>
        <v>109.17</v>
      </c>
      <c r="J21" s="22">
        <v>4.0</v>
      </c>
      <c r="K21" s="24">
        <f t="shared" si="3"/>
        <v>436.68</v>
      </c>
      <c r="L21" s="25">
        <f t="shared" si="4"/>
        <v>0.0160831032</v>
      </c>
      <c r="M21" s="26">
        <f t="shared" si="5"/>
        <v>-0.2352899972</v>
      </c>
      <c r="N21" s="27">
        <v>1.0</v>
      </c>
    </row>
    <row r="22">
      <c r="A22" s="21">
        <f t="shared" si="6"/>
        <v>21</v>
      </c>
      <c r="B22" s="16" t="s">
        <v>148</v>
      </c>
      <c r="C22" s="22" t="s">
        <v>149</v>
      </c>
      <c r="D22" s="22" t="s">
        <v>102</v>
      </c>
      <c r="E22" s="22" t="s">
        <v>150</v>
      </c>
      <c r="F22" s="23">
        <f>IFERROR(__xludf.DUMMYFUNCTION("GOOGLEFINANCE(C22, ""marketcap"")/1000000000"),0.979741989)</f>
        <v>0.979741989</v>
      </c>
      <c r="G22" s="23">
        <v>14.38</v>
      </c>
      <c r="H22" s="24">
        <f t="shared" si="2"/>
        <v>719</v>
      </c>
      <c r="I22" s="24">
        <f>IFERROR(__xludf.DUMMYFUNCTION("GOOGLEFINANCE(C22)"),7.37)</f>
        <v>7.37</v>
      </c>
      <c r="J22" s="22">
        <v>50.0</v>
      </c>
      <c r="K22" s="24">
        <f t="shared" si="3"/>
        <v>368.5</v>
      </c>
      <c r="L22" s="25">
        <f t="shared" si="4"/>
        <v>0.01357200588</v>
      </c>
      <c r="M22" s="26">
        <f t="shared" si="5"/>
        <v>-0.4874826147</v>
      </c>
      <c r="N22" s="27">
        <v>1.0</v>
      </c>
      <c r="S22" s="2"/>
    </row>
    <row r="23">
      <c r="A23" s="21">
        <f t="shared" si="6"/>
        <v>22</v>
      </c>
      <c r="B23" s="16" t="s">
        <v>151</v>
      </c>
      <c r="C23" s="22" t="s">
        <v>152</v>
      </c>
      <c r="D23" s="22" t="s">
        <v>102</v>
      </c>
      <c r="E23" s="22" t="s">
        <v>122</v>
      </c>
      <c r="F23" s="23">
        <f>IFERROR(__xludf.DUMMYFUNCTION("GOOGLEFINANCE(C23, ""marketcap"")/1000000000"),17.119399007)</f>
        <v>17.11939901</v>
      </c>
      <c r="G23" s="23">
        <v>43.0</v>
      </c>
      <c r="H23" s="24">
        <f t="shared" si="2"/>
        <v>860</v>
      </c>
      <c r="I23" s="24">
        <f>IFERROR(__xludf.DUMMYFUNCTION("GOOGLEFINANCE(C23)"),25.42)</f>
        <v>25.42</v>
      </c>
      <c r="J23" s="22">
        <v>20.0</v>
      </c>
      <c r="K23" s="24">
        <f t="shared" si="3"/>
        <v>508.4</v>
      </c>
      <c r="L23" s="25">
        <f t="shared" si="4"/>
        <v>0.01872458017</v>
      </c>
      <c r="M23" s="26">
        <f t="shared" si="5"/>
        <v>-0.4088372093</v>
      </c>
      <c r="N23" s="27">
        <v>1.0</v>
      </c>
      <c r="S23" s="2"/>
    </row>
    <row r="24">
      <c r="A24" s="21">
        <f t="shared" si="6"/>
        <v>23</v>
      </c>
      <c r="B24" s="16" t="s">
        <v>153</v>
      </c>
      <c r="C24" s="22" t="s">
        <v>154</v>
      </c>
      <c r="D24" s="22" t="s">
        <v>91</v>
      </c>
      <c r="E24" s="22" t="s">
        <v>155</v>
      </c>
      <c r="F24" s="23">
        <f>IFERROR(__xludf.DUMMYFUNCTION("GOOGLEFINANCE(C24, ""marketcap"")/1000000000"),303.4710541)</f>
        <v>303.4710541</v>
      </c>
      <c r="G24" s="23">
        <v>276.39</v>
      </c>
      <c r="H24" s="24">
        <f t="shared" si="2"/>
        <v>279.1983988</v>
      </c>
      <c r="I24" s="24">
        <f>IFERROR(__xludf.DUMMYFUNCTION("GOOGLEFINANCE(C24)"),314.03)</f>
        <v>314.03</v>
      </c>
      <c r="J24" s="22">
        <v>1.010161</v>
      </c>
      <c r="K24" s="24">
        <f t="shared" si="3"/>
        <v>317.2208588</v>
      </c>
      <c r="L24" s="25">
        <f t="shared" si="4"/>
        <v>0.01168337412</v>
      </c>
      <c r="M24" s="26">
        <f t="shared" si="5"/>
        <v>0.1361843771</v>
      </c>
      <c r="N24" s="27">
        <v>1.0</v>
      </c>
      <c r="S24" s="2"/>
    </row>
    <row r="25">
      <c r="A25" s="21">
        <f t="shared" si="6"/>
        <v>24</v>
      </c>
      <c r="B25" s="16" t="s">
        <v>156</v>
      </c>
      <c r="C25" s="22" t="s">
        <v>157</v>
      </c>
      <c r="D25" s="22" t="s">
        <v>98</v>
      </c>
      <c r="E25" s="22" t="s">
        <v>158</v>
      </c>
      <c r="F25" s="23">
        <f>IFERROR(__xludf.DUMMYFUNCTION("GOOGLEFINANCE(C25, ""marketcap"")/1000000000"),4.870746365)</f>
        <v>4.870746365</v>
      </c>
      <c r="G25" s="23">
        <v>138.84</v>
      </c>
      <c r="H25" s="24">
        <f t="shared" si="2"/>
        <v>1388.4</v>
      </c>
      <c r="I25" s="24">
        <f>IFERROR(__xludf.DUMMYFUNCTION("GOOGLEFINANCE(C25)"),30.13)</f>
        <v>30.13</v>
      </c>
      <c r="J25" s="22">
        <v>10.0</v>
      </c>
      <c r="K25" s="24">
        <f t="shared" si="3"/>
        <v>301.3</v>
      </c>
      <c r="L25" s="25">
        <f t="shared" si="4"/>
        <v>0.01109700237</v>
      </c>
      <c r="M25" s="26">
        <f t="shared" si="5"/>
        <v>-0.7829876116</v>
      </c>
      <c r="N25" s="27">
        <v>1.0</v>
      </c>
    </row>
    <row r="26">
      <c r="A26" s="21">
        <f t="shared" si="6"/>
        <v>25</v>
      </c>
      <c r="B26" s="16" t="s">
        <v>159</v>
      </c>
      <c r="C26" s="22" t="s">
        <v>159</v>
      </c>
      <c r="D26" s="22" t="s">
        <v>94</v>
      </c>
      <c r="E26" s="22" t="s">
        <v>101</v>
      </c>
      <c r="F26" s="23">
        <f>IFERROR(__xludf.DUMMYFUNCTION("GOOGLEFINANCE(C26, ""marketcap"")/1000000000"),123.93141775)</f>
        <v>123.9314178</v>
      </c>
      <c r="G26" s="23">
        <v>98.2</v>
      </c>
      <c r="H26" s="24">
        <f t="shared" si="2"/>
        <v>294.6</v>
      </c>
      <c r="I26" s="24">
        <f>IFERROR(__xludf.DUMMYFUNCTION("GOOGLEFINANCE(C26)"),76.77)</f>
        <v>76.77</v>
      </c>
      <c r="J26" s="22">
        <v>3.0</v>
      </c>
      <c r="K26" s="24">
        <f t="shared" si="3"/>
        <v>230.31</v>
      </c>
      <c r="L26" s="25">
        <f t="shared" si="4"/>
        <v>0.008482411602</v>
      </c>
      <c r="M26" s="26">
        <f t="shared" si="5"/>
        <v>-0.2182281059</v>
      </c>
      <c r="N26" s="27">
        <v>1.0</v>
      </c>
      <c r="S26" s="2"/>
    </row>
    <row r="27">
      <c r="A27" s="21">
        <f t="shared" si="6"/>
        <v>26</v>
      </c>
      <c r="B27" s="16" t="s">
        <v>160</v>
      </c>
      <c r="C27" s="22" t="s">
        <v>161</v>
      </c>
      <c r="D27" s="22" t="s">
        <v>98</v>
      </c>
      <c r="E27" s="22" t="s">
        <v>162</v>
      </c>
      <c r="F27" s="23">
        <f>IFERROR(__xludf.DUMMYFUNCTION("GOOGLEFINANCE(C27, ""marketcap"")/1000000000"),1.25451536)</f>
        <v>1.25451536</v>
      </c>
      <c r="G27" s="23">
        <v>95.85</v>
      </c>
      <c r="H27" s="24">
        <f t="shared" si="2"/>
        <v>575.1</v>
      </c>
      <c r="I27" s="24">
        <f>IFERROR(__xludf.DUMMYFUNCTION("GOOGLEFINANCE(C27)"),41.45)</f>
        <v>41.45</v>
      </c>
      <c r="J27" s="22">
        <v>6.0</v>
      </c>
      <c r="K27" s="24">
        <f t="shared" si="3"/>
        <v>248.7</v>
      </c>
      <c r="L27" s="25">
        <f t="shared" si="4"/>
        <v>0.009159722832</v>
      </c>
      <c r="M27" s="26">
        <f t="shared" si="5"/>
        <v>-0.567553469</v>
      </c>
      <c r="N27" s="27">
        <v>1.0</v>
      </c>
      <c r="S27" s="2"/>
    </row>
    <row r="28">
      <c r="A28" s="21">
        <f t="shared" si="6"/>
        <v>27</v>
      </c>
      <c r="B28" s="28" t="s">
        <v>163</v>
      </c>
      <c r="C28" s="29" t="s">
        <v>164</v>
      </c>
      <c r="D28" s="29" t="s">
        <v>110</v>
      </c>
      <c r="E28" s="30" t="s">
        <v>165</v>
      </c>
      <c r="F28" s="31">
        <f>IFERROR(__xludf.DUMMYFUNCTION("GOOGLEFINANCE(C28, ""marketcap"")/1000000000"),115.2327825)</f>
        <v>115.2327825</v>
      </c>
      <c r="G28" s="32">
        <v>250.56</v>
      </c>
      <c r="H28" s="33">
        <f t="shared" si="2"/>
        <v>260.6455411</v>
      </c>
      <c r="I28" s="33">
        <f>IFERROR(__xludf.DUMMYFUNCTION("GOOGLEFINANCE(C28)"),247.5)</f>
        <v>247.5</v>
      </c>
      <c r="J28" s="34">
        <v>1.040252</v>
      </c>
      <c r="K28" s="24">
        <f t="shared" si="3"/>
        <v>257.46237</v>
      </c>
      <c r="L28" s="25">
        <f t="shared" si="4"/>
        <v>0.009482444507</v>
      </c>
      <c r="M28" s="35">
        <f t="shared" si="5"/>
        <v>-0.01221264368</v>
      </c>
      <c r="N28" s="36">
        <v>1.0</v>
      </c>
      <c r="S28" s="2"/>
    </row>
    <row r="29">
      <c r="A29" s="21">
        <f t="shared" si="6"/>
        <v>28</v>
      </c>
      <c r="B29" s="16" t="s">
        <v>166</v>
      </c>
      <c r="C29" s="22" t="s">
        <v>167</v>
      </c>
      <c r="D29" s="22" t="s">
        <v>94</v>
      </c>
      <c r="E29" s="22" t="s">
        <v>105</v>
      </c>
      <c r="F29" s="23">
        <f>IFERROR(__xludf.DUMMYFUNCTION("GOOGLEFINANCE(C29, ""marketcap"")/1000000000"),0.172335451)</f>
        <v>0.172335451</v>
      </c>
      <c r="G29" s="23">
        <v>5.71</v>
      </c>
      <c r="H29" s="24">
        <f t="shared" si="2"/>
        <v>1427.5</v>
      </c>
      <c r="I29" s="24">
        <f>IFERROR(__xludf.DUMMYFUNCTION("GOOGLEFINANCE(C29)"),1.19)</f>
        <v>1.19</v>
      </c>
      <c r="J29" s="22">
        <v>250.0</v>
      </c>
      <c r="K29" s="24">
        <f t="shared" si="3"/>
        <v>297.5</v>
      </c>
      <c r="L29" s="25">
        <f t="shared" si="4"/>
        <v>0.01095704681</v>
      </c>
      <c r="M29" s="26">
        <f t="shared" si="5"/>
        <v>-0.7915936953</v>
      </c>
      <c r="N29" s="27">
        <v>1.0</v>
      </c>
      <c r="S29" s="2"/>
    </row>
    <row r="30">
      <c r="A30" s="21">
        <f t="shared" si="6"/>
        <v>29</v>
      </c>
      <c r="B30" s="16" t="s">
        <v>168</v>
      </c>
      <c r="C30" s="22" t="s">
        <v>169</v>
      </c>
      <c r="D30" s="22" t="s">
        <v>94</v>
      </c>
      <c r="E30" s="22" t="s">
        <v>105</v>
      </c>
      <c r="F30" s="23">
        <f>IFERROR(__xludf.DUMMYFUNCTION("GOOGLEFINANCE(C30, ""marketcap"")/1000000000"),7.931381935)</f>
        <v>7.931381935</v>
      </c>
      <c r="G30" s="23">
        <v>86.32</v>
      </c>
      <c r="H30" s="24">
        <f t="shared" si="2"/>
        <v>258.96</v>
      </c>
      <c r="I30" s="24">
        <f>IFERROR(__xludf.DUMMYFUNCTION("GOOGLEFINANCE(C30)"),83.5)</f>
        <v>83.5</v>
      </c>
      <c r="J30" s="22">
        <v>3.0</v>
      </c>
      <c r="K30" s="24">
        <f t="shared" si="3"/>
        <v>250.5</v>
      </c>
      <c r="L30" s="25">
        <f t="shared" si="4"/>
        <v>0.009226017569</v>
      </c>
      <c r="M30" s="26">
        <f t="shared" si="5"/>
        <v>-0.03266913809</v>
      </c>
      <c r="N30" s="27">
        <v>1.0</v>
      </c>
      <c r="S30" s="2"/>
    </row>
    <row r="31">
      <c r="A31" s="21">
        <f t="shared" si="6"/>
        <v>30</v>
      </c>
      <c r="B31" s="16" t="s">
        <v>170</v>
      </c>
      <c r="C31" s="22" t="s">
        <v>171</v>
      </c>
      <c r="D31" s="22" t="s">
        <v>91</v>
      </c>
      <c r="E31" s="22" t="s">
        <v>125</v>
      </c>
      <c r="F31" s="23">
        <f>IFERROR(__xludf.DUMMYFUNCTION("GOOGLEFINANCE(C31, ""marketcap"")/1000000000"),399.553148001)</f>
        <v>399.553148</v>
      </c>
      <c r="G31" s="23">
        <v>197.05</v>
      </c>
      <c r="H31" s="24">
        <f t="shared" si="2"/>
        <v>197.3278405</v>
      </c>
      <c r="I31" s="24">
        <f>IFERROR(__xludf.DUMMYFUNCTION("GOOGLEFINANCE(C31)"),193.13)</f>
        <v>193.13</v>
      </c>
      <c r="J31" s="22">
        <v>1.00141</v>
      </c>
      <c r="K31" s="24">
        <f t="shared" si="3"/>
        <v>193.4023133</v>
      </c>
      <c r="L31" s="25">
        <f t="shared" si="4"/>
        <v>0.007123086389</v>
      </c>
      <c r="M31" s="26">
        <f t="shared" si="5"/>
        <v>-0.01989342806</v>
      </c>
      <c r="N31" s="27">
        <v>1.0</v>
      </c>
      <c r="S31" s="2"/>
    </row>
    <row r="32">
      <c r="A32" s="37">
        <f t="shared" si="6"/>
        <v>31</v>
      </c>
      <c r="B32" s="28" t="s">
        <v>172</v>
      </c>
      <c r="C32" s="29" t="s">
        <v>173</v>
      </c>
      <c r="D32" s="38" t="s">
        <v>94</v>
      </c>
      <c r="E32" s="38"/>
      <c r="F32" s="33">
        <f>IFERROR(__xludf.DUMMYFUNCTION("GOOGLEFINANCE(C32, ""marketcap"")/1000000000"),4.494806452)</f>
        <v>4.494806452</v>
      </c>
      <c r="G32" s="32">
        <v>121.26</v>
      </c>
      <c r="H32" s="33">
        <f t="shared" si="2"/>
        <v>242.52</v>
      </c>
      <c r="I32" s="33">
        <f>IFERROR(__xludf.DUMMYFUNCTION("GOOGLEFINANCE(C32)"),80.67)</f>
        <v>80.67</v>
      </c>
      <c r="J32" s="34">
        <v>2.0</v>
      </c>
      <c r="K32" s="33">
        <f t="shared" si="3"/>
        <v>161.34</v>
      </c>
      <c r="L32" s="39">
        <f t="shared" si="4"/>
        <v>0.005942218262</v>
      </c>
      <c r="M32" s="40">
        <f t="shared" si="5"/>
        <v>-0.3347352796</v>
      </c>
      <c r="N32" s="41">
        <v>1.0</v>
      </c>
      <c r="S32" s="2"/>
    </row>
    <row r="33">
      <c r="A33" s="21">
        <f t="shared" si="6"/>
        <v>32</v>
      </c>
      <c r="B33" s="42" t="s">
        <v>174</v>
      </c>
      <c r="C33" s="43" t="s">
        <v>175</v>
      </c>
      <c r="D33" s="43" t="s">
        <v>98</v>
      </c>
      <c r="E33" s="43" t="s">
        <v>162</v>
      </c>
      <c r="F33" s="44">
        <f>IFERROR(__xludf.DUMMYFUNCTION("GOOGLEFINANCE(C33, ""marketcap"")/1000000000"),31.233050616)</f>
        <v>31.23305062</v>
      </c>
      <c r="G33" s="44">
        <v>404.34</v>
      </c>
      <c r="H33" s="45">
        <f t="shared" si="2"/>
        <v>404.34</v>
      </c>
      <c r="I33" s="45">
        <f>IFERROR(__xludf.DUMMYFUNCTION("GOOGLEFINANCE(C33)"),198.81)</f>
        <v>198.81</v>
      </c>
      <c r="J33" s="43">
        <v>1.0</v>
      </c>
      <c r="K33" s="24">
        <f t="shared" si="3"/>
        <v>198.81</v>
      </c>
      <c r="L33" s="25">
        <f t="shared" si="4"/>
        <v>0.007322253704</v>
      </c>
      <c r="M33" s="26">
        <f t="shared" si="5"/>
        <v>-0.5083098383</v>
      </c>
      <c r="N33" s="27">
        <v>1.0</v>
      </c>
      <c r="S33" s="2"/>
    </row>
    <row r="34">
      <c r="A34" s="21">
        <f t="shared" si="6"/>
        <v>33</v>
      </c>
      <c r="B34" s="42" t="s">
        <v>176</v>
      </c>
      <c r="C34" s="43" t="s">
        <v>177</v>
      </c>
      <c r="D34" s="43" t="s">
        <v>102</v>
      </c>
      <c r="E34" s="43" t="s">
        <v>122</v>
      </c>
      <c r="F34" s="44">
        <f>IFERROR(__xludf.DUMMYFUNCTION("GOOGLEFINANCE(C34, ""marketcap"")/1000000000"),1.199802743)</f>
        <v>1.199802743</v>
      </c>
      <c r="G34" s="44">
        <v>100.87</v>
      </c>
      <c r="H34" s="45">
        <f t="shared" si="2"/>
        <v>504.35</v>
      </c>
      <c r="I34" s="45">
        <f>IFERROR(__xludf.DUMMYFUNCTION("GOOGLEFINANCE(C34)"),32.32)</f>
        <v>32.32</v>
      </c>
      <c r="J34" s="43">
        <v>5.0</v>
      </c>
      <c r="K34" s="24">
        <f t="shared" si="3"/>
        <v>161.6</v>
      </c>
      <c r="L34" s="25">
        <f t="shared" si="4"/>
        <v>0.005951794168</v>
      </c>
      <c r="M34" s="26">
        <f t="shared" si="5"/>
        <v>-0.679587588</v>
      </c>
      <c r="N34" s="27">
        <v>1.0</v>
      </c>
      <c r="S34" s="2"/>
    </row>
    <row r="35">
      <c r="A35" s="21">
        <f t="shared" si="6"/>
        <v>34</v>
      </c>
      <c r="B35" s="42" t="s">
        <v>178</v>
      </c>
      <c r="C35" s="43" t="s">
        <v>179</v>
      </c>
      <c r="D35" s="43" t="s">
        <v>94</v>
      </c>
      <c r="E35" s="43" t="s">
        <v>180</v>
      </c>
      <c r="F35" s="44">
        <f>IFERROR(__xludf.DUMMYFUNCTION("GOOGLEFINANCE(C35, ""marketcap"")/1000000000"),2.35519816)</f>
        <v>2.35519816</v>
      </c>
      <c r="G35" s="44">
        <v>29.0</v>
      </c>
      <c r="H35" s="45">
        <f t="shared" si="2"/>
        <v>58</v>
      </c>
      <c r="I35" s="45">
        <f>IFERROR(__xludf.DUMMYFUNCTION("GOOGLEFINANCE(C35)"),92.0)</f>
        <v>92</v>
      </c>
      <c r="J35" s="43">
        <v>2.0</v>
      </c>
      <c r="K35" s="24">
        <f t="shared" si="3"/>
        <v>184</v>
      </c>
      <c r="L35" s="25">
        <f t="shared" si="4"/>
        <v>0.00677679534</v>
      </c>
      <c r="M35" s="26">
        <f t="shared" si="5"/>
        <v>2.172413793</v>
      </c>
      <c r="N35" s="27">
        <v>1.0</v>
      </c>
      <c r="S35" s="2"/>
    </row>
    <row r="36">
      <c r="A36" s="21">
        <f t="shared" si="6"/>
        <v>35</v>
      </c>
      <c r="B36" s="42" t="s">
        <v>181</v>
      </c>
      <c r="C36" s="43" t="s">
        <v>182</v>
      </c>
      <c r="D36" s="43" t="s">
        <v>98</v>
      </c>
      <c r="E36" s="43" t="s">
        <v>162</v>
      </c>
      <c r="F36" s="44">
        <f>IFERROR(__xludf.DUMMYFUNCTION("GOOGLEFINANCE(C36, ""marketcap"")/1000000000"),2.143504216)</f>
        <v>2.143504216</v>
      </c>
      <c r="G36" s="44">
        <v>106.41</v>
      </c>
      <c r="H36" s="45">
        <f t="shared" si="2"/>
        <v>425.64</v>
      </c>
      <c r="I36" s="45">
        <f>IFERROR(__xludf.DUMMYFUNCTION("GOOGLEFINANCE(C36)"),38.03)</f>
        <v>38.03</v>
      </c>
      <c r="J36" s="43">
        <v>4.0</v>
      </c>
      <c r="K36" s="24">
        <f t="shared" si="3"/>
        <v>152.12</v>
      </c>
      <c r="L36" s="25">
        <f t="shared" si="4"/>
        <v>0.005602641886</v>
      </c>
      <c r="M36" s="26">
        <f t="shared" si="5"/>
        <v>-0.6426087774</v>
      </c>
      <c r="N36" s="27">
        <v>1.0</v>
      </c>
      <c r="S36" s="2"/>
    </row>
    <row r="37">
      <c r="A37" s="21">
        <f t="shared" si="6"/>
        <v>36</v>
      </c>
      <c r="B37" s="42" t="s">
        <v>42</v>
      </c>
      <c r="C37" s="43" t="s">
        <v>183</v>
      </c>
      <c r="D37" s="43" t="s">
        <v>94</v>
      </c>
      <c r="E37" s="43"/>
      <c r="F37" s="44">
        <f>IFERROR(__xludf.DUMMYFUNCTION("GOOGLEFINANCE(C37, ""marketcap"")/1000000000"),15.74434796)</f>
        <v>15.74434796</v>
      </c>
      <c r="G37" s="44">
        <v>125.61</v>
      </c>
      <c r="H37" s="45">
        <f t="shared" si="2"/>
        <v>251.22</v>
      </c>
      <c r="I37" s="45">
        <f>IFERROR(__xludf.DUMMYFUNCTION("GOOGLEFINANCE(C37)"),69.93)</f>
        <v>69.93</v>
      </c>
      <c r="J37" s="43">
        <v>2.0</v>
      </c>
      <c r="K37" s="24">
        <f t="shared" si="3"/>
        <v>139.86</v>
      </c>
      <c r="L37" s="25">
        <f t="shared" si="4"/>
        <v>0.005151101067</v>
      </c>
      <c r="M37" s="26">
        <f t="shared" si="5"/>
        <v>-0.4432768092</v>
      </c>
      <c r="N37" s="27">
        <v>1.0</v>
      </c>
      <c r="O37" s="18"/>
      <c r="P37" s="18"/>
      <c r="S37" s="2"/>
    </row>
    <row r="38">
      <c r="A38" s="21">
        <f t="shared" si="6"/>
        <v>37</v>
      </c>
      <c r="B38" s="42" t="s">
        <v>184</v>
      </c>
      <c r="C38" s="43" t="s">
        <v>185</v>
      </c>
      <c r="D38" s="43" t="s">
        <v>98</v>
      </c>
      <c r="E38" s="43" t="s">
        <v>186</v>
      </c>
      <c r="F38" s="44">
        <f>IFERROR(__xludf.DUMMYFUNCTION("GOOGLEFINANCE(C38, ""marketcap"")/1000000000"),8.022418316)</f>
        <v>8.022418316</v>
      </c>
      <c r="G38" s="44">
        <v>230.54</v>
      </c>
      <c r="H38" s="45">
        <f t="shared" si="2"/>
        <v>230.54</v>
      </c>
      <c r="I38" s="45">
        <f>IFERROR(__xludf.DUMMYFUNCTION("GOOGLEFINANCE(C38)"),152.72)</f>
        <v>152.72</v>
      </c>
      <c r="J38" s="43">
        <v>1.0</v>
      </c>
      <c r="K38" s="45">
        <f t="shared" si="3"/>
        <v>152.72</v>
      </c>
      <c r="L38" s="25">
        <f t="shared" si="4"/>
        <v>0.005624740132</v>
      </c>
      <c r="M38" s="46">
        <f t="shared" si="5"/>
        <v>-0.3375553049</v>
      </c>
      <c r="N38" s="27">
        <v>1.0</v>
      </c>
      <c r="S38" s="2"/>
    </row>
    <row r="39">
      <c r="A39" s="21">
        <f t="shared" si="6"/>
        <v>38</v>
      </c>
      <c r="B39" s="42" t="s">
        <v>187</v>
      </c>
      <c r="C39" s="43" t="s">
        <v>188</v>
      </c>
      <c r="D39" s="43" t="s">
        <v>106</v>
      </c>
      <c r="E39" s="43" t="s">
        <v>189</v>
      </c>
      <c r="F39" s="44">
        <f>IFERROR(__xludf.DUMMYFUNCTION("GOOGLEFINANCE(C39, ""marketcap"")/1000000000"),66.438598548)</f>
        <v>66.43859855</v>
      </c>
      <c r="G39" s="44">
        <v>152.81</v>
      </c>
      <c r="H39" s="45">
        <f t="shared" si="2"/>
        <v>155.5957263</v>
      </c>
      <c r="I39" s="45">
        <f>IFERROR(__xludf.DUMMYFUNCTION("GOOGLEFINANCE(C39)"),116.64)</f>
        <v>116.64</v>
      </c>
      <c r="J39" s="43">
        <v>1.01823</v>
      </c>
      <c r="K39" s="45">
        <f t="shared" si="3"/>
        <v>118.7663472</v>
      </c>
      <c r="L39" s="25">
        <f t="shared" si="4"/>
        <v>0.004374213197</v>
      </c>
      <c r="M39" s="46">
        <f t="shared" si="5"/>
        <v>-0.2366991689</v>
      </c>
      <c r="N39" s="27">
        <v>1.0</v>
      </c>
      <c r="Q39" s="18"/>
      <c r="S39" s="2"/>
      <c r="T39" s="20"/>
    </row>
    <row r="40">
      <c r="A40" s="21">
        <f t="shared" si="6"/>
        <v>39</v>
      </c>
      <c r="B40" s="42" t="s">
        <v>190</v>
      </c>
      <c r="C40" s="43" t="s">
        <v>191</v>
      </c>
      <c r="D40" s="43" t="s">
        <v>94</v>
      </c>
      <c r="E40" s="43" t="s">
        <v>105</v>
      </c>
      <c r="F40" s="44">
        <f>IFERROR(__xludf.DUMMYFUNCTION("GOOGLEFINANCE(C40, ""marketcap"")/1000000000"),11.340009124)</f>
        <v>11.34000912</v>
      </c>
      <c r="G40" s="44">
        <v>204.23</v>
      </c>
      <c r="H40" s="45">
        <f t="shared" si="2"/>
        <v>408.46</v>
      </c>
      <c r="I40" s="45">
        <f>IFERROR(__xludf.DUMMYFUNCTION("GOOGLEFINANCE(C40)"),56.48)</f>
        <v>56.48</v>
      </c>
      <c r="J40" s="43">
        <v>2.0</v>
      </c>
      <c r="K40" s="45">
        <f t="shared" si="3"/>
        <v>112.96</v>
      </c>
      <c r="L40" s="25">
        <f t="shared" si="4"/>
        <v>0.004160363052</v>
      </c>
      <c r="M40" s="46">
        <f t="shared" si="5"/>
        <v>-0.7234490525</v>
      </c>
      <c r="N40" s="27">
        <v>1.0</v>
      </c>
      <c r="S40" s="2"/>
    </row>
    <row r="41" ht="18.0" customHeight="1">
      <c r="A41" s="21">
        <f t="shared" si="6"/>
        <v>40</v>
      </c>
      <c r="B41" s="42" t="s">
        <v>192</v>
      </c>
      <c r="C41" s="43" t="s">
        <v>193</v>
      </c>
      <c r="D41" s="43" t="s">
        <v>94</v>
      </c>
      <c r="E41" s="43" t="s">
        <v>105</v>
      </c>
      <c r="F41" s="44">
        <f>IFERROR(__xludf.DUMMYFUNCTION("GOOGLEFINANCE(C41, ""marketcap"")/1000000000"),4.474432389)</f>
        <v>4.474432389</v>
      </c>
      <c r="G41" s="44">
        <v>134.68</v>
      </c>
      <c r="H41" s="45">
        <f t="shared" si="2"/>
        <v>269.36</v>
      </c>
      <c r="I41" s="45">
        <f>IFERROR(__xludf.DUMMYFUNCTION("GOOGLEFINANCE(C41)"),65.32)</f>
        <v>65.32</v>
      </c>
      <c r="J41" s="43">
        <v>2.0</v>
      </c>
      <c r="K41" s="45">
        <f t="shared" si="3"/>
        <v>130.64</v>
      </c>
      <c r="L41" s="25">
        <f t="shared" si="4"/>
        <v>0.004811524691</v>
      </c>
      <c r="M41" s="46">
        <f t="shared" si="5"/>
        <v>-0.514998515</v>
      </c>
      <c r="N41" s="27">
        <v>1.0</v>
      </c>
      <c r="S41" s="2"/>
    </row>
    <row r="42">
      <c r="A42" s="37">
        <f t="shared" si="6"/>
        <v>41</v>
      </c>
      <c r="B42" s="47" t="s">
        <v>194</v>
      </c>
      <c r="C42" s="30" t="s">
        <v>195</v>
      </c>
      <c r="D42" s="38" t="s">
        <v>94</v>
      </c>
      <c r="E42" s="38"/>
      <c r="F42" s="48">
        <f>IFERROR(__xludf.DUMMYFUNCTION("GOOGLEFINANCE(C42, ""marketcap"")/1000000000"),7.054339089)</f>
        <v>7.054339089</v>
      </c>
      <c r="G42" s="49">
        <v>67.49</v>
      </c>
      <c r="H42" s="48">
        <f t="shared" si="2"/>
        <v>269.96</v>
      </c>
      <c r="I42" s="48">
        <f>IFERROR(__xludf.DUMMYFUNCTION("GOOGLEFINANCE(C42)"),25.02)</f>
        <v>25.02</v>
      </c>
      <c r="J42" s="50">
        <v>4.0</v>
      </c>
      <c r="K42" s="48">
        <f t="shared" si="3"/>
        <v>100.08</v>
      </c>
      <c r="L42" s="39">
        <f t="shared" si="4"/>
        <v>0.003685987378</v>
      </c>
      <c r="M42" s="51">
        <f t="shared" si="5"/>
        <v>-0.6292784116</v>
      </c>
      <c r="N42" s="41">
        <v>1.0</v>
      </c>
      <c r="O42" s="18"/>
      <c r="P42" s="18"/>
      <c r="Q42" s="27"/>
      <c r="S42" s="2"/>
    </row>
    <row r="43">
      <c r="A43" s="21">
        <f t="shared" si="6"/>
        <v>42</v>
      </c>
      <c r="B43" s="42" t="s">
        <v>196</v>
      </c>
      <c r="C43" s="43" t="s">
        <v>197</v>
      </c>
      <c r="D43" s="43" t="s">
        <v>94</v>
      </c>
      <c r="E43" s="43" t="s">
        <v>105</v>
      </c>
      <c r="F43" s="44">
        <f>IFERROR(__xludf.DUMMYFUNCTION("GOOGLEFINANCE(C43, ""marketcap"")/1000000000"),1.138903962)</f>
        <v>1.138903962</v>
      </c>
      <c r="G43" s="44">
        <v>47.58</v>
      </c>
      <c r="H43" s="45">
        <f t="shared" si="2"/>
        <v>475.8</v>
      </c>
      <c r="I43" s="45">
        <f>IFERROR(__xludf.DUMMYFUNCTION("GOOGLEFINANCE(C43)"),9.32)</f>
        <v>9.32</v>
      </c>
      <c r="J43" s="43">
        <v>10.0</v>
      </c>
      <c r="K43" s="45">
        <f t="shared" si="3"/>
        <v>93.2</v>
      </c>
      <c r="L43" s="25">
        <f t="shared" si="4"/>
        <v>0.003432594161</v>
      </c>
      <c r="M43" s="46">
        <f t="shared" si="5"/>
        <v>-0.8041193779</v>
      </c>
      <c r="N43" s="27">
        <v>1.0</v>
      </c>
    </row>
    <row r="44">
      <c r="A44" s="21">
        <f t="shared" si="6"/>
        <v>43</v>
      </c>
      <c r="B44" s="42" t="s">
        <v>198</v>
      </c>
      <c r="C44" s="43" t="s">
        <v>199</v>
      </c>
      <c r="D44" s="43" t="s">
        <v>94</v>
      </c>
      <c r="E44" s="43" t="s">
        <v>138</v>
      </c>
      <c r="F44" s="44">
        <f>IFERROR(__xludf.DUMMYFUNCTION("GOOGLEFINANCE(C44, ""marketcap"")/1000000000"),12.932922098)</f>
        <v>12.9329221</v>
      </c>
      <c r="G44" s="44">
        <v>89.11</v>
      </c>
      <c r="H44" s="45">
        <f t="shared" si="2"/>
        <v>89.76576049</v>
      </c>
      <c r="I44" s="45">
        <f>IFERROR(__xludf.DUMMYFUNCTION("GOOGLEFINANCE(C44)"),82.49)</f>
        <v>82.49</v>
      </c>
      <c r="J44" s="43">
        <v>1.007359</v>
      </c>
      <c r="K44" s="45">
        <f t="shared" si="3"/>
        <v>83.09704391</v>
      </c>
      <c r="L44" s="25">
        <f t="shared" si="4"/>
        <v>0.003060498152</v>
      </c>
      <c r="M44" s="46">
        <f t="shared" si="5"/>
        <v>-0.07429020312</v>
      </c>
      <c r="N44" s="27">
        <v>1.0</v>
      </c>
      <c r="S44" s="2"/>
    </row>
    <row r="45">
      <c r="A45" s="52">
        <f t="shared" si="6"/>
        <v>44</v>
      </c>
      <c r="B45" s="47" t="s">
        <v>200</v>
      </c>
      <c r="C45" s="30" t="s">
        <v>201</v>
      </c>
      <c r="D45" s="30" t="s">
        <v>94</v>
      </c>
      <c r="E45" s="53"/>
      <c r="F45" s="48">
        <f>IFERROR(__xludf.DUMMYFUNCTION("GOOGLEFINANCE(C45, ""marketcap"")/1000000000"),0.32599896)</f>
        <v>0.32599896</v>
      </c>
      <c r="G45" s="49">
        <v>4.84</v>
      </c>
      <c r="H45" s="48">
        <f t="shared" si="2"/>
        <v>242</v>
      </c>
      <c r="I45" s="48">
        <f>IFERROR(__xludf.DUMMYFUNCTION("GOOGLEFINANCE(C45)"),1.32)</f>
        <v>1.32</v>
      </c>
      <c r="J45" s="50">
        <v>50.0</v>
      </c>
      <c r="K45" s="48">
        <f t="shared" si="3"/>
        <v>66</v>
      </c>
      <c r="L45" s="39">
        <f t="shared" si="4"/>
        <v>0.002430807024</v>
      </c>
      <c r="M45" s="54">
        <f t="shared" si="5"/>
        <v>-0.7272727273</v>
      </c>
      <c r="N45" s="41">
        <v>1.0</v>
      </c>
      <c r="S45" s="2"/>
    </row>
    <row r="46">
      <c r="A46" s="21">
        <f t="shared" si="6"/>
        <v>45</v>
      </c>
      <c r="B46" s="47" t="s">
        <v>202</v>
      </c>
      <c r="C46" s="30" t="s">
        <v>203</v>
      </c>
      <c r="D46" s="30" t="s">
        <v>94</v>
      </c>
      <c r="E46" s="43" t="s">
        <v>97</v>
      </c>
      <c r="F46" s="55">
        <f>IFERROR(__xludf.DUMMYFUNCTION("GOOGLEFINANCE(C46, ""marketcap"")/1000000000"),4.881491509)</f>
        <v>4.881491509</v>
      </c>
      <c r="G46" s="49">
        <v>278.79</v>
      </c>
      <c r="H46" s="48">
        <f t="shared" si="2"/>
        <v>278.79</v>
      </c>
      <c r="I46" s="48">
        <f>IFERROR(__xludf.DUMMYFUNCTION("GOOGLEFINANCE(C46)"),85.26)</f>
        <v>85.26</v>
      </c>
      <c r="J46" s="50">
        <v>1.0</v>
      </c>
      <c r="K46" s="48">
        <f t="shared" si="3"/>
        <v>85.26</v>
      </c>
      <c r="L46" s="25">
        <f t="shared" si="4"/>
        <v>0.00314016071</v>
      </c>
      <c r="M46" s="56">
        <f t="shared" si="5"/>
        <v>-0.6941784139</v>
      </c>
      <c r="N46" s="36">
        <v>1.0</v>
      </c>
      <c r="S46" s="2"/>
    </row>
    <row r="47">
      <c r="A47" s="21">
        <f t="shared" si="6"/>
        <v>46</v>
      </c>
      <c r="B47" s="42" t="s">
        <v>204</v>
      </c>
      <c r="C47" s="43" t="s">
        <v>205</v>
      </c>
      <c r="D47" s="43" t="s">
        <v>94</v>
      </c>
      <c r="E47" s="43" t="s">
        <v>105</v>
      </c>
      <c r="F47" s="44">
        <f>IFERROR(__xludf.DUMMYFUNCTION("GOOGLEFINANCE(C47, ""marketcap"")/1000000000"),2.632556126)</f>
        <v>2.632556126</v>
      </c>
      <c r="G47" s="44">
        <v>41.08</v>
      </c>
      <c r="H47" s="45">
        <f t="shared" si="2"/>
        <v>246.48</v>
      </c>
      <c r="I47" s="45">
        <f>IFERROR(__xludf.DUMMYFUNCTION("GOOGLEFINANCE(C47)"),9.38)</f>
        <v>9.38</v>
      </c>
      <c r="J47" s="43">
        <v>6.0</v>
      </c>
      <c r="K47" s="45">
        <f t="shared" si="3"/>
        <v>56.28</v>
      </c>
      <c r="L47" s="25">
        <f t="shared" si="4"/>
        <v>0.002072815444</v>
      </c>
      <c r="M47" s="46">
        <f t="shared" si="5"/>
        <v>-0.7716650438</v>
      </c>
      <c r="N47" s="27">
        <v>1.0</v>
      </c>
      <c r="S47" s="2"/>
    </row>
    <row r="48">
      <c r="A48" s="21">
        <f t="shared" si="6"/>
        <v>47</v>
      </c>
      <c r="B48" s="16" t="s">
        <v>206</v>
      </c>
      <c r="C48" s="22" t="s">
        <v>207</v>
      </c>
      <c r="D48" s="22" t="s">
        <v>110</v>
      </c>
      <c r="E48" s="22" t="s">
        <v>165</v>
      </c>
      <c r="F48" s="23">
        <f>IFERROR(__xludf.DUMMYFUNCTION("GOOGLEFINANCE(C48, ""marketcap"")/1000000000"),9.03184028)</f>
        <v>9.03184028</v>
      </c>
      <c r="G48" s="23">
        <v>25.16</v>
      </c>
      <c r="H48" s="24">
        <f t="shared" si="2"/>
        <v>50.32</v>
      </c>
      <c r="I48" s="24">
        <f>IFERROR(__xludf.DUMMYFUNCTION("GOOGLEFINANCE(C48)"),31.95)</f>
        <v>31.95</v>
      </c>
      <c r="J48" s="22">
        <v>2.0</v>
      </c>
      <c r="K48" s="24">
        <f t="shared" si="3"/>
        <v>63.9</v>
      </c>
      <c r="L48" s="25">
        <f t="shared" si="4"/>
        <v>0.002353463164</v>
      </c>
      <c r="M48" s="26">
        <f t="shared" si="5"/>
        <v>0.269872814</v>
      </c>
      <c r="N48" s="27">
        <v>1.0</v>
      </c>
      <c r="S48" s="2"/>
    </row>
    <row r="49">
      <c r="A49" s="21">
        <f t="shared" si="6"/>
        <v>48</v>
      </c>
      <c r="B49" s="16" t="s">
        <v>208</v>
      </c>
      <c r="C49" s="22" t="s">
        <v>209</v>
      </c>
      <c r="D49" s="22" t="s">
        <v>87</v>
      </c>
      <c r="E49" s="22" t="s">
        <v>90</v>
      </c>
      <c r="F49" s="23">
        <f>IFERROR(__xludf.DUMMYFUNCTION("GOOGLEFINANCE(C49, ""marketcap"")/1000000000"),15.044448268)</f>
        <v>15.04444827</v>
      </c>
      <c r="G49" s="23">
        <v>61.16</v>
      </c>
      <c r="H49" s="24">
        <f t="shared" si="2"/>
        <v>61.16</v>
      </c>
      <c r="I49" s="24">
        <f>IFERROR(__xludf.DUMMYFUNCTION("GOOGLEFINANCE(C49)"),35.59)</f>
        <v>35.59</v>
      </c>
      <c r="J49" s="22">
        <v>1.0</v>
      </c>
      <c r="K49" s="24">
        <f t="shared" si="3"/>
        <v>35.59</v>
      </c>
      <c r="L49" s="25">
        <f t="shared" si="4"/>
        <v>0.001310794273</v>
      </c>
      <c r="M49" s="26">
        <f t="shared" si="5"/>
        <v>-0.4180837148</v>
      </c>
      <c r="N49" s="27">
        <v>1.0</v>
      </c>
      <c r="S49" s="2"/>
    </row>
    <row r="50">
      <c r="A50" s="21">
        <f t="shared" si="6"/>
        <v>49</v>
      </c>
      <c r="B50" s="16" t="s">
        <v>210</v>
      </c>
      <c r="C50" s="22" t="s">
        <v>211</v>
      </c>
      <c r="D50" s="22" t="s">
        <v>94</v>
      </c>
      <c r="E50" s="22" t="s">
        <v>97</v>
      </c>
      <c r="F50" s="23">
        <f>IFERROR(__xludf.DUMMYFUNCTION("GOOGLEFINANCE(C50, ""marketcap"")/1000000000"),0.201491343)</f>
        <v>0.201491343</v>
      </c>
      <c r="G50" s="23">
        <v>15.0</v>
      </c>
      <c r="H50" s="24">
        <f t="shared" si="2"/>
        <v>75</v>
      </c>
      <c r="I50" s="24">
        <f>IFERROR(__xludf.DUMMYFUNCTION("GOOGLEFINANCE(C50)"),4.35)</f>
        <v>4.35</v>
      </c>
      <c r="J50" s="22">
        <v>5.0</v>
      </c>
      <c r="K50" s="24">
        <f t="shared" si="3"/>
        <v>21.75</v>
      </c>
      <c r="L50" s="25">
        <f t="shared" si="4"/>
        <v>0.0008010614057</v>
      </c>
      <c r="M50" s="26">
        <f t="shared" si="5"/>
        <v>-0.71</v>
      </c>
      <c r="N50" s="27">
        <v>1.0</v>
      </c>
      <c r="S50" s="2"/>
    </row>
    <row r="51">
      <c r="A51" s="21">
        <f t="shared" si="6"/>
        <v>50</v>
      </c>
      <c r="B51" s="42" t="s">
        <v>212</v>
      </c>
      <c r="C51" s="43" t="s">
        <v>213</v>
      </c>
      <c r="D51" s="43" t="s">
        <v>94</v>
      </c>
      <c r="E51" s="43"/>
      <c r="F51" s="44">
        <f>IFERROR(__xludf.DUMMYFUNCTION("GOOGLEFINANCE(C51, ""marketcap"")/1000000000"),1.528242724)</f>
        <v>1.528242724</v>
      </c>
      <c r="G51" s="44">
        <v>25.35</v>
      </c>
      <c r="H51" s="45">
        <f t="shared" si="2"/>
        <v>50.7</v>
      </c>
      <c r="I51" s="45">
        <f>IFERROR(__xludf.DUMMYFUNCTION("GOOGLEFINANCE(C51)"),10.82)</f>
        <v>10.82</v>
      </c>
      <c r="J51" s="43">
        <v>2.0</v>
      </c>
      <c r="K51" s="45">
        <f t="shared" si="3"/>
        <v>21.64</v>
      </c>
      <c r="L51" s="57">
        <f t="shared" si="4"/>
        <v>0.0007970100606</v>
      </c>
      <c r="M51" s="46">
        <f t="shared" si="5"/>
        <v>-0.5731755424</v>
      </c>
      <c r="N51" s="27">
        <v>1.0</v>
      </c>
      <c r="S51" s="2"/>
    </row>
    <row r="52">
      <c r="A52" s="52">
        <f t="shared" si="6"/>
        <v>51</v>
      </c>
      <c r="B52" s="47" t="s">
        <v>214</v>
      </c>
      <c r="C52" s="30" t="s">
        <v>215</v>
      </c>
      <c r="D52" s="30" t="s">
        <v>94</v>
      </c>
      <c r="E52" s="53"/>
      <c r="F52" s="48">
        <f>IFERROR(__xludf.DUMMYFUNCTION("GOOGLEFINANCE(C52, ""marketcap"")/1000000000"),0.721112352)</f>
        <v>0.721112352</v>
      </c>
      <c r="G52" s="49">
        <v>35.7</v>
      </c>
      <c r="H52" s="48">
        <f t="shared" si="2"/>
        <v>71.4</v>
      </c>
      <c r="I52" s="48">
        <f>IFERROR(__xludf.DUMMYFUNCTION("GOOGLEFINANCE(C52)"),7.22)</f>
        <v>7.22</v>
      </c>
      <c r="J52" s="50">
        <v>2.0</v>
      </c>
      <c r="K52" s="48">
        <f t="shared" si="3"/>
        <v>14.44</v>
      </c>
      <c r="L52" s="58">
        <f t="shared" si="4"/>
        <v>0.0005318311125</v>
      </c>
      <c r="M52" s="54">
        <f t="shared" si="5"/>
        <v>-0.7977591036</v>
      </c>
      <c r="N52" s="41">
        <v>1.0</v>
      </c>
      <c r="S52" s="2"/>
    </row>
    <row r="53">
      <c r="A53" s="21">
        <f t="shared" si="6"/>
        <v>52</v>
      </c>
      <c r="B53" s="42" t="s">
        <v>216</v>
      </c>
      <c r="C53" s="43" t="s">
        <v>217</v>
      </c>
      <c r="D53" s="43" t="s">
        <v>102</v>
      </c>
      <c r="E53" s="43" t="s">
        <v>143</v>
      </c>
      <c r="F53" s="44">
        <f>IFERROR(__xludf.DUMMYFUNCTION("GOOGLEFINANCE(C53, ""marketcap"")/1000000000"),0.490432743)</f>
        <v>0.490432743</v>
      </c>
      <c r="G53" s="44">
        <v>27.52</v>
      </c>
      <c r="H53" s="45">
        <f t="shared" si="2"/>
        <v>137.6</v>
      </c>
      <c r="I53" s="45">
        <f>IFERROR(__xludf.DUMMYFUNCTION("GOOGLEFINANCE(C53)"),1.17)</f>
        <v>1.17</v>
      </c>
      <c r="J53" s="43">
        <v>5.0</v>
      </c>
      <c r="K53" s="45">
        <f t="shared" si="3"/>
        <v>5.85</v>
      </c>
      <c r="L53" s="57">
        <f t="shared" si="4"/>
        <v>0.0002154578953</v>
      </c>
      <c r="M53" s="46">
        <f t="shared" si="5"/>
        <v>-0.9574854651</v>
      </c>
      <c r="N53" s="27">
        <v>1.0</v>
      </c>
      <c r="S53" s="2"/>
    </row>
    <row r="54">
      <c r="A54" s="21">
        <f t="shared" si="6"/>
        <v>53</v>
      </c>
      <c r="B54" s="42" t="s">
        <v>218</v>
      </c>
      <c r="C54" s="43" t="s">
        <v>219</v>
      </c>
      <c r="D54" s="43" t="s">
        <v>98</v>
      </c>
      <c r="E54" s="43" t="s">
        <v>220</v>
      </c>
      <c r="F54" s="44">
        <f>IFERROR(__xludf.DUMMYFUNCTION("GOOGLEFINANCE(C54, ""marketcap"")/1000000000"),0.062721778)</f>
        <v>0.062721778</v>
      </c>
      <c r="G54" s="44">
        <v>3.9</v>
      </c>
      <c r="H54" s="45">
        <f t="shared" si="2"/>
        <v>15.6</v>
      </c>
      <c r="I54" s="45">
        <f>IFERROR(__xludf.DUMMYFUNCTION("GOOGLEFINANCE(C54)"),0.45)</f>
        <v>0.45</v>
      </c>
      <c r="J54" s="43">
        <v>4.0</v>
      </c>
      <c r="K54" s="45">
        <f t="shared" si="3"/>
        <v>1.8</v>
      </c>
      <c r="L54" s="57">
        <f t="shared" si="4"/>
        <v>0.00006629473702</v>
      </c>
      <c r="M54" s="46">
        <f t="shared" si="5"/>
        <v>-0.8846153846</v>
      </c>
      <c r="N54" s="27">
        <v>1.0</v>
      </c>
      <c r="S54" s="2"/>
    </row>
    <row r="55">
      <c r="F55" s="2"/>
      <c r="G55" s="2"/>
      <c r="H55" s="2"/>
      <c r="O55" s="18" t="s">
        <v>221</v>
      </c>
      <c r="P55" s="18" t="s">
        <v>222</v>
      </c>
      <c r="Q55" s="27" t="s">
        <v>223</v>
      </c>
      <c r="S55" s="2"/>
    </row>
    <row r="56">
      <c r="F56" s="2"/>
      <c r="G56" s="2"/>
      <c r="H56" s="2"/>
      <c r="O56" s="2">
        <f>sum(K2:K56)+17.49+1118.16+172.33+120.9+25.1+45.88+68.45+77.31+88.27+120.45+40.98+189.43+(39.46*2)+277.19+(1.02269*168.18)+(2.058689*115.76)+(3.1068*44.31)</f>
        <v>30140.30874</v>
      </c>
      <c r="P56" s="2">
        <f>sum(H2:H56)+39.42+392.32+117+114+53.9+93.51+57.51+55.78+78.26+114+(23.71*3)+200.93+184.69+87.3+(74.03*2.058689)+(23.39*3.1068)</f>
        <v>41156.72029</v>
      </c>
      <c r="Q56" s="2">
        <f>sum(K2:K55)</f>
        <v>27151.47659</v>
      </c>
      <c r="S56" s="2"/>
    </row>
    <row r="57">
      <c r="F57" s="2"/>
      <c r="G57" s="2"/>
      <c r="H57" s="2"/>
      <c r="S57" s="2"/>
    </row>
    <row r="58">
      <c r="F58" s="2"/>
      <c r="G58" s="2"/>
      <c r="H58" s="2"/>
      <c r="O58" s="59" t="s">
        <v>224</v>
      </c>
      <c r="P58" s="60"/>
      <c r="Q58" s="59" t="s">
        <v>225</v>
      </c>
      <c r="R58" s="60"/>
      <c r="S58" s="2"/>
    </row>
    <row r="59">
      <c r="A59" s="61"/>
      <c r="B59" s="62"/>
      <c r="C59" s="63"/>
      <c r="D59" s="64"/>
      <c r="E59" s="65"/>
      <c r="F59" s="66"/>
      <c r="G59" s="66"/>
      <c r="H59" s="66"/>
      <c r="I59" s="64"/>
      <c r="J59" s="64"/>
      <c r="K59" s="63"/>
      <c r="L59" s="64"/>
      <c r="M59" s="64"/>
      <c r="N59" s="64"/>
      <c r="O59" s="67">
        <f>(O56-P56)/P56</f>
        <v>-0.2676698112</v>
      </c>
      <c r="P59" s="68"/>
      <c r="Q59" s="67">
        <f>IFERROR(__xludf.DUMMYFUNCTION("(GOOGLEFINANCE("".INX"")-3200)/3200"),0.21871562499999997)</f>
        <v>0.218715625</v>
      </c>
      <c r="R59" s="68"/>
      <c r="S59" s="2"/>
    </row>
    <row r="60">
      <c r="A60" s="64"/>
      <c r="B60" s="64"/>
      <c r="C60" s="69"/>
      <c r="D60" s="69"/>
      <c r="E60" s="70"/>
      <c r="F60" s="69"/>
      <c r="G60" s="5"/>
      <c r="H60" s="5"/>
      <c r="I60" s="5"/>
      <c r="J60" s="5"/>
      <c r="K60" s="71"/>
      <c r="L60" s="5"/>
      <c r="M60" s="5"/>
      <c r="N60" s="5"/>
      <c r="O60" s="72">
        <f>O56-P56</f>
        <v>-11016.41155</v>
      </c>
      <c r="P60" s="73"/>
      <c r="Q60" s="72"/>
      <c r="R60" s="73"/>
      <c r="S60" s="2"/>
    </row>
    <row r="61">
      <c r="A61" s="64"/>
      <c r="B61" s="64"/>
      <c r="C61" s="69"/>
      <c r="D61" s="69"/>
      <c r="E61" s="70"/>
      <c r="F61" s="69"/>
      <c r="G61" s="5"/>
      <c r="H61" s="66"/>
      <c r="I61" s="5"/>
      <c r="J61" s="5"/>
      <c r="K61" s="71"/>
      <c r="L61" s="66"/>
      <c r="M61" s="66"/>
      <c r="N61" s="66"/>
      <c r="P61" s="59" t="s">
        <v>226</v>
      </c>
      <c r="Q61" s="60"/>
      <c r="S61" s="2"/>
    </row>
    <row r="62">
      <c r="A62" s="64"/>
      <c r="B62" s="64"/>
      <c r="C62" s="69"/>
      <c r="D62" s="69"/>
      <c r="E62" s="41"/>
      <c r="F62" s="5"/>
      <c r="G62" s="5"/>
      <c r="H62" s="66"/>
      <c r="I62" s="5"/>
      <c r="J62" s="5"/>
      <c r="K62" s="71"/>
      <c r="L62" s="61"/>
      <c r="M62" s="66"/>
      <c r="N62" s="66"/>
      <c r="O62" s="61"/>
      <c r="P62" s="67">
        <f>O59-Q59</f>
        <v>-0.4863854362</v>
      </c>
      <c r="Q62" s="68"/>
      <c r="S62" s="2"/>
    </row>
    <row r="63">
      <c r="A63" s="63"/>
      <c r="B63" s="63"/>
      <c r="C63" s="69"/>
      <c r="D63" s="69"/>
      <c r="E63" s="70"/>
      <c r="F63" s="69"/>
      <c r="G63" s="5"/>
      <c r="H63" s="66"/>
      <c r="I63" s="5"/>
      <c r="J63" s="5"/>
      <c r="K63" s="71"/>
      <c r="L63" s="74"/>
      <c r="M63" s="66"/>
      <c r="N63" s="66"/>
      <c r="O63" s="64"/>
      <c r="S63" s="2"/>
    </row>
    <row r="64">
      <c r="A64" s="64"/>
      <c r="B64" s="64"/>
      <c r="C64" s="69"/>
      <c r="D64" s="69"/>
      <c r="E64" s="70"/>
      <c r="F64" s="69"/>
      <c r="G64" s="5"/>
      <c r="H64" s="66"/>
      <c r="I64" s="5"/>
      <c r="J64" s="5"/>
      <c r="K64" s="71"/>
      <c r="L64" s="66"/>
      <c r="M64" s="66"/>
      <c r="N64" s="66"/>
      <c r="O64" s="64"/>
      <c r="S64" s="2"/>
    </row>
    <row r="65">
      <c r="A65" s="63"/>
      <c r="B65" s="63"/>
      <c r="C65" s="69"/>
      <c r="D65" s="69"/>
      <c r="E65" s="70"/>
      <c r="F65" s="69"/>
      <c r="G65" s="5"/>
      <c r="H65" s="66"/>
      <c r="I65" s="5"/>
      <c r="J65" s="5"/>
      <c r="K65" s="71"/>
      <c r="L65" s="66"/>
      <c r="M65" s="66"/>
      <c r="N65" s="66"/>
      <c r="O65" s="64"/>
      <c r="S65" s="2"/>
    </row>
    <row r="66">
      <c r="A66" s="63"/>
      <c r="B66" s="63"/>
      <c r="C66" s="69"/>
      <c r="D66" s="69"/>
      <c r="E66" s="70"/>
      <c r="F66" s="69"/>
      <c r="G66" s="5"/>
      <c r="H66" s="66"/>
      <c r="I66" s="5"/>
      <c r="J66" s="5"/>
      <c r="K66" s="71"/>
      <c r="L66" s="66"/>
      <c r="M66" s="66"/>
      <c r="N66" s="66"/>
      <c r="O66" s="64"/>
      <c r="S66" s="2"/>
    </row>
    <row r="67">
      <c r="A67" s="63"/>
      <c r="B67" s="63"/>
      <c r="C67" s="69"/>
      <c r="D67" s="75"/>
      <c r="E67" s="63"/>
      <c r="F67" s="75"/>
      <c r="G67" s="5"/>
      <c r="H67" s="66"/>
      <c r="I67" s="5"/>
      <c r="J67" s="5"/>
      <c r="K67" s="71"/>
      <c r="L67" s="66"/>
      <c r="M67" s="66"/>
      <c r="N67" s="66"/>
      <c r="O67" s="64"/>
      <c r="S67" s="2"/>
    </row>
    <row r="68">
      <c r="A68" s="63"/>
      <c r="B68" s="63"/>
      <c r="C68" s="69"/>
      <c r="D68" s="75"/>
      <c r="E68" s="63"/>
      <c r="F68" s="75"/>
      <c r="G68" s="5"/>
      <c r="H68" s="66"/>
      <c r="I68" s="5"/>
      <c r="J68" s="5"/>
      <c r="K68" s="71"/>
      <c r="L68" s="66"/>
      <c r="M68" s="66"/>
      <c r="N68" s="66"/>
      <c r="O68" s="64"/>
      <c r="S68" s="2"/>
    </row>
    <row r="69">
      <c r="A69" s="63"/>
      <c r="B69" s="63"/>
      <c r="C69" s="69"/>
      <c r="D69" s="75"/>
      <c r="E69" s="63"/>
      <c r="F69" s="75"/>
      <c r="G69" s="5"/>
      <c r="H69" s="66"/>
      <c r="I69" s="5"/>
      <c r="J69" s="5"/>
      <c r="K69" s="71"/>
      <c r="L69" s="66"/>
      <c r="M69" s="66"/>
      <c r="N69" s="66"/>
      <c r="O69" s="64"/>
      <c r="S69" s="2"/>
    </row>
    <row r="70">
      <c r="A70" s="63"/>
      <c r="B70" s="63"/>
      <c r="C70" s="69"/>
      <c r="D70" s="75"/>
      <c r="E70" s="63"/>
      <c r="F70" s="75"/>
      <c r="G70" s="5"/>
      <c r="H70" s="66"/>
      <c r="I70" s="5"/>
      <c r="J70" s="5"/>
      <c r="K70" s="71"/>
      <c r="L70" s="66"/>
      <c r="M70" s="66"/>
      <c r="N70" s="66"/>
      <c r="O70" s="64"/>
      <c r="S70" s="2"/>
    </row>
    <row r="71">
      <c r="A71" s="63"/>
      <c r="B71" s="63"/>
      <c r="C71" s="69"/>
      <c r="D71" s="75"/>
      <c r="E71" s="63"/>
      <c r="F71" s="75"/>
      <c r="G71" s="5"/>
      <c r="H71" s="5"/>
      <c r="I71" s="5"/>
      <c r="J71" s="5"/>
      <c r="K71" s="71"/>
      <c r="L71" s="64"/>
      <c r="M71" s="66"/>
      <c r="N71" s="66"/>
      <c r="O71" s="64"/>
      <c r="S71" s="2"/>
    </row>
    <row r="72">
      <c r="A72" s="64"/>
      <c r="B72" s="64"/>
      <c r="C72" s="66"/>
      <c r="D72" s="66"/>
      <c r="E72" s="64"/>
      <c r="F72" s="66"/>
      <c r="G72" s="66"/>
      <c r="H72" s="66"/>
      <c r="I72" s="66"/>
      <c r="J72" s="64"/>
      <c r="K72" s="64"/>
      <c r="L72" s="64"/>
      <c r="M72" s="64"/>
      <c r="N72" s="64"/>
      <c r="O72" s="64"/>
      <c r="S72" s="2"/>
    </row>
    <row r="73">
      <c r="A73" s="64"/>
      <c r="B73" s="64"/>
      <c r="C73" s="66"/>
      <c r="D73" s="66"/>
      <c r="E73" s="64"/>
      <c r="F73" s="66"/>
      <c r="G73" s="66"/>
      <c r="H73" s="66"/>
      <c r="I73" s="66"/>
      <c r="J73" s="64"/>
      <c r="K73" s="64"/>
      <c r="L73" s="64"/>
      <c r="M73" s="64"/>
      <c r="N73" s="64"/>
      <c r="O73" s="64"/>
      <c r="S73" s="2"/>
    </row>
    <row r="74">
      <c r="A74" s="64"/>
      <c r="B74" s="64"/>
      <c r="C74" s="66"/>
      <c r="D74" s="66"/>
      <c r="E74" s="64"/>
      <c r="F74" s="66"/>
      <c r="G74" s="66"/>
      <c r="H74" s="66"/>
      <c r="I74" s="66"/>
      <c r="J74" s="64"/>
      <c r="K74" s="64"/>
      <c r="L74" s="64"/>
      <c r="M74" s="64"/>
      <c r="N74" s="64"/>
      <c r="O74" s="64"/>
      <c r="S74" s="2"/>
    </row>
    <row r="75">
      <c r="F75" s="2"/>
      <c r="G75" s="2"/>
      <c r="H75" s="2"/>
      <c r="I75" s="2"/>
      <c r="S75" s="2"/>
    </row>
    <row r="76">
      <c r="F76" s="2"/>
      <c r="G76" s="2"/>
      <c r="H76" s="2"/>
      <c r="I76" s="2"/>
      <c r="S76" s="2"/>
    </row>
    <row r="77">
      <c r="F77" s="2"/>
      <c r="G77" s="2"/>
      <c r="H77" s="2"/>
      <c r="I77" s="2"/>
      <c r="S77" s="2"/>
    </row>
    <row r="78">
      <c r="F78" s="2"/>
      <c r="G78" s="2"/>
      <c r="H78" s="2"/>
      <c r="S78" s="2"/>
    </row>
    <row r="79">
      <c r="F79" s="2"/>
      <c r="G79" s="2"/>
      <c r="H79" s="2"/>
      <c r="S79" s="2"/>
    </row>
    <row r="80">
      <c r="F80" s="2"/>
      <c r="G80" s="2"/>
      <c r="H80" s="2"/>
      <c r="S80" s="2"/>
    </row>
    <row r="81">
      <c r="F81" s="2"/>
      <c r="G81" s="2"/>
      <c r="H81" s="2"/>
      <c r="S81" s="2"/>
    </row>
    <row r="82">
      <c r="F82" s="2"/>
      <c r="G82" s="2"/>
      <c r="H82" s="2"/>
      <c r="S82" s="2"/>
    </row>
    <row r="83">
      <c r="F83" s="2"/>
      <c r="G83" s="2"/>
      <c r="H83" s="2"/>
      <c r="S83" s="2"/>
    </row>
    <row r="84">
      <c r="F84" s="2"/>
      <c r="G84" s="2"/>
      <c r="H84" s="2"/>
      <c r="S84" s="2"/>
    </row>
    <row r="85">
      <c r="F85" s="2"/>
      <c r="G85" s="2"/>
      <c r="H85" s="2"/>
      <c r="S85" s="2"/>
    </row>
    <row r="86">
      <c r="F86" s="2"/>
      <c r="G86" s="2"/>
      <c r="H86" s="2"/>
      <c r="S86" s="2"/>
    </row>
    <row r="87">
      <c r="F87" s="2"/>
      <c r="G87" s="2"/>
      <c r="H87" s="2"/>
      <c r="S87" s="2"/>
    </row>
    <row r="88">
      <c r="F88" s="2"/>
      <c r="G88" s="2"/>
      <c r="H88" s="2"/>
      <c r="S88" s="2"/>
    </row>
    <row r="89">
      <c r="F89" s="2"/>
      <c r="G89" s="2"/>
      <c r="H89" s="2"/>
      <c r="S89" s="2"/>
    </row>
    <row r="90">
      <c r="F90" s="2"/>
      <c r="G90" s="2"/>
      <c r="H90" s="2"/>
      <c r="S90" s="2"/>
    </row>
    <row r="91">
      <c r="F91" s="2"/>
      <c r="G91" s="2"/>
      <c r="H91" s="2"/>
      <c r="S91" s="2"/>
    </row>
    <row r="92">
      <c r="F92" s="2"/>
      <c r="G92" s="2"/>
      <c r="H92" s="2"/>
      <c r="S92" s="2"/>
    </row>
    <row r="93">
      <c r="F93" s="2"/>
      <c r="G93" s="2"/>
      <c r="H93" s="2"/>
      <c r="S93" s="2"/>
    </row>
    <row r="94">
      <c r="F94" s="2"/>
      <c r="G94" s="2"/>
      <c r="H94" s="2"/>
      <c r="S94" s="2"/>
    </row>
    <row r="95">
      <c r="F95" s="2"/>
      <c r="G95" s="2"/>
      <c r="H95" s="2"/>
      <c r="S95" s="2"/>
    </row>
    <row r="96">
      <c r="F96" s="2"/>
      <c r="G96" s="2"/>
      <c r="H96" s="2"/>
      <c r="S96" s="2"/>
    </row>
    <row r="97">
      <c r="F97" s="2"/>
      <c r="G97" s="2"/>
      <c r="H97" s="2"/>
      <c r="S97" s="2"/>
    </row>
    <row r="98">
      <c r="F98" s="2"/>
      <c r="G98" s="2"/>
      <c r="H98" s="2"/>
      <c r="S98" s="2"/>
    </row>
    <row r="99">
      <c r="F99" s="2"/>
      <c r="G99" s="2"/>
      <c r="H99" s="2"/>
      <c r="S99" s="2"/>
    </row>
    <row r="100">
      <c r="F100" s="2"/>
      <c r="G100" s="2"/>
      <c r="H100" s="2"/>
      <c r="S100" s="2"/>
    </row>
    <row r="101">
      <c r="F101" s="2"/>
      <c r="G101" s="2"/>
      <c r="H101" s="2"/>
      <c r="S101" s="2"/>
    </row>
    <row r="102">
      <c r="F102" s="2"/>
      <c r="G102" s="2"/>
      <c r="H102" s="2"/>
      <c r="S102" s="2"/>
    </row>
    <row r="103">
      <c r="F103" s="2"/>
      <c r="G103" s="2"/>
      <c r="H103" s="2"/>
      <c r="S103" s="2"/>
    </row>
    <row r="104">
      <c r="F104" s="2"/>
      <c r="G104" s="2"/>
      <c r="H104" s="2"/>
      <c r="S104" s="2"/>
    </row>
    <row r="105">
      <c r="F105" s="2"/>
      <c r="G105" s="2"/>
      <c r="H105" s="2"/>
      <c r="S105" s="2"/>
    </row>
    <row r="106">
      <c r="F106" s="2"/>
      <c r="G106" s="2"/>
      <c r="H106" s="2"/>
      <c r="S106" s="2"/>
    </row>
    <row r="107">
      <c r="F107" s="2"/>
      <c r="G107" s="2"/>
      <c r="H107" s="2"/>
      <c r="S107" s="2"/>
    </row>
    <row r="108">
      <c r="F108" s="2"/>
      <c r="G108" s="2"/>
      <c r="H108" s="2"/>
      <c r="S108" s="2"/>
    </row>
    <row r="109">
      <c r="F109" s="2"/>
      <c r="G109" s="2"/>
      <c r="H109" s="2"/>
      <c r="S109" s="2"/>
    </row>
    <row r="110">
      <c r="F110" s="2"/>
      <c r="G110" s="2"/>
      <c r="H110" s="2"/>
      <c r="S110" s="2"/>
    </row>
    <row r="111">
      <c r="F111" s="2"/>
      <c r="G111" s="2"/>
      <c r="H111" s="2"/>
      <c r="S111" s="2"/>
    </row>
    <row r="112">
      <c r="F112" s="2"/>
      <c r="G112" s="2"/>
      <c r="H112" s="2"/>
      <c r="S112" s="2"/>
    </row>
    <row r="113">
      <c r="F113" s="2"/>
      <c r="G113" s="2"/>
      <c r="H113" s="2"/>
      <c r="S113" s="2"/>
    </row>
    <row r="114">
      <c r="F114" s="2"/>
      <c r="G114" s="2"/>
      <c r="H114" s="2"/>
      <c r="S114" s="2"/>
    </row>
    <row r="115">
      <c r="F115" s="2"/>
      <c r="G115" s="2"/>
      <c r="H115" s="2"/>
      <c r="S115" s="2"/>
    </row>
    <row r="116">
      <c r="F116" s="2"/>
      <c r="G116" s="2"/>
      <c r="H116" s="2"/>
      <c r="S116" s="2"/>
    </row>
    <row r="117">
      <c r="F117" s="2"/>
      <c r="G117" s="2"/>
      <c r="H117" s="2"/>
      <c r="S117" s="2"/>
    </row>
    <row r="118">
      <c r="F118" s="2"/>
      <c r="G118" s="2"/>
      <c r="H118" s="2"/>
      <c r="S118" s="2"/>
    </row>
    <row r="119">
      <c r="F119" s="2"/>
      <c r="G119" s="2"/>
      <c r="H119" s="2"/>
      <c r="S119" s="2"/>
    </row>
    <row r="120">
      <c r="F120" s="2"/>
      <c r="G120" s="2"/>
      <c r="H120" s="2"/>
      <c r="S120" s="2"/>
    </row>
    <row r="121">
      <c r="F121" s="2"/>
      <c r="G121" s="2"/>
      <c r="H121" s="2"/>
      <c r="S121" s="2"/>
    </row>
    <row r="122">
      <c r="F122" s="2"/>
      <c r="G122" s="2"/>
      <c r="H122" s="2"/>
      <c r="S122" s="2"/>
    </row>
    <row r="123">
      <c r="F123" s="2"/>
      <c r="G123" s="2"/>
      <c r="H123" s="2"/>
      <c r="S123" s="2"/>
    </row>
    <row r="124">
      <c r="F124" s="2"/>
      <c r="G124" s="2"/>
      <c r="H124" s="2"/>
      <c r="S124" s="2"/>
    </row>
    <row r="125">
      <c r="F125" s="2"/>
      <c r="G125" s="2"/>
      <c r="H125" s="2"/>
      <c r="S125" s="2"/>
    </row>
    <row r="126">
      <c r="F126" s="2"/>
      <c r="G126" s="2"/>
      <c r="H126" s="2"/>
      <c r="S126" s="2"/>
    </row>
    <row r="127">
      <c r="F127" s="2"/>
      <c r="G127" s="2"/>
      <c r="H127" s="2"/>
      <c r="S127" s="2"/>
    </row>
    <row r="128">
      <c r="F128" s="2"/>
      <c r="G128" s="2"/>
      <c r="H128" s="2"/>
      <c r="S128" s="2"/>
    </row>
    <row r="129">
      <c r="F129" s="2"/>
      <c r="G129" s="2"/>
      <c r="H129" s="2"/>
      <c r="S129" s="2"/>
    </row>
    <row r="130">
      <c r="F130" s="2"/>
      <c r="G130" s="2"/>
      <c r="H130" s="2"/>
      <c r="S130" s="2"/>
    </row>
    <row r="131">
      <c r="F131" s="2"/>
      <c r="G131" s="2"/>
      <c r="H131" s="2"/>
      <c r="S131" s="2"/>
    </row>
    <row r="132">
      <c r="F132" s="2"/>
      <c r="G132" s="2"/>
      <c r="H132" s="2"/>
      <c r="S132" s="2"/>
    </row>
    <row r="133">
      <c r="F133" s="2"/>
      <c r="G133" s="2"/>
      <c r="H133" s="2"/>
      <c r="S133" s="2"/>
    </row>
    <row r="134">
      <c r="F134" s="2"/>
      <c r="G134" s="2"/>
      <c r="H134" s="2"/>
      <c r="S134" s="2"/>
    </row>
    <row r="135">
      <c r="F135" s="2"/>
      <c r="G135" s="2"/>
      <c r="H135" s="2"/>
      <c r="S135" s="2"/>
    </row>
    <row r="136">
      <c r="F136" s="2"/>
      <c r="G136" s="2"/>
      <c r="H136" s="2"/>
      <c r="S136" s="2"/>
    </row>
    <row r="137">
      <c r="F137" s="2"/>
      <c r="G137" s="2"/>
      <c r="H137" s="2"/>
      <c r="S137" s="2"/>
    </row>
    <row r="138">
      <c r="F138" s="2"/>
      <c r="G138" s="2"/>
      <c r="H138" s="2"/>
      <c r="S138" s="2"/>
    </row>
    <row r="139">
      <c r="F139" s="2"/>
      <c r="G139" s="2"/>
      <c r="H139" s="2"/>
      <c r="S139" s="2"/>
    </row>
    <row r="140">
      <c r="F140" s="2"/>
      <c r="G140" s="2"/>
      <c r="H140" s="2"/>
      <c r="S140" s="2"/>
    </row>
    <row r="141">
      <c r="F141" s="2"/>
      <c r="G141" s="2"/>
      <c r="H141" s="2"/>
      <c r="S141" s="2"/>
    </row>
    <row r="142">
      <c r="F142" s="2"/>
      <c r="G142" s="2"/>
      <c r="H142" s="2"/>
      <c r="S142" s="2"/>
    </row>
    <row r="143">
      <c r="F143" s="2"/>
      <c r="G143" s="2"/>
      <c r="H143" s="2"/>
      <c r="S143" s="2"/>
    </row>
    <row r="144">
      <c r="F144" s="2"/>
      <c r="G144" s="2"/>
      <c r="H144" s="2"/>
      <c r="S144" s="2"/>
    </row>
    <row r="145">
      <c r="F145" s="2"/>
      <c r="G145" s="2"/>
      <c r="H145" s="2"/>
      <c r="S145" s="2"/>
    </row>
    <row r="146">
      <c r="F146" s="2"/>
      <c r="G146" s="2"/>
      <c r="H146" s="2"/>
      <c r="S146" s="2"/>
    </row>
    <row r="147">
      <c r="F147" s="2"/>
      <c r="G147" s="2"/>
      <c r="H147" s="2"/>
      <c r="S147" s="2"/>
    </row>
    <row r="148">
      <c r="F148" s="2"/>
      <c r="G148" s="2"/>
      <c r="H148" s="2"/>
      <c r="S148" s="2"/>
    </row>
    <row r="149">
      <c r="F149" s="2"/>
      <c r="G149" s="2"/>
      <c r="H149" s="2"/>
      <c r="S149" s="2"/>
    </row>
    <row r="150">
      <c r="F150" s="2"/>
      <c r="G150" s="2"/>
      <c r="H150" s="2"/>
      <c r="S150" s="2"/>
    </row>
    <row r="151">
      <c r="F151" s="2"/>
      <c r="G151" s="2"/>
      <c r="H151" s="2"/>
      <c r="S151" s="2"/>
    </row>
    <row r="152">
      <c r="F152" s="2"/>
      <c r="G152" s="2"/>
      <c r="H152" s="2"/>
      <c r="S152" s="2"/>
    </row>
    <row r="153">
      <c r="F153" s="2"/>
      <c r="G153" s="2"/>
      <c r="H153" s="2"/>
      <c r="S153" s="2"/>
    </row>
    <row r="154">
      <c r="F154" s="2"/>
      <c r="G154" s="2"/>
      <c r="H154" s="2"/>
      <c r="S154" s="2"/>
    </row>
    <row r="155">
      <c r="F155" s="2"/>
      <c r="G155" s="2"/>
      <c r="H155" s="2"/>
      <c r="S155" s="2"/>
    </row>
    <row r="156">
      <c r="F156" s="2"/>
      <c r="G156" s="2"/>
      <c r="H156" s="2"/>
      <c r="S156" s="2"/>
    </row>
    <row r="157">
      <c r="F157" s="2"/>
      <c r="G157" s="2"/>
      <c r="H157" s="2"/>
      <c r="S157" s="2"/>
    </row>
    <row r="158">
      <c r="F158" s="2"/>
      <c r="G158" s="2"/>
      <c r="H158" s="2"/>
      <c r="S158" s="2"/>
    </row>
    <row r="159">
      <c r="F159" s="2"/>
      <c r="G159" s="2"/>
      <c r="H159" s="2"/>
      <c r="S159" s="2"/>
    </row>
    <row r="160">
      <c r="F160" s="2"/>
      <c r="G160" s="2"/>
      <c r="H160" s="2"/>
      <c r="S160" s="2"/>
    </row>
    <row r="161">
      <c r="F161" s="2"/>
      <c r="G161" s="2"/>
      <c r="H161" s="2"/>
      <c r="S161" s="2"/>
    </row>
    <row r="162">
      <c r="F162" s="2"/>
      <c r="G162" s="2"/>
      <c r="H162" s="2"/>
      <c r="S162" s="2"/>
    </row>
    <row r="163">
      <c r="F163" s="2"/>
      <c r="G163" s="2"/>
      <c r="H163" s="2"/>
      <c r="S163" s="2"/>
    </row>
    <row r="164">
      <c r="F164" s="2"/>
      <c r="G164" s="2"/>
      <c r="H164" s="2"/>
      <c r="S164" s="2"/>
    </row>
    <row r="165">
      <c r="F165" s="2"/>
      <c r="G165" s="2"/>
      <c r="H165" s="2"/>
      <c r="S165" s="2"/>
    </row>
    <row r="166">
      <c r="F166" s="2"/>
      <c r="G166" s="2"/>
      <c r="H166" s="2"/>
      <c r="S166" s="2"/>
    </row>
    <row r="167">
      <c r="F167" s="2"/>
      <c r="G167" s="2"/>
      <c r="H167" s="2"/>
      <c r="S167" s="2"/>
    </row>
    <row r="168">
      <c r="F168" s="2"/>
      <c r="G168" s="2"/>
      <c r="H168" s="2"/>
      <c r="S168" s="2"/>
    </row>
    <row r="169">
      <c r="F169" s="2"/>
      <c r="G169" s="2"/>
      <c r="H169" s="2"/>
      <c r="S169" s="2"/>
    </row>
    <row r="170">
      <c r="F170" s="2"/>
      <c r="G170" s="2"/>
      <c r="H170" s="2"/>
      <c r="S170" s="2"/>
    </row>
    <row r="171">
      <c r="F171" s="2"/>
      <c r="G171" s="2"/>
      <c r="H171" s="2"/>
      <c r="S171" s="2"/>
    </row>
    <row r="172">
      <c r="F172" s="2"/>
      <c r="G172" s="2"/>
      <c r="H172" s="2"/>
      <c r="S172" s="2"/>
    </row>
    <row r="173">
      <c r="F173" s="2"/>
      <c r="G173" s="2"/>
      <c r="H173" s="2"/>
      <c r="S173" s="2"/>
    </row>
    <row r="174">
      <c r="F174" s="2"/>
      <c r="G174" s="2"/>
      <c r="H174" s="2"/>
      <c r="S174" s="2"/>
    </row>
    <row r="175">
      <c r="F175" s="2"/>
      <c r="G175" s="2"/>
      <c r="H175" s="2"/>
      <c r="S175" s="2"/>
    </row>
    <row r="176">
      <c r="F176" s="2"/>
      <c r="G176" s="2"/>
      <c r="H176" s="2"/>
      <c r="S176" s="2"/>
    </row>
    <row r="177">
      <c r="F177" s="2"/>
      <c r="G177" s="2"/>
      <c r="H177" s="2"/>
      <c r="S177" s="2"/>
    </row>
    <row r="178">
      <c r="F178" s="2"/>
      <c r="G178" s="2"/>
      <c r="H178" s="2"/>
      <c r="S178" s="2"/>
    </row>
    <row r="179">
      <c r="F179" s="2"/>
      <c r="G179" s="2"/>
      <c r="H179" s="2"/>
      <c r="S179" s="2"/>
    </row>
    <row r="180">
      <c r="F180" s="2"/>
      <c r="G180" s="2"/>
      <c r="H180" s="2"/>
      <c r="S180" s="2"/>
    </row>
    <row r="181">
      <c r="F181" s="2"/>
      <c r="G181" s="2"/>
      <c r="H181" s="2"/>
      <c r="S181" s="2"/>
    </row>
    <row r="182">
      <c r="F182" s="2"/>
      <c r="G182" s="2"/>
      <c r="H182" s="2"/>
      <c r="S182" s="2"/>
    </row>
    <row r="183">
      <c r="F183" s="2"/>
      <c r="G183" s="2"/>
      <c r="H183" s="2"/>
      <c r="S183" s="2"/>
    </row>
    <row r="184">
      <c r="F184" s="2"/>
      <c r="G184" s="2"/>
      <c r="H184" s="2"/>
      <c r="S184" s="2"/>
    </row>
    <row r="185">
      <c r="F185" s="2"/>
      <c r="G185" s="2"/>
      <c r="H185" s="2"/>
      <c r="S185" s="2"/>
    </row>
    <row r="186">
      <c r="F186" s="2"/>
      <c r="G186" s="2"/>
      <c r="H186" s="2"/>
      <c r="S186" s="2"/>
    </row>
    <row r="187">
      <c r="F187" s="2"/>
      <c r="G187" s="2"/>
      <c r="H187" s="2"/>
      <c r="S187" s="2"/>
    </row>
    <row r="188">
      <c r="F188" s="2"/>
      <c r="G188" s="2"/>
      <c r="H188" s="2"/>
      <c r="S188" s="2"/>
    </row>
    <row r="189">
      <c r="F189" s="2"/>
      <c r="G189" s="2"/>
      <c r="H189" s="2"/>
      <c r="S189" s="2"/>
    </row>
    <row r="190">
      <c r="F190" s="2"/>
      <c r="G190" s="2"/>
      <c r="H190" s="2"/>
      <c r="S190" s="2"/>
    </row>
    <row r="191">
      <c r="F191" s="2"/>
      <c r="G191" s="2"/>
      <c r="H191" s="2"/>
      <c r="S191" s="2"/>
    </row>
    <row r="192">
      <c r="F192" s="2"/>
      <c r="G192" s="2"/>
      <c r="H192" s="2"/>
      <c r="S192" s="2"/>
    </row>
    <row r="193">
      <c r="F193" s="2"/>
      <c r="G193" s="2"/>
      <c r="H193" s="2"/>
      <c r="S193" s="2"/>
    </row>
    <row r="194">
      <c r="F194" s="2"/>
      <c r="G194" s="2"/>
      <c r="H194" s="2"/>
      <c r="S194" s="2"/>
    </row>
    <row r="195">
      <c r="F195" s="2"/>
      <c r="G195" s="2"/>
      <c r="H195" s="2"/>
      <c r="S195" s="2"/>
    </row>
    <row r="196">
      <c r="F196" s="2"/>
      <c r="G196" s="2"/>
      <c r="H196" s="2"/>
      <c r="S196" s="2"/>
    </row>
    <row r="197">
      <c r="F197" s="2"/>
      <c r="G197" s="2"/>
      <c r="H197" s="2"/>
      <c r="S197" s="2"/>
    </row>
    <row r="198">
      <c r="F198" s="2"/>
      <c r="G198" s="2"/>
      <c r="H198" s="2"/>
      <c r="S198" s="2"/>
    </row>
    <row r="199">
      <c r="F199" s="2"/>
      <c r="G199" s="2"/>
      <c r="H199" s="2"/>
      <c r="S199" s="2"/>
    </row>
    <row r="200">
      <c r="F200" s="2"/>
      <c r="G200" s="2"/>
      <c r="H200" s="2"/>
      <c r="S200" s="2"/>
    </row>
    <row r="201">
      <c r="F201" s="2"/>
      <c r="G201" s="2"/>
      <c r="H201" s="2"/>
      <c r="S201" s="2"/>
    </row>
    <row r="202">
      <c r="F202" s="2"/>
      <c r="G202" s="2"/>
      <c r="H202" s="2"/>
      <c r="S202" s="2"/>
    </row>
    <row r="203">
      <c r="F203" s="2"/>
      <c r="G203" s="2"/>
      <c r="H203" s="2"/>
      <c r="S203" s="2"/>
    </row>
    <row r="204">
      <c r="F204" s="2"/>
      <c r="G204" s="2"/>
      <c r="H204" s="2"/>
      <c r="S204" s="2"/>
    </row>
    <row r="205">
      <c r="F205" s="2"/>
      <c r="G205" s="2"/>
      <c r="H205" s="2"/>
      <c r="S205" s="2"/>
    </row>
    <row r="206">
      <c r="F206" s="2"/>
      <c r="G206" s="2"/>
      <c r="H206" s="2"/>
      <c r="S206" s="2"/>
    </row>
    <row r="207">
      <c r="F207" s="2"/>
      <c r="G207" s="2"/>
      <c r="H207" s="2"/>
      <c r="S207" s="2"/>
    </row>
    <row r="208">
      <c r="F208" s="2"/>
      <c r="G208" s="2"/>
      <c r="H208" s="2"/>
      <c r="S208" s="2"/>
    </row>
    <row r="209">
      <c r="F209" s="2"/>
      <c r="G209" s="2"/>
      <c r="H209" s="2"/>
      <c r="S209" s="2"/>
    </row>
    <row r="210">
      <c r="F210" s="2"/>
      <c r="G210" s="2"/>
      <c r="H210" s="2"/>
      <c r="S210" s="2"/>
    </row>
    <row r="211">
      <c r="F211" s="2"/>
      <c r="G211" s="2"/>
      <c r="H211" s="2"/>
      <c r="S211" s="2"/>
    </row>
    <row r="212">
      <c r="F212" s="2"/>
      <c r="G212" s="2"/>
      <c r="H212" s="2"/>
      <c r="S212" s="2"/>
    </row>
    <row r="213">
      <c r="F213" s="2"/>
      <c r="G213" s="2"/>
      <c r="H213" s="2"/>
      <c r="S213" s="2"/>
    </row>
    <row r="214">
      <c r="F214" s="2"/>
      <c r="G214" s="2"/>
      <c r="H214" s="2"/>
      <c r="S214" s="2"/>
    </row>
    <row r="215">
      <c r="F215" s="2"/>
      <c r="G215" s="2"/>
      <c r="H215" s="2"/>
      <c r="S215" s="2"/>
    </row>
    <row r="216">
      <c r="F216" s="2"/>
      <c r="G216" s="2"/>
      <c r="H216" s="2"/>
      <c r="S216" s="2"/>
    </row>
    <row r="217">
      <c r="F217" s="2"/>
      <c r="G217" s="2"/>
      <c r="H217" s="2"/>
      <c r="S217" s="2"/>
    </row>
    <row r="218">
      <c r="F218" s="2"/>
      <c r="G218" s="2"/>
      <c r="H218" s="2"/>
      <c r="S218" s="2"/>
    </row>
    <row r="219">
      <c r="F219" s="2"/>
      <c r="G219" s="2"/>
      <c r="H219" s="2"/>
      <c r="S219" s="2"/>
    </row>
    <row r="220">
      <c r="F220" s="2"/>
      <c r="G220" s="2"/>
      <c r="H220" s="2"/>
      <c r="S220" s="2"/>
    </row>
    <row r="221">
      <c r="F221" s="2"/>
      <c r="G221" s="2"/>
      <c r="H221" s="2"/>
      <c r="S221" s="2"/>
    </row>
    <row r="222">
      <c r="F222" s="2"/>
      <c r="G222" s="2"/>
      <c r="H222" s="2"/>
      <c r="S222" s="2"/>
    </row>
    <row r="223">
      <c r="F223" s="2"/>
      <c r="G223" s="2"/>
      <c r="H223" s="2"/>
      <c r="S223" s="2"/>
    </row>
    <row r="224">
      <c r="F224" s="2"/>
      <c r="G224" s="2"/>
      <c r="H224" s="2"/>
      <c r="S224" s="2"/>
    </row>
    <row r="225">
      <c r="F225" s="2"/>
      <c r="G225" s="2"/>
      <c r="H225" s="2"/>
      <c r="S225" s="2"/>
    </row>
    <row r="226">
      <c r="F226" s="2"/>
      <c r="G226" s="2"/>
      <c r="H226" s="2"/>
      <c r="S226" s="2"/>
    </row>
    <row r="227">
      <c r="F227" s="2"/>
      <c r="G227" s="2"/>
      <c r="H227" s="2"/>
      <c r="S227" s="2"/>
    </row>
    <row r="228">
      <c r="F228" s="2"/>
      <c r="G228" s="2"/>
      <c r="H228" s="2"/>
      <c r="S228" s="2"/>
    </row>
    <row r="229">
      <c r="F229" s="2"/>
      <c r="G229" s="2"/>
      <c r="H229" s="2"/>
      <c r="S229" s="2"/>
    </row>
    <row r="230">
      <c r="F230" s="2"/>
      <c r="G230" s="2"/>
      <c r="H230" s="2"/>
      <c r="S230" s="2"/>
    </row>
    <row r="231">
      <c r="F231" s="2"/>
      <c r="G231" s="2"/>
      <c r="H231" s="2"/>
      <c r="S231" s="2"/>
    </row>
    <row r="232">
      <c r="F232" s="2"/>
      <c r="G232" s="2"/>
      <c r="H232" s="2"/>
      <c r="S232" s="2"/>
    </row>
    <row r="233">
      <c r="F233" s="2"/>
      <c r="G233" s="2"/>
      <c r="H233" s="2"/>
      <c r="S233" s="2"/>
    </row>
    <row r="234">
      <c r="F234" s="2"/>
      <c r="G234" s="2"/>
      <c r="H234" s="2"/>
      <c r="S234" s="2"/>
    </row>
    <row r="235">
      <c r="F235" s="2"/>
      <c r="G235" s="2"/>
      <c r="H235" s="2"/>
      <c r="S235" s="2"/>
    </row>
    <row r="236">
      <c r="F236" s="2"/>
      <c r="G236" s="2"/>
      <c r="H236" s="2"/>
      <c r="S236" s="2"/>
    </row>
    <row r="237">
      <c r="F237" s="2"/>
      <c r="G237" s="2"/>
      <c r="H237" s="2"/>
      <c r="S237" s="2"/>
    </row>
    <row r="238">
      <c r="F238" s="2"/>
      <c r="G238" s="2"/>
      <c r="H238" s="2"/>
      <c r="S238" s="2"/>
    </row>
    <row r="239">
      <c r="F239" s="2"/>
      <c r="G239" s="2"/>
      <c r="H239" s="2"/>
      <c r="S239" s="2"/>
    </row>
    <row r="240">
      <c r="F240" s="2"/>
      <c r="G240" s="2"/>
      <c r="H240" s="2"/>
      <c r="S240" s="2"/>
    </row>
    <row r="241">
      <c r="F241" s="2"/>
      <c r="G241" s="2"/>
      <c r="H241" s="2"/>
      <c r="S241" s="2"/>
    </row>
    <row r="242">
      <c r="F242" s="2"/>
      <c r="G242" s="2"/>
      <c r="H242" s="2"/>
      <c r="S242" s="2"/>
    </row>
    <row r="243">
      <c r="F243" s="2"/>
      <c r="G243" s="2"/>
      <c r="H243" s="2"/>
      <c r="S243" s="2"/>
    </row>
    <row r="244">
      <c r="F244" s="2"/>
      <c r="G244" s="2"/>
      <c r="H244" s="2"/>
      <c r="S244" s="2"/>
    </row>
    <row r="245">
      <c r="F245" s="2"/>
      <c r="G245" s="2"/>
      <c r="H245" s="2"/>
      <c r="S245" s="2"/>
    </row>
    <row r="246">
      <c r="F246" s="2"/>
      <c r="G246" s="2"/>
      <c r="H246" s="2"/>
      <c r="S246" s="2"/>
    </row>
    <row r="247">
      <c r="F247" s="2"/>
      <c r="G247" s="2"/>
      <c r="H247" s="2"/>
      <c r="S247" s="2"/>
    </row>
    <row r="248">
      <c r="F248" s="2"/>
      <c r="G248" s="2"/>
      <c r="H248" s="2"/>
      <c r="S248" s="2"/>
    </row>
    <row r="249">
      <c r="F249" s="2"/>
      <c r="G249" s="2"/>
      <c r="H249" s="2"/>
      <c r="S249" s="2"/>
    </row>
    <row r="250">
      <c r="F250" s="2"/>
      <c r="G250" s="2"/>
      <c r="H250" s="2"/>
      <c r="S250" s="2"/>
    </row>
    <row r="251">
      <c r="F251" s="2"/>
      <c r="G251" s="2"/>
      <c r="H251" s="2"/>
      <c r="S251" s="2"/>
    </row>
    <row r="252">
      <c r="F252" s="2"/>
      <c r="G252" s="2"/>
      <c r="H252" s="2"/>
      <c r="S252" s="2"/>
    </row>
    <row r="253">
      <c r="F253" s="2"/>
      <c r="G253" s="2"/>
      <c r="H253" s="2"/>
      <c r="S253" s="2"/>
    </row>
    <row r="254">
      <c r="F254" s="2"/>
      <c r="G254" s="2"/>
      <c r="H254" s="2"/>
      <c r="S254" s="2"/>
    </row>
    <row r="255">
      <c r="F255" s="2"/>
      <c r="G255" s="2"/>
      <c r="H255" s="2"/>
      <c r="S255" s="2"/>
    </row>
    <row r="256">
      <c r="F256" s="2"/>
      <c r="G256" s="2"/>
      <c r="H256" s="2"/>
      <c r="S256" s="2"/>
    </row>
    <row r="257">
      <c r="F257" s="2"/>
      <c r="G257" s="2"/>
      <c r="H257" s="2"/>
      <c r="S257" s="2"/>
    </row>
    <row r="258">
      <c r="F258" s="2"/>
      <c r="G258" s="2"/>
      <c r="H258" s="2"/>
      <c r="S258" s="2"/>
    </row>
    <row r="259">
      <c r="F259" s="2"/>
      <c r="G259" s="2"/>
      <c r="H259" s="2"/>
      <c r="S259" s="2"/>
    </row>
    <row r="260">
      <c r="F260" s="2"/>
      <c r="G260" s="2"/>
      <c r="H260" s="2"/>
      <c r="S260" s="2"/>
    </row>
    <row r="261">
      <c r="F261" s="2"/>
      <c r="G261" s="2"/>
      <c r="H261" s="2"/>
      <c r="S261" s="2"/>
    </row>
    <row r="262">
      <c r="F262" s="2"/>
      <c r="G262" s="2"/>
      <c r="H262" s="2"/>
      <c r="S262" s="2"/>
    </row>
    <row r="263">
      <c r="F263" s="2"/>
      <c r="G263" s="2"/>
      <c r="H263" s="2"/>
      <c r="S263" s="2"/>
    </row>
    <row r="264">
      <c r="F264" s="2"/>
      <c r="G264" s="2"/>
      <c r="H264" s="2"/>
      <c r="S264" s="2"/>
    </row>
    <row r="265">
      <c r="F265" s="2"/>
      <c r="G265" s="2"/>
      <c r="H265" s="2"/>
      <c r="S265" s="2"/>
    </row>
    <row r="266">
      <c r="F266" s="2"/>
      <c r="G266" s="2"/>
      <c r="H266" s="2"/>
      <c r="S266" s="2"/>
    </row>
    <row r="267">
      <c r="F267" s="2"/>
      <c r="G267" s="2"/>
      <c r="H267" s="2"/>
      <c r="S267" s="2"/>
    </row>
    <row r="268">
      <c r="F268" s="2"/>
      <c r="G268" s="2"/>
      <c r="H268" s="2"/>
      <c r="S268" s="2"/>
    </row>
    <row r="269">
      <c r="F269" s="2"/>
      <c r="G269" s="2"/>
      <c r="H269" s="2"/>
      <c r="S269" s="2"/>
    </row>
    <row r="270">
      <c r="F270" s="2"/>
      <c r="G270" s="2"/>
      <c r="H270" s="2"/>
      <c r="S270" s="2"/>
    </row>
    <row r="271">
      <c r="F271" s="2"/>
      <c r="G271" s="2"/>
      <c r="H271" s="2"/>
      <c r="S271" s="2"/>
    </row>
    <row r="272">
      <c r="F272" s="2"/>
      <c r="G272" s="2"/>
      <c r="H272" s="2"/>
      <c r="S272" s="2"/>
    </row>
    <row r="273">
      <c r="F273" s="2"/>
      <c r="G273" s="2"/>
      <c r="H273" s="2"/>
      <c r="S273" s="2"/>
    </row>
    <row r="274">
      <c r="F274" s="2"/>
      <c r="G274" s="2"/>
      <c r="H274" s="2"/>
      <c r="S274" s="2"/>
    </row>
    <row r="275">
      <c r="F275" s="2"/>
      <c r="G275" s="2"/>
      <c r="H275" s="2"/>
      <c r="S275" s="2"/>
    </row>
    <row r="276">
      <c r="F276" s="2"/>
      <c r="G276" s="2"/>
      <c r="H276" s="2"/>
      <c r="S276" s="2"/>
    </row>
    <row r="277">
      <c r="F277" s="2"/>
      <c r="G277" s="2"/>
      <c r="H277" s="2"/>
      <c r="S277" s="2"/>
    </row>
    <row r="278">
      <c r="F278" s="2"/>
      <c r="G278" s="2"/>
      <c r="H278" s="2"/>
      <c r="S278" s="2"/>
    </row>
    <row r="279">
      <c r="F279" s="2"/>
      <c r="G279" s="2"/>
      <c r="H279" s="2"/>
      <c r="S279" s="2"/>
    </row>
    <row r="280">
      <c r="F280" s="2"/>
      <c r="G280" s="2"/>
      <c r="H280" s="2"/>
      <c r="S280" s="2"/>
    </row>
    <row r="281">
      <c r="F281" s="2"/>
      <c r="G281" s="2"/>
      <c r="H281" s="2"/>
      <c r="S281" s="2"/>
    </row>
    <row r="282">
      <c r="F282" s="2"/>
      <c r="G282" s="2"/>
      <c r="H282" s="2"/>
      <c r="S282" s="2"/>
    </row>
    <row r="283">
      <c r="F283" s="2"/>
      <c r="G283" s="2"/>
      <c r="H283" s="2"/>
      <c r="S283" s="2"/>
    </row>
    <row r="284">
      <c r="F284" s="2"/>
      <c r="G284" s="2"/>
      <c r="H284" s="2"/>
      <c r="S284" s="2"/>
    </row>
    <row r="285">
      <c r="F285" s="2"/>
      <c r="G285" s="2"/>
      <c r="H285" s="2"/>
      <c r="S285" s="2"/>
    </row>
    <row r="286">
      <c r="F286" s="2"/>
      <c r="G286" s="2"/>
      <c r="H286" s="2"/>
      <c r="S286" s="2"/>
    </row>
    <row r="287">
      <c r="F287" s="2"/>
      <c r="G287" s="2"/>
      <c r="H287" s="2"/>
      <c r="S287" s="2"/>
    </row>
    <row r="288">
      <c r="F288" s="2"/>
      <c r="G288" s="2"/>
      <c r="H288" s="2"/>
      <c r="S288" s="2"/>
    </row>
    <row r="289">
      <c r="F289" s="2"/>
      <c r="G289" s="2"/>
      <c r="H289" s="2"/>
      <c r="S289" s="2"/>
    </row>
    <row r="290">
      <c r="F290" s="2"/>
      <c r="G290" s="2"/>
      <c r="H290" s="2"/>
      <c r="S290" s="2"/>
    </row>
    <row r="291">
      <c r="F291" s="2"/>
      <c r="G291" s="2"/>
      <c r="H291" s="2"/>
      <c r="S291" s="2"/>
    </row>
    <row r="292">
      <c r="F292" s="2"/>
      <c r="G292" s="2"/>
      <c r="H292" s="2"/>
      <c r="S292" s="2"/>
    </row>
    <row r="293">
      <c r="F293" s="2"/>
      <c r="G293" s="2"/>
      <c r="H293" s="2"/>
      <c r="S293" s="2"/>
    </row>
    <row r="294">
      <c r="F294" s="2"/>
      <c r="G294" s="2"/>
      <c r="H294" s="2"/>
      <c r="S294" s="2"/>
    </row>
    <row r="295">
      <c r="F295" s="2"/>
      <c r="G295" s="2"/>
      <c r="H295" s="2"/>
      <c r="S295" s="2"/>
    </row>
    <row r="296">
      <c r="F296" s="2"/>
      <c r="G296" s="2"/>
      <c r="H296" s="2"/>
      <c r="S296" s="2"/>
    </row>
    <row r="297">
      <c r="F297" s="2"/>
      <c r="G297" s="2"/>
      <c r="H297" s="2"/>
      <c r="S297" s="2"/>
    </row>
    <row r="298">
      <c r="F298" s="2"/>
      <c r="G298" s="2"/>
      <c r="H298" s="2"/>
      <c r="S298" s="2"/>
    </row>
    <row r="299">
      <c r="F299" s="2"/>
      <c r="G299" s="2"/>
      <c r="H299" s="2"/>
      <c r="S299" s="2"/>
    </row>
    <row r="300">
      <c r="F300" s="2"/>
      <c r="G300" s="2"/>
      <c r="H300" s="2"/>
      <c r="S300" s="2"/>
    </row>
    <row r="301">
      <c r="F301" s="2"/>
      <c r="G301" s="2"/>
      <c r="H301" s="2"/>
      <c r="S301" s="2"/>
    </row>
    <row r="302">
      <c r="F302" s="2"/>
      <c r="G302" s="2"/>
      <c r="H302" s="2"/>
      <c r="S302" s="2"/>
    </row>
    <row r="303">
      <c r="F303" s="2"/>
      <c r="G303" s="2"/>
      <c r="H303" s="2"/>
      <c r="S303" s="2"/>
    </row>
    <row r="304">
      <c r="F304" s="2"/>
      <c r="G304" s="2"/>
      <c r="H304" s="2"/>
      <c r="S304" s="2"/>
    </row>
    <row r="305">
      <c r="F305" s="2"/>
      <c r="G305" s="2"/>
      <c r="H305" s="2"/>
      <c r="S305" s="2"/>
    </row>
    <row r="306">
      <c r="F306" s="2"/>
      <c r="G306" s="2"/>
      <c r="H306" s="2"/>
      <c r="S306" s="2"/>
    </row>
    <row r="307">
      <c r="F307" s="2"/>
      <c r="G307" s="2"/>
      <c r="H307" s="2"/>
      <c r="S307" s="2"/>
    </row>
    <row r="308">
      <c r="F308" s="2"/>
      <c r="G308" s="2"/>
      <c r="H308" s="2"/>
      <c r="S308" s="2"/>
    </row>
    <row r="309">
      <c r="F309" s="2"/>
      <c r="G309" s="2"/>
      <c r="H309" s="2"/>
      <c r="S309" s="2"/>
    </row>
    <row r="310">
      <c r="F310" s="2"/>
      <c r="G310" s="2"/>
      <c r="H310" s="2"/>
      <c r="S310" s="2"/>
    </row>
    <row r="311">
      <c r="F311" s="2"/>
      <c r="G311" s="2"/>
      <c r="H311" s="2"/>
      <c r="S311" s="2"/>
    </row>
    <row r="312">
      <c r="F312" s="2"/>
      <c r="G312" s="2"/>
      <c r="H312" s="2"/>
      <c r="S312" s="2"/>
    </row>
    <row r="313">
      <c r="F313" s="2"/>
      <c r="G313" s="2"/>
      <c r="H313" s="2"/>
      <c r="S313" s="2"/>
    </row>
    <row r="314">
      <c r="F314" s="2"/>
      <c r="G314" s="2"/>
      <c r="H314" s="2"/>
      <c r="S314" s="2"/>
    </row>
    <row r="315">
      <c r="F315" s="2"/>
      <c r="G315" s="2"/>
      <c r="H315" s="2"/>
      <c r="S315" s="2"/>
    </row>
    <row r="316">
      <c r="F316" s="2"/>
      <c r="G316" s="2"/>
      <c r="H316" s="2"/>
      <c r="S316" s="2"/>
    </row>
    <row r="317">
      <c r="F317" s="2"/>
      <c r="G317" s="2"/>
      <c r="H317" s="2"/>
      <c r="S317" s="2"/>
    </row>
    <row r="318">
      <c r="F318" s="2"/>
      <c r="G318" s="2"/>
      <c r="H318" s="2"/>
      <c r="S318" s="2"/>
    </row>
    <row r="319">
      <c r="F319" s="2"/>
      <c r="G319" s="2"/>
      <c r="H319" s="2"/>
      <c r="S319" s="2"/>
    </row>
    <row r="320">
      <c r="F320" s="2"/>
      <c r="G320" s="2"/>
      <c r="H320" s="2"/>
      <c r="S320" s="2"/>
    </row>
    <row r="321">
      <c r="F321" s="2"/>
      <c r="G321" s="2"/>
      <c r="H321" s="2"/>
      <c r="S321" s="2"/>
    </row>
    <row r="322">
      <c r="F322" s="2"/>
      <c r="G322" s="2"/>
      <c r="H322" s="2"/>
      <c r="S322" s="2"/>
    </row>
    <row r="323">
      <c r="F323" s="2"/>
      <c r="G323" s="2"/>
      <c r="H323" s="2"/>
      <c r="S323" s="2"/>
    </row>
    <row r="324">
      <c r="F324" s="2"/>
      <c r="G324" s="2"/>
      <c r="H324" s="2"/>
      <c r="S324" s="2"/>
    </row>
    <row r="325">
      <c r="F325" s="2"/>
      <c r="G325" s="2"/>
      <c r="H325" s="2"/>
      <c r="S325" s="2"/>
    </row>
    <row r="326">
      <c r="F326" s="2"/>
      <c r="G326" s="2"/>
      <c r="H326" s="2"/>
      <c r="S326" s="2"/>
    </row>
    <row r="327">
      <c r="F327" s="2"/>
      <c r="G327" s="2"/>
      <c r="H327" s="2"/>
      <c r="S327" s="2"/>
    </row>
    <row r="328">
      <c r="F328" s="2"/>
      <c r="G328" s="2"/>
      <c r="H328" s="2"/>
      <c r="S328" s="2"/>
    </row>
    <row r="329">
      <c r="F329" s="2"/>
      <c r="G329" s="2"/>
      <c r="H329" s="2"/>
      <c r="S329" s="2"/>
    </row>
    <row r="330">
      <c r="F330" s="2"/>
      <c r="G330" s="2"/>
      <c r="H330" s="2"/>
      <c r="S330" s="2"/>
    </row>
    <row r="331">
      <c r="F331" s="2"/>
      <c r="G331" s="2"/>
      <c r="H331" s="2"/>
      <c r="S331" s="2"/>
    </row>
    <row r="332">
      <c r="F332" s="2"/>
      <c r="G332" s="2"/>
      <c r="H332" s="2"/>
      <c r="S332" s="2"/>
    </row>
    <row r="333">
      <c r="F333" s="2"/>
      <c r="G333" s="2"/>
      <c r="H333" s="2"/>
      <c r="S333" s="2"/>
    </row>
    <row r="334">
      <c r="F334" s="2"/>
      <c r="G334" s="2"/>
      <c r="H334" s="2"/>
      <c r="S334" s="2"/>
    </row>
    <row r="335">
      <c r="F335" s="2"/>
      <c r="G335" s="2"/>
      <c r="H335" s="2"/>
      <c r="S335" s="2"/>
    </row>
    <row r="336">
      <c r="F336" s="2"/>
      <c r="G336" s="2"/>
      <c r="H336" s="2"/>
      <c r="S336" s="2"/>
    </row>
    <row r="337">
      <c r="F337" s="2"/>
      <c r="G337" s="2"/>
      <c r="H337" s="2"/>
      <c r="S337" s="2"/>
    </row>
    <row r="338">
      <c r="F338" s="2"/>
      <c r="G338" s="2"/>
      <c r="H338" s="2"/>
      <c r="S338" s="2"/>
    </row>
    <row r="339">
      <c r="F339" s="2"/>
      <c r="G339" s="2"/>
      <c r="H339" s="2"/>
      <c r="S339" s="2"/>
    </row>
    <row r="340">
      <c r="F340" s="2"/>
      <c r="G340" s="2"/>
      <c r="H340" s="2"/>
      <c r="S340" s="2"/>
    </row>
    <row r="341">
      <c r="F341" s="2"/>
      <c r="G341" s="2"/>
      <c r="H341" s="2"/>
      <c r="S341" s="2"/>
    </row>
    <row r="342">
      <c r="F342" s="2"/>
      <c r="G342" s="2"/>
      <c r="H342" s="2"/>
      <c r="S342" s="2"/>
    </row>
    <row r="343">
      <c r="F343" s="2"/>
      <c r="G343" s="2"/>
      <c r="H343" s="2"/>
      <c r="S343" s="2"/>
    </row>
    <row r="344">
      <c r="F344" s="2"/>
      <c r="G344" s="2"/>
      <c r="H344" s="2"/>
      <c r="S344" s="2"/>
    </row>
    <row r="345">
      <c r="F345" s="2"/>
      <c r="G345" s="2"/>
      <c r="H345" s="2"/>
      <c r="S345" s="2"/>
    </row>
    <row r="346">
      <c r="F346" s="2"/>
      <c r="G346" s="2"/>
      <c r="H346" s="2"/>
      <c r="S346" s="2"/>
    </row>
    <row r="347">
      <c r="F347" s="2"/>
      <c r="G347" s="2"/>
      <c r="H347" s="2"/>
      <c r="S347" s="2"/>
    </row>
    <row r="348">
      <c r="F348" s="2"/>
      <c r="G348" s="2"/>
      <c r="H348" s="2"/>
      <c r="S348" s="2"/>
    </row>
    <row r="349">
      <c r="F349" s="2"/>
      <c r="G349" s="2"/>
      <c r="H349" s="2"/>
      <c r="S349" s="2"/>
    </row>
    <row r="350">
      <c r="F350" s="2"/>
      <c r="G350" s="2"/>
      <c r="H350" s="2"/>
      <c r="S350" s="2"/>
    </row>
    <row r="351">
      <c r="F351" s="2"/>
      <c r="G351" s="2"/>
      <c r="H351" s="2"/>
      <c r="S351" s="2"/>
    </row>
    <row r="352">
      <c r="F352" s="2"/>
      <c r="G352" s="2"/>
      <c r="H352" s="2"/>
      <c r="S352" s="2"/>
    </row>
    <row r="353">
      <c r="F353" s="2"/>
      <c r="G353" s="2"/>
      <c r="H353" s="2"/>
      <c r="S353" s="2"/>
    </row>
    <row r="354">
      <c r="F354" s="2"/>
      <c r="G354" s="2"/>
      <c r="H354" s="2"/>
      <c r="S354" s="2"/>
    </row>
    <row r="355">
      <c r="F355" s="2"/>
      <c r="G355" s="2"/>
      <c r="H355" s="2"/>
      <c r="S355" s="2"/>
    </row>
    <row r="356">
      <c r="F356" s="2"/>
      <c r="G356" s="2"/>
      <c r="H356" s="2"/>
      <c r="S356" s="2"/>
    </row>
    <row r="357">
      <c r="F357" s="2"/>
      <c r="G357" s="2"/>
      <c r="H357" s="2"/>
      <c r="S357" s="2"/>
    </row>
    <row r="358">
      <c r="F358" s="2"/>
      <c r="G358" s="2"/>
      <c r="H358" s="2"/>
      <c r="S358" s="2"/>
    </row>
    <row r="359">
      <c r="F359" s="2"/>
      <c r="G359" s="2"/>
      <c r="H359" s="2"/>
      <c r="S359" s="2"/>
    </row>
    <row r="360">
      <c r="F360" s="2"/>
      <c r="G360" s="2"/>
      <c r="H360" s="2"/>
      <c r="S360" s="2"/>
    </row>
    <row r="361">
      <c r="F361" s="2"/>
      <c r="G361" s="2"/>
      <c r="H361" s="2"/>
      <c r="S361" s="2"/>
    </row>
    <row r="362">
      <c r="F362" s="2"/>
      <c r="G362" s="2"/>
      <c r="H362" s="2"/>
      <c r="S362" s="2"/>
    </row>
    <row r="363">
      <c r="F363" s="2"/>
      <c r="G363" s="2"/>
      <c r="H363" s="2"/>
      <c r="S363" s="2"/>
    </row>
    <row r="364">
      <c r="F364" s="2"/>
      <c r="G364" s="2"/>
      <c r="H364" s="2"/>
      <c r="S364" s="2"/>
    </row>
    <row r="365">
      <c r="F365" s="2"/>
      <c r="G365" s="2"/>
      <c r="H365" s="2"/>
      <c r="S365" s="2"/>
    </row>
    <row r="366">
      <c r="F366" s="2"/>
      <c r="G366" s="2"/>
      <c r="H366" s="2"/>
      <c r="S366" s="2"/>
    </row>
    <row r="367">
      <c r="F367" s="2"/>
      <c r="G367" s="2"/>
      <c r="H367" s="2"/>
      <c r="S367" s="2"/>
    </row>
    <row r="368">
      <c r="F368" s="2"/>
      <c r="G368" s="2"/>
      <c r="H368" s="2"/>
      <c r="S368" s="2"/>
    </row>
    <row r="369">
      <c r="F369" s="2"/>
      <c r="G369" s="2"/>
      <c r="H369" s="2"/>
      <c r="S369" s="2"/>
    </row>
    <row r="370">
      <c r="F370" s="2"/>
      <c r="G370" s="2"/>
      <c r="H370" s="2"/>
      <c r="S370" s="2"/>
    </row>
    <row r="371">
      <c r="F371" s="2"/>
      <c r="G371" s="2"/>
      <c r="H371" s="2"/>
      <c r="S371" s="2"/>
    </row>
    <row r="372">
      <c r="F372" s="2"/>
      <c r="G372" s="2"/>
      <c r="H372" s="2"/>
      <c r="S372" s="2"/>
    </row>
    <row r="373">
      <c r="F373" s="2"/>
      <c r="G373" s="2"/>
      <c r="H373" s="2"/>
      <c r="S373" s="2"/>
    </row>
    <row r="374">
      <c r="F374" s="2"/>
      <c r="G374" s="2"/>
      <c r="H374" s="2"/>
      <c r="S374" s="2"/>
    </row>
    <row r="375">
      <c r="F375" s="2"/>
      <c r="G375" s="2"/>
      <c r="H375" s="2"/>
      <c r="S375" s="2"/>
    </row>
    <row r="376">
      <c r="F376" s="2"/>
      <c r="G376" s="2"/>
      <c r="H376" s="2"/>
      <c r="S376" s="2"/>
    </row>
    <row r="377">
      <c r="F377" s="2"/>
      <c r="G377" s="2"/>
      <c r="H377" s="2"/>
      <c r="S377" s="2"/>
    </row>
    <row r="378">
      <c r="F378" s="2"/>
      <c r="G378" s="2"/>
      <c r="H378" s="2"/>
      <c r="S378" s="2"/>
    </row>
    <row r="379">
      <c r="F379" s="2"/>
      <c r="G379" s="2"/>
      <c r="H379" s="2"/>
      <c r="S379" s="2"/>
    </row>
    <row r="380">
      <c r="F380" s="2"/>
      <c r="G380" s="2"/>
      <c r="H380" s="2"/>
      <c r="S380" s="2"/>
    </row>
    <row r="381">
      <c r="F381" s="2"/>
      <c r="G381" s="2"/>
      <c r="H381" s="2"/>
      <c r="S381" s="2"/>
    </row>
    <row r="382">
      <c r="F382" s="2"/>
      <c r="G382" s="2"/>
      <c r="H382" s="2"/>
      <c r="S382" s="2"/>
    </row>
    <row r="383">
      <c r="F383" s="2"/>
      <c r="G383" s="2"/>
      <c r="H383" s="2"/>
      <c r="S383" s="2"/>
    </row>
    <row r="384">
      <c r="F384" s="2"/>
      <c r="G384" s="2"/>
      <c r="H384" s="2"/>
      <c r="S384" s="2"/>
    </row>
    <row r="385">
      <c r="F385" s="2"/>
      <c r="G385" s="2"/>
      <c r="H385" s="2"/>
      <c r="S385" s="2"/>
    </row>
    <row r="386">
      <c r="F386" s="2"/>
      <c r="G386" s="2"/>
      <c r="H386" s="2"/>
      <c r="S386" s="2"/>
    </row>
    <row r="387">
      <c r="F387" s="2"/>
      <c r="G387" s="2"/>
      <c r="H387" s="2"/>
      <c r="S387" s="2"/>
    </row>
    <row r="388">
      <c r="F388" s="2"/>
      <c r="G388" s="2"/>
      <c r="H388" s="2"/>
      <c r="S388" s="2"/>
    </row>
    <row r="389">
      <c r="F389" s="2"/>
      <c r="G389" s="2"/>
      <c r="H389" s="2"/>
      <c r="S389" s="2"/>
    </row>
    <row r="390">
      <c r="F390" s="2"/>
      <c r="G390" s="2"/>
      <c r="H390" s="2"/>
      <c r="S390" s="2"/>
    </row>
    <row r="391">
      <c r="F391" s="2"/>
      <c r="G391" s="2"/>
      <c r="H391" s="2"/>
      <c r="S391" s="2"/>
    </row>
    <row r="392">
      <c r="F392" s="2"/>
      <c r="G392" s="2"/>
      <c r="H392" s="2"/>
      <c r="S392" s="2"/>
    </row>
    <row r="393">
      <c r="F393" s="2"/>
      <c r="G393" s="2"/>
      <c r="H393" s="2"/>
      <c r="S393" s="2"/>
    </row>
    <row r="394">
      <c r="F394" s="2"/>
      <c r="G394" s="2"/>
      <c r="H394" s="2"/>
      <c r="S394" s="2"/>
    </row>
    <row r="395">
      <c r="F395" s="2"/>
      <c r="G395" s="2"/>
      <c r="H395" s="2"/>
      <c r="S395" s="2"/>
    </row>
    <row r="396">
      <c r="F396" s="2"/>
      <c r="G396" s="2"/>
      <c r="H396" s="2"/>
      <c r="S396" s="2"/>
    </row>
    <row r="397">
      <c r="F397" s="2"/>
      <c r="G397" s="2"/>
      <c r="H397" s="2"/>
      <c r="S397" s="2"/>
    </row>
    <row r="398">
      <c r="F398" s="2"/>
      <c r="G398" s="2"/>
      <c r="H398" s="2"/>
      <c r="S398" s="2"/>
    </row>
    <row r="399">
      <c r="F399" s="2"/>
      <c r="G399" s="2"/>
      <c r="H399" s="2"/>
      <c r="S399" s="2"/>
    </row>
    <row r="400">
      <c r="F400" s="2"/>
      <c r="G400" s="2"/>
      <c r="H400" s="2"/>
      <c r="S400" s="2"/>
    </row>
    <row r="401">
      <c r="F401" s="2"/>
      <c r="G401" s="2"/>
      <c r="H401" s="2"/>
      <c r="S401" s="2"/>
    </row>
    <row r="402">
      <c r="F402" s="2"/>
      <c r="G402" s="2"/>
      <c r="H402" s="2"/>
      <c r="S402" s="2"/>
    </row>
    <row r="403">
      <c r="F403" s="2"/>
      <c r="G403" s="2"/>
      <c r="H403" s="2"/>
      <c r="S403" s="2"/>
    </row>
    <row r="404">
      <c r="F404" s="2"/>
      <c r="G404" s="2"/>
      <c r="H404" s="2"/>
      <c r="S404" s="2"/>
    </row>
    <row r="405">
      <c r="F405" s="2"/>
      <c r="G405" s="2"/>
      <c r="H405" s="2"/>
      <c r="S405" s="2"/>
    </row>
    <row r="406">
      <c r="F406" s="2"/>
      <c r="G406" s="2"/>
      <c r="H406" s="2"/>
      <c r="S406" s="2"/>
    </row>
    <row r="407">
      <c r="F407" s="2"/>
      <c r="G407" s="2"/>
      <c r="H407" s="2"/>
      <c r="S407" s="2"/>
    </row>
    <row r="408">
      <c r="F408" s="2"/>
      <c r="G408" s="2"/>
      <c r="H408" s="2"/>
      <c r="S408" s="2"/>
    </row>
    <row r="409">
      <c r="F409" s="2"/>
      <c r="G409" s="2"/>
      <c r="H409" s="2"/>
      <c r="S409" s="2"/>
    </row>
    <row r="410">
      <c r="F410" s="2"/>
      <c r="G410" s="2"/>
      <c r="H410" s="2"/>
      <c r="S410" s="2"/>
    </row>
    <row r="411">
      <c r="F411" s="2"/>
      <c r="G411" s="2"/>
      <c r="H411" s="2"/>
      <c r="S411" s="2"/>
    </row>
    <row r="412">
      <c r="F412" s="2"/>
      <c r="G412" s="2"/>
      <c r="H412" s="2"/>
      <c r="S412" s="2"/>
    </row>
    <row r="413">
      <c r="F413" s="2"/>
      <c r="G413" s="2"/>
      <c r="H413" s="2"/>
      <c r="S413" s="2"/>
    </row>
    <row r="414">
      <c r="F414" s="2"/>
      <c r="G414" s="2"/>
      <c r="H414" s="2"/>
      <c r="S414" s="2"/>
    </row>
    <row r="415">
      <c r="F415" s="2"/>
      <c r="G415" s="2"/>
      <c r="H415" s="2"/>
      <c r="S415" s="2"/>
    </row>
    <row r="416">
      <c r="F416" s="2"/>
      <c r="G416" s="2"/>
      <c r="H416" s="2"/>
      <c r="S416" s="2"/>
    </row>
    <row r="417">
      <c r="F417" s="2"/>
      <c r="G417" s="2"/>
      <c r="H417" s="2"/>
      <c r="S417" s="2"/>
    </row>
    <row r="418">
      <c r="F418" s="2"/>
      <c r="G418" s="2"/>
      <c r="H418" s="2"/>
      <c r="S418" s="2"/>
    </row>
    <row r="419">
      <c r="F419" s="2"/>
      <c r="G419" s="2"/>
      <c r="H419" s="2"/>
      <c r="S419" s="2"/>
    </row>
    <row r="420">
      <c r="F420" s="2"/>
      <c r="G420" s="2"/>
      <c r="H420" s="2"/>
      <c r="S420" s="2"/>
    </row>
    <row r="421">
      <c r="F421" s="2"/>
      <c r="G421" s="2"/>
      <c r="H421" s="2"/>
      <c r="S421" s="2"/>
    </row>
    <row r="422">
      <c r="F422" s="2"/>
      <c r="G422" s="2"/>
      <c r="H422" s="2"/>
      <c r="S422" s="2"/>
    </row>
    <row r="423">
      <c r="F423" s="2"/>
      <c r="G423" s="2"/>
      <c r="H423" s="2"/>
      <c r="S423" s="2"/>
    </row>
    <row r="424">
      <c r="F424" s="2"/>
      <c r="G424" s="2"/>
      <c r="H424" s="2"/>
      <c r="S424" s="2"/>
    </row>
    <row r="425">
      <c r="F425" s="2"/>
      <c r="G425" s="2"/>
      <c r="H425" s="2"/>
      <c r="S425" s="2"/>
    </row>
    <row r="426">
      <c r="F426" s="2"/>
      <c r="G426" s="2"/>
      <c r="H426" s="2"/>
      <c r="S426" s="2"/>
    </row>
    <row r="427">
      <c r="F427" s="2"/>
      <c r="G427" s="2"/>
      <c r="H427" s="2"/>
      <c r="S427" s="2"/>
    </row>
    <row r="428">
      <c r="F428" s="2"/>
      <c r="G428" s="2"/>
      <c r="H428" s="2"/>
      <c r="S428" s="2"/>
    </row>
    <row r="429">
      <c r="F429" s="2"/>
      <c r="G429" s="2"/>
      <c r="H429" s="2"/>
      <c r="S429" s="2"/>
    </row>
    <row r="430">
      <c r="F430" s="2"/>
      <c r="G430" s="2"/>
      <c r="H430" s="2"/>
      <c r="S430" s="2"/>
    </row>
    <row r="431">
      <c r="F431" s="2"/>
      <c r="G431" s="2"/>
      <c r="H431" s="2"/>
      <c r="S431" s="2"/>
    </row>
    <row r="432">
      <c r="F432" s="2"/>
      <c r="G432" s="2"/>
      <c r="H432" s="2"/>
      <c r="S432" s="2"/>
    </row>
    <row r="433">
      <c r="F433" s="2"/>
      <c r="G433" s="2"/>
      <c r="H433" s="2"/>
      <c r="S433" s="2"/>
    </row>
    <row r="434">
      <c r="F434" s="2"/>
      <c r="G434" s="2"/>
      <c r="H434" s="2"/>
      <c r="S434" s="2"/>
    </row>
    <row r="435">
      <c r="F435" s="2"/>
      <c r="G435" s="2"/>
      <c r="H435" s="2"/>
      <c r="S435" s="2"/>
    </row>
    <row r="436">
      <c r="F436" s="2"/>
      <c r="G436" s="2"/>
      <c r="H436" s="2"/>
      <c r="S436" s="2"/>
    </row>
    <row r="437">
      <c r="F437" s="2"/>
      <c r="G437" s="2"/>
      <c r="H437" s="2"/>
      <c r="S437" s="2"/>
    </row>
    <row r="438">
      <c r="F438" s="2"/>
      <c r="G438" s="2"/>
      <c r="H438" s="2"/>
      <c r="S438" s="2"/>
    </row>
    <row r="439">
      <c r="F439" s="2"/>
      <c r="G439" s="2"/>
      <c r="H439" s="2"/>
      <c r="S439" s="2"/>
    </row>
    <row r="440">
      <c r="F440" s="2"/>
      <c r="G440" s="2"/>
      <c r="H440" s="2"/>
      <c r="S440" s="2"/>
    </row>
    <row r="441">
      <c r="F441" s="2"/>
      <c r="G441" s="2"/>
      <c r="H441" s="2"/>
      <c r="S441" s="2"/>
    </row>
    <row r="442">
      <c r="F442" s="2"/>
      <c r="G442" s="2"/>
      <c r="H442" s="2"/>
      <c r="S442" s="2"/>
    </row>
    <row r="443">
      <c r="F443" s="2"/>
      <c r="G443" s="2"/>
      <c r="H443" s="2"/>
      <c r="S443" s="2"/>
    </row>
    <row r="444">
      <c r="F444" s="2"/>
      <c r="G444" s="2"/>
      <c r="H444" s="2"/>
      <c r="S444" s="2"/>
    </row>
    <row r="445">
      <c r="F445" s="2"/>
      <c r="G445" s="2"/>
      <c r="H445" s="2"/>
      <c r="S445" s="2"/>
    </row>
    <row r="446">
      <c r="F446" s="2"/>
      <c r="G446" s="2"/>
      <c r="H446" s="2"/>
      <c r="S446" s="2"/>
    </row>
    <row r="447">
      <c r="F447" s="2"/>
      <c r="G447" s="2"/>
      <c r="H447" s="2"/>
      <c r="S447" s="2"/>
    </row>
    <row r="448">
      <c r="F448" s="2"/>
      <c r="G448" s="2"/>
      <c r="H448" s="2"/>
      <c r="S448" s="2"/>
    </row>
    <row r="449">
      <c r="F449" s="2"/>
      <c r="G449" s="2"/>
      <c r="H449" s="2"/>
      <c r="S449" s="2"/>
    </row>
    <row r="450">
      <c r="F450" s="2"/>
      <c r="G450" s="2"/>
      <c r="H450" s="2"/>
      <c r="S450" s="2"/>
    </row>
    <row r="451">
      <c r="F451" s="2"/>
      <c r="G451" s="2"/>
      <c r="H451" s="2"/>
      <c r="S451" s="2"/>
    </row>
    <row r="452">
      <c r="F452" s="2"/>
      <c r="G452" s="2"/>
      <c r="H452" s="2"/>
      <c r="S452" s="2"/>
    </row>
    <row r="453">
      <c r="F453" s="2"/>
      <c r="G453" s="2"/>
      <c r="H453" s="2"/>
      <c r="S453" s="2"/>
    </row>
    <row r="454">
      <c r="F454" s="2"/>
      <c r="G454" s="2"/>
      <c r="H454" s="2"/>
      <c r="S454" s="2"/>
    </row>
    <row r="455">
      <c r="F455" s="2"/>
      <c r="G455" s="2"/>
      <c r="H455" s="2"/>
      <c r="S455" s="2"/>
    </row>
    <row r="456">
      <c r="F456" s="2"/>
      <c r="G456" s="2"/>
      <c r="H456" s="2"/>
      <c r="S456" s="2"/>
    </row>
    <row r="457">
      <c r="F457" s="2"/>
      <c r="G457" s="2"/>
      <c r="H457" s="2"/>
      <c r="S457" s="2"/>
    </row>
    <row r="458">
      <c r="F458" s="2"/>
      <c r="G458" s="2"/>
      <c r="H458" s="2"/>
      <c r="S458" s="2"/>
    </row>
    <row r="459">
      <c r="F459" s="2"/>
      <c r="G459" s="2"/>
      <c r="H459" s="2"/>
      <c r="S459" s="2"/>
    </row>
    <row r="460">
      <c r="F460" s="2"/>
      <c r="G460" s="2"/>
      <c r="H460" s="2"/>
      <c r="S460" s="2"/>
    </row>
    <row r="461">
      <c r="F461" s="2"/>
      <c r="G461" s="2"/>
      <c r="H461" s="2"/>
      <c r="S461" s="2"/>
    </row>
    <row r="462">
      <c r="F462" s="2"/>
      <c r="G462" s="2"/>
      <c r="H462" s="2"/>
      <c r="S462" s="2"/>
    </row>
    <row r="463">
      <c r="F463" s="2"/>
      <c r="G463" s="2"/>
      <c r="H463" s="2"/>
      <c r="S463" s="2"/>
    </row>
    <row r="464">
      <c r="F464" s="2"/>
      <c r="G464" s="2"/>
      <c r="H464" s="2"/>
      <c r="S464" s="2"/>
    </row>
    <row r="465">
      <c r="F465" s="2"/>
      <c r="G465" s="2"/>
      <c r="H465" s="2"/>
      <c r="S465" s="2"/>
    </row>
    <row r="466">
      <c r="F466" s="2"/>
      <c r="G466" s="2"/>
      <c r="H466" s="2"/>
      <c r="S466" s="2"/>
    </row>
    <row r="467">
      <c r="F467" s="2"/>
      <c r="G467" s="2"/>
      <c r="H467" s="2"/>
      <c r="S467" s="2"/>
    </row>
    <row r="468">
      <c r="F468" s="2"/>
      <c r="G468" s="2"/>
      <c r="H468" s="2"/>
      <c r="S468" s="2"/>
    </row>
    <row r="469">
      <c r="F469" s="2"/>
      <c r="G469" s="2"/>
      <c r="H469" s="2"/>
      <c r="S469" s="2"/>
    </row>
    <row r="470">
      <c r="F470" s="2"/>
      <c r="G470" s="2"/>
      <c r="H470" s="2"/>
      <c r="S470" s="2"/>
    </row>
    <row r="471">
      <c r="F471" s="2"/>
      <c r="G471" s="2"/>
      <c r="H471" s="2"/>
      <c r="S471" s="2"/>
    </row>
    <row r="472">
      <c r="F472" s="2"/>
      <c r="G472" s="2"/>
      <c r="H472" s="2"/>
      <c r="S472" s="2"/>
    </row>
    <row r="473">
      <c r="F473" s="2"/>
      <c r="G473" s="2"/>
      <c r="H473" s="2"/>
      <c r="S473" s="2"/>
    </row>
    <row r="474">
      <c r="F474" s="2"/>
      <c r="G474" s="2"/>
      <c r="H474" s="2"/>
      <c r="S474" s="2"/>
    </row>
    <row r="475">
      <c r="F475" s="2"/>
      <c r="G475" s="2"/>
      <c r="H475" s="2"/>
      <c r="S475" s="2"/>
    </row>
    <row r="476">
      <c r="F476" s="2"/>
      <c r="G476" s="2"/>
      <c r="H476" s="2"/>
      <c r="S476" s="2"/>
    </row>
    <row r="477">
      <c r="F477" s="2"/>
      <c r="G477" s="2"/>
      <c r="H477" s="2"/>
      <c r="S477" s="2"/>
    </row>
    <row r="478">
      <c r="F478" s="2"/>
      <c r="G478" s="2"/>
      <c r="H478" s="2"/>
      <c r="S478" s="2"/>
    </row>
    <row r="479">
      <c r="F479" s="2"/>
      <c r="G479" s="2"/>
      <c r="H479" s="2"/>
      <c r="S479" s="2"/>
    </row>
    <row r="480">
      <c r="F480" s="2"/>
      <c r="G480" s="2"/>
      <c r="H480" s="2"/>
      <c r="S480" s="2"/>
    </row>
    <row r="481">
      <c r="F481" s="2"/>
      <c r="G481" s="2"/>
      <c r="H481" s="2"/>
      <c r="S481" s="2"/>
    </row>
    <row r="482">
      <c r="F482" s="2"/>
      <c r="G482" s="2"/>
      <c r="H482" s="2"/>
      <c r="S482" s="2"/>
    </row>
    <row r="483">
      <c r="F483" s="2"/>
      <c r="G483" s="2"/>
      <c r="H483" s="2"/>
      <c r="S483" s="2"/>
    </row>
    <row r="484">
      <c r="F484" s="2"/>
      <c r="G484" s="2"/>
      <c r="H484" s="2"/>
      <c r="S484" s="2"/>
    </row>
    <row r="485">
      <c r="F485" s="2"/>
      <c r="G485" s="2"/>
      <c r="H485" s="2"/>
      <c r="S485" s="2"/>
    </row>
    <row r="486">
      <c r="F486" s="2"/>
      <c r="G486" s="2"/>
      <c r="H486" s="2"/>
      <c r="S486" s="2"/>
    </row>
    <row r="487">
      <c r="F487" s="2"/>
      <c r="G487" s="2"/>
      <c r="H487" s="2"/>
      <c r="S487" s="2"/>
    </row>
    <row r="488">
      <c r="F488" s="2"/>
      <c r="G488" s="2"/>
      <c r="H488" s="2"/>
      <c r="S488" s="2"/>
    </row>
    <row r="489">
      <c r="F489" s="2"/>
      <c r="G489" s="2"/>
      <c r="H489" s="2"/>
      <c r="S489" s="2"/>
    </row>
    <row r="490">
      <c r="F490" s="2"/>
      <c r="G490" s="2"/>
      <c r="H490" s="2"/>
      <c r="S490" s="2"/>
    </row>
    <row r="491">
      <c r="F491" s="2"/>
      <c r="G491" s="2"/>
      <c r="H491" s="2"/>
      <c r="S491" s="2"/>
    </row>
    <row r="492">
      <c r="F492" s="2"/>
      <c r="G492" s="2"/>
      <c r="H492" s="2"/>
      <c r="S492" s="2"/>
    </row>
    <row r="493">
      <c r="F493" s="2"/>
      <c r="G493" s="2"/>
      <c r="H493" s="2"/>
      <c r="S493" s="2"/>
    </row>
    <row r="494">
      <c r="F494" s="2"/>
      <c r="G494" s="2"/>
      <c r="H494" s="2"/>
      <c r="S494" s="2"/>
    </row>
    <row r="495">
      <c r="F495" s="2"/>
      <c r="G495" s="2"/>
      <c r="H495" s="2"/>
      <c r="S495" s="2"/>
    </row>
    <row r="496">
      <c r="F496" s="2"/>
      <c r="G496" s="2"/>
      <c r="H496" s="2"/>
      <c r="S496" s="2"/>
    </row>
    <row r="497">
      <c r="F497" s="2"/>
      <c r="G497" s="2"/>
      <c r="H497" s="2"/>
      <c r="S497" s="2"/>
    </row>
    <row r="498">
      <c r="F498" s="2"/>
      <c r="G498" s="2"/>
      <c r="H498" s="2"/>
      <c r="S498" s="2"/>
    </row>
    <row r="499">
      <c r="F499" s="2"/>
      <c r="G499" s="2"/>
      <c r="H499" s="2"/>
      <c r="S499" s="2"/>
    </row>
    <row r="500">
      <c r="F500" s="2"/>
      <c r="G500" s="2"/>
      <c r="H500" s="2"/>
      <c r="S500" s="2"/>
    </row>
    <row r="501">
      <c r="F501" s="2"/>
      <c r="G501" s="2"/>
      <c r="H501" s="2"/>
      <c r="S501" s="2"/>
    </row>
    <row r="502">
      <c r="F502" s="2"/>
      <c r="G502" s="2"/>
      <c r="H502" s="2"/>
      <c r="S502" s="2"/>
    </row>
    <row r="503">
      <c r="F503" s="2"/>
      <c r="G503" s="2"/>
      <c r="H503" s="2"/>
      <c r="S503" s="2"/>
    </row>
    <row r="504">
      <c r="F504" s="2"/>
      <c r="G504" s="2"/>
      <c r="H504" s="2"/>
      <c r="S504" s="2"/>
    </row>
    <row r="505">
      <c r="F505" s="2"/>
      <c r="G505" s="2"/>
      <c r="H505" s="2"/>
      <c r="S505" s="2"/>
    </row>
    <row r="506">
      <c r="F506" s="2"/>
      <c r="G506" s="2"/>
      <c r="H506" s="2"/>
      <c r="S506" s="2"/>
    </row>
    <row r="507">
      <c r="F507" s="2"/>
      <c r="G507" s="2"/>
      <c r="H507" s="2"/>
      <c r="S507" s="2"/>
    </row>
    <row r="508">
      <c r="F508" s="2"/>
      <c r="G508" s="2"/>
      <c r="H508" s="2"/>
      <c r="S508" s="2"/>
    </row>
    <row r="509">
      <c r="F509" s="2"/>
      <c r="G509" s="2"/>
      <c r="H509" s="2"/>
      <c r="S509" s="2"/>
    </row>
    <row r="510">
      <c r="F510" s="2"/>
      <c r="G510" s="2"/>
      <c r="H510" s="2"/>
      <c r="S510" s="2"/>
    </row>
    <row r="511">
      <c r="F511" s="2"/>
      <c r="G511" s="2"/>
      <c r="H511" s="2"/>
      <c r="S511" s="2"/>
    </row>
    <row r="512">
      <c r="F512" s="2"/>
      <c r="G512" s="2"/>
      <c r="H512" s="2"/>
      <c r="S512" s="2"/>
    </row>
    <row r="513">
      <c r="F513" s="2"/>
      <c r="G513" s="2"/>
      <c r="H513" s="2"/>
      <c r="S513" s="2"/>
    </row>
    <row r="514">
      <c r="F514" s="2"/>
      <c r="G514" s="2"/>
      <c r="H514" s="2"/>
      <c r="S514" s="2"/>
    </row>
    <row r="515">
      <c r="F515" s="2"/>
      <c r="G515" s="2"/>
      <c r="H515" s="2"/>
      <c r="S515" s="2"/>
    </row>
    <row r="516">
      <c r="F516" s="2"/>
      <c r="G516" s="2"/>
      <c r="H516" s="2"/>
      <c r="S516" s="2"/>
    </row>
    <row r="517">
      <c r="F517" s="2"/>
      <c r="G517" s="2"/>
      <c r="H517" s="2"/>
      <c r="S517" s="2"/>
    </row>
    <row r="518">
      <c r="F518" s="2"/>
      <c r="G518" s="2"/>
      <c r="H518" s="2"/>
      <c r="S518" s="2"/>
    </row>
    <row r="519">
      <c r="F519" s="2"/>
      <c r="G519" s="2"/>
      <c r="H519" s="2"/>
      <c r="S519" s="2"/>
    </row>
    <row r="520">
      <c r="F520" s="2"/>
      <c r="G520" s="2"/>
      <c r="H520" s="2"/>
      <c r="S520" s="2"/>
    </row>
    <row r="521">
      <c r="F521" s="2"/>
      <c r="G521" s="2"/>
      <c r="H521" s="2"/>
      <c r="S521" s="2"/>
    </row>
    <row r="522">
      <c r="F522" s="2"/>
      <c r="G522" s="2"/>
      <c r="H522" s="2"/>
      <c r="S522" s="2"/>
    </row>
    <row r="523">
      <c r="F523" s="2"/>
      <c r="G523" s="2"/>
      <c r="H523" s="2"/>
      <c r="S523" s="2"/>
    </row>
    <row r="524">
      <c r="F524" s="2"/>
      <c r="G524" s="2"/>
      <c r="H524" s="2"/>
      <c r="S524" s="2"/>
    </row>
    <row r="525">
      <c r="F525" s="2"/>
      <c r="G525" s="2"/>
      <c r="H525" s="2"/>
      <c r="S525" s="2"/>
    </row>
    <row r="526">
      <c r="F526" s="2"/>
      <c r="G526" s="2"/>
      <c r="H526" s="2"/>
      <c r="S526" s="2"/>
    </row>
    <row r="527">
      <c r="F527" s="2"/>
      <c r="G527" s="2"/>
      <c r="H527" s="2"/>
      <c r="S527" s="2"/>
    </row>
    <row r="528">
      <c r="F528" s="2"/>
      <c r="G528" s="2"/>
      <c r="H528" s="2"/>
      <c r="S528" s="2"/>
    </row>
    <row r="529">
      <c r="F529" s="2"/>
      <c r="G529" s="2"/>
      <c r="H529" s="2"/>
      <c r="S529" s="2"/>
    </row>
    <row r="530">
      <c r="F530" s="2"/>
      <c r="G530" s="2"/>
      <c r="H530" s="2"/>
      <c r="S530" s="2"/>
    </row>
    <row r="531">
      <c r="F531" s="2"/>
      <c r="G531" s="2"/>
      <c r="H531" s="2"/>
      <c r="S531" s="2"/>
    </row>
    <row r="532">
      <c r="F532" s="2"/>
      <c r="G532" s="2"/>
      <c r="H532" s="2"/>
      <c r="S532" s="2"/>
    </row>
    <row r="533">
      <c r="F533" s="2"/>
      <c r="G533" s="2"/>
      <c r="H533" s="2"/>
      <c r="S533" s="2"/>
    </row>
    <row r="534">
      <c r="F534" s="2"/>
      <c r="G534" s="2"/>
      <c r="H534" s="2"/>
      <c r="S534" s="2"/>
    </row>
    <row r="535">
      <c r="F535" s="2"/>
      <c r="G535" s="2"/>
      <c r="H535" s="2"/>
      <c r="S535" s="2"/>
    </row>
    <row r="536">
      <c r="F536" s="2"/>
      <c r="G536" s="2"/>
      <c r="H536" s="2"/>
      <c r="S536" s="2"/>
    </row>
    <row r="537">
      <c r="F537" s="2"/>
      <c r="G537" s="2"/>
      <c r="H537" s="2"/>
      <c r="S537" s="2"/>
    </row>
    <row r="538">
      <c r="F538" s="2"/>
      <c r="G538" s="2"/>
      <c r="H538" s="2"/>
      <c r="S538" s="2"/>
    </row>
    <row r="539">
      <c r="F539" s="2"/>
      <c r="G539" s="2"/>
      <c r="H539" s="2"/>
      <c r="S539" s="2"/>
    </row>
    <row r="540">
      <c r="F540" s="2"/>
      <c r="G540" s="2"/>
      <c r="H540" s="2"/>
      <c r="S540" s="2"/>
    </row>
    <row r="541">
      <c r="F541" s="2"/>
      <c r="G541" s="2"/>
      <c r="H541" s="2"/>
      <c r="S541" s="2"/>
    </row>
    <row r="542">
      <c r="F542" s="2"/>
      <c r="G542" s="2"/>
      <c r="H542" s="2"/>
      <c r="S542" s="2"/>
    </row>
    <row r="543">
      <c r="F543" s="2"/>
      <c r="G543" s="2"/>
      <c r="H543" s="2"/>
      <c r="S543" s="2"/>
    </row>
    <row r="544">
      <c r="F544" s="2"/>
      <c r="G544" s="2"/>
      <c r="H544" s="2"/>
      <c r="S544" s="2"/>
    </row>
    <row r="545">
      <c r="F545" s="2"/>
      <c r="G545" s="2"/>
      <c r="H545" s="2"/>
      <c r="S545" s="2"/>
    </row>
    <row r="546">
      <c r="F546" s="2"/>
      <c r="G546" s="2"/>
      <c r="H546" s="2"/>
      <c r="S546" s="2"/>
    </row>
    <row r="547">
      <c r="F547" s="2"/>
      <c r="G547" s="2"/>
      <c r="H547" s="2"/>
      <c r="S547" s="2"/>
    </row>
    <row r="548">
      <c r="F548" s="2"/>
      <c r="G548" s="2"/>
      <c r="H548" s="2"/>
      <c r="S548" s="2"/>
    </row>
    <row r="549">
      <c r="F549" s="2"/>
      <c r="G549" s="2"/>
      <c r="H549" s="2"/>
      <c r="S549" s="2"/>
    </row>
    <row r="550">
      <c r="F550" s="2"/>
      <c r="G550" s="2"/>
      <c r="H550" s="2"/>
      <c r="S550" s="2"/>
    </row>
    <row r="551">
      <c r="F551" s="2"/>
      <c r="G551" s="2"/>
      <c r="H551" s="2"/>
      <c r="S551" s="2"/>
    </row>
    <row r="552">
      <c r="F552" s="2"/>
      <c r="G552" s="2"/>
      <c r="H552" s="2"/>
      <c r="S552" s="2"/>
    </row>
    <row r="553">
      <c r="F553" s="2"/>
      <c r="G553" s="2"/>
      <c r="H553" s="2"/>
      <c r="S553" s="2"/>
    </row>
    <row r="554">
      <c r="F554" s="2"/>
      <c r="G554" s="2"/>
      <c r="H554" s="2"/>
      <c r="S554" s="2"/>
    </row>
    <row r="555">
      <c r="F555" s="2"/>
      <c r="G555" s="2"/>
      <c r="H555" s="2"/>
      <c r="S555" s="2"/>
    </row>
    <row r="556">
      <c r="F556" s="2"/>
      <c r="G556" s="2"/>
      <c r="H556" s="2"/>
      <c r="S556" s="2"/>
    </row>
    <row r="557">
      <c r="F557" s="2"/>
      <c r="G557" s="2"/>
      <c r="H557" s="2"/>
      <c r="S557" s="2"/>
    </row>
    <row r="558">
      <c r="F558" s="2"/>
      <c r="G558" s="2"/>
      <c r="H558" s="2"/>
      <c r="S558" s="2"/>
    </row>
    <row r="559">
      <c r="F559" s="2"/>
      <c r="G559" s="2"/>
      <c r="H559" s="2"/>
      <c r="S559" s="2"/>
    </row>
    <row r="560">
      <c r="F560" s="2"/>
      <c r="G560" s="2"/>
      <c r="H560" s="2"/>
      <c r="S560" s="2"/>
    </row>
    <row r="561">
      <c r="F561" s="2"/>
      <c r="G561" s="2"/>
      <c r="H561" s="2"/>
      <c r="S561" s="2"/>
    </row>
    <row r="562">
      <c r="F562" s="2"/>
      <c r="G562" s="2"/>
      <c r="H562" s="2"/>
      <c r="S562" s="2"/>
    </row>
    <row r="563">
      <c r="F563" s="2"/>
      <c r="G563" s="2"/>
      <c r="H563" s="2"/>
      <c r="S563" s="2"/>
    </row>
    <row r="564">
      <c r="F564" s="2"/>
      <c r="G564" s="2"/>
      <c r="H564" s="2"/>
      <c r="S564" s="2"/>
    </row>
    <row r="565">
      <c r="F565" s="2"/>
      <c r="G565" s="2"/>
      <c r="H565" s="2"/>
      <c r="S565" s="2"/>
    </row>
    <row r="566">
      <c r="F566" s="2"/>
      <c r="G566" s="2"/>
      <c r="H566" s="2"/>
      <c r="S566" s="2"/>
    </row>
    <row r="567">
      <c r="F567" s="2"/>
      <c r="G567" s="2"/>
      <c r="H567" s="2"/>
      <c r="S567" s="2"/>
    </row>
    <row r="568">
      <c r="F568" s="2"/>
      <c r="G568" s="2"/>
      <c r="H568" s="2"/>
      <c r="S568" s="2"/>
    </row>
    <row r="569">
      <c r="F569" s="2"/>
      <c r="G569" s="2"/>
      <c r="H569" s="2"/>
      <c r="S569" s="2"/>
    </row>
    <row r="570">
      <c r="F570" s="2"/>
      <c r="G570" s="2"/>
      <c r="H570" s="2"/>
      <c r="S570" s="2"/>
    </row>
    <row r="571">
      <c r="F571" s="2"/>
      <c r="G571" s="2"/>
      <c r="H571" s="2"/>
      <c r="S571" s="2"/>
    </row>
    <row r="572">
      <c r="F572" s="2"/>
      <c r="G572" s="2"/>
      <c r="H572" s="2"/>
      <c r="S572" s="2"/>
    </row>
    <row r="573">
      <c r="F573" s="2"/>
      <c r="G573" s="2"/>
      <c r="H573" s="2"/>
      <c r="S573" s="2"/>
    </row>
    <row r="574">
      <c r="F574" s="2"/>
      <c r="G574" s="2"/>
      <c r="H574" s="2"/>
      <c r="S574" s="2"/>
    </row>
    <row r="575">
      <c r="F575" s="2"/>
      <c r="G575" s="2"/>
      <c r="H575" s="2"/>
      <c r="S575" s="2"/>
    </row>
    <row r="576">
      <c r="F576" s="2"/>
      <c r="G576" s="2"/>
      <c r="H576" s="2"/>
      <c r="S576" s="2"/>
    </row>
    <row r="577">
      <c r="F577" s="2"/>
      <c r="G577" s="2"/>
      <c r="H577" s="2"/>
      <c r="S577" s="2"/>
    </row>
    <row r="578">
      <c r="F578" s="2"/>
      <c r="G578" s="2"/>
      <c r="H578" s="2"/>
      <c r="S578" s="2"/>
    </row>
    <row r="579">
      <c r="F579" s="2"/>
      <c r="G579" s="2"/>
      <c r="H579" s="2"/>
      <c r="S579" s="2"/>
    </row>
    <row r="580">
      <c r="F580" s="2"/>
      <c r="G580" s="2"/>
      <c r="H580" s="2"/>
      <c r="S580" s="2"/>
    </row>
    <row r="581">
      <c r="F581" s="2"/>
      <c r="G581" s="2"/>
      <c r="H581" s="2"/>
      <c r="S581" s="2"/>
    </row>
    <row r="582">
      <c r="F582" s="2"/>
      <c r="G582" s="2"/>
      <c r="H582" s="2"/>
      <c r="S582" s="2"/>
    </row>
    <row r="583">
      <c r="F583" s="2"/>
      <c r="G583" s="2"/>
      <c r="H583" s="2"/>
      <c r="S583" s="2"/>
    </row>
    <row r="584">
      <c r="F584" s="2"/>
      <c r="G584" s="2"/>
      <c r="H584" s="2"/>
      <c r="S584" s="2"/>
    </row>
    <row r="585">
      <c r="F585" s="2"/>
      <c r="G585" s="2"/>
      <c r="H585" s="2"/>
      <c r="S585" s="2"/>
    </row>
    <row r="586">
      <c r="F586" s="2"/>
      <c r="G586" s="2"/>
      <c r="H586" s="2"/>
      <c r="S586" s="2"/>
    </row>
    <row r="587">
      <c r="F587" s="2"/>
      <c r="G587" s="2"/>
      <c r="H587" s="2"/>
      <c r="S587" s="2"/>
    </row>
    <row r="588">
      <c r="F588" s="2"/>
      <c r="G588" s="2"/>
      <c r="H588" s="2"/>
      <c r="S588" s="2"/>
    </row>
    <row r="589">
      <c r="F589" s="2"/>
      <c r="G589" s="2"/>
      <c r="H589" s="2"/>
      <c r="S589" s="2"/>
    </row>
    <row r="590">
      <c r="F590" s="2"/>
      <c r="G590" s="2"/>
      <c r="H590" s="2"/>
      <c r="S590" s="2"/>
    </row>
    <row r="591">
      <c r="F591" s="2"/>
      <c r="G591" s="2"/>
      <c r="H591" s="2"/>
      <c r="S591" s="2"/>
    </row>
    <row r="592">
      <c r="F592" s="2"/>
      <c r="G592" s="2"/>
      <c r="H592" s="2"/>
      <c r="S592" s="2"/>
    </row>
    <row r="593">
      <c r="F593" s="2"/>
      <c r="G593" s="2"/>
      <c r="H593" s="2"/>
      <c r="S593" s="2"/>
    </row>
    <row r="594">
      <c r="F594" s="2"/>
      <c r="G594" s="2"/>
      <c r="H594" s="2"/>
      <c r="S594" s="2"/>
    </row>
    <row r="595">
      <c r="F595" s="2"/>
      <c r="G595" s="2"/>
      <c r="H595" s="2"/>
      <c r="S595" s="2"/>
    </row>
    <row r="596">
      <c r="F596" s="2"/>
      <c r="G596" s="2"/>
      <c r="H596" s="2"/>
      <c r="S596" s="2"/>
    </row>
    <row r="597">
      <c r="F597" s="2"/>
      <c r="G597" s="2"/>
      <c r="H597" s="2"/>
      <c r="S597" s="2"/>
    </row>
    <row r="598">
      <c r="F598" s="2"/>
      <c r="G598" s="2"/>
      <c r="H598" s="2"/>
      <c r="S598" s="2"/>
    </row>
    <row r="599">
      <c r="F599" s="2"/>
      <c r="G599" s="2"/>
      <c r="H599" s="2"/>
      <c r="S599" s="2"/>
    </row>
    <row r="600">
      <c r="F600" s="2"/>
      <c r="G600" s="2"/>
      <c r="H600" s="2"/>
      <c r="S600" s="2"/>
    </row>
    <row r="601">
      <c r="F601" s="2"/>
      <c r="G601" s="2"/>
      <c r="H601" s="2"/>
      <c r="S601" s="2"/>
    </row>
    <row r="602">
      <c r="F602" s="2"/>
      <c r="G602" s="2"/>
      <c r="H602" s="2"/>
      <c r="S602" s="2"/>
    </row>
    <row r="603">
      <c r="F603" s="2"/>
      <c r="G603" s="2"/>
      <c r="H603" s="2"/>
      <c r="S603" s="2"/>
    </row>
    <row r="604">
      <c r="F604" s="2"/>
      <c r="G604" s="2"/>
      <c r="H604" s="2"/>
      <c r="S604" s="2"/>
    </row>
    <row r="605">
      <c r="F605" s="2"/>
      <c r="G605" s="2"/>
      <c r="H605" s="2"/>
      <c r="S605" s="2"/>
    </row>
    <row r="606">
      <c r="F606" s="2"/>
      <c r="G606" s="2"/>
      <c r="H606" s="2"/>
      <c r="S606" s="2"/>
    </row>
    <row r="607">
      <c r="F607" s="2"/>
      <c r="G607" s="2"/>
      <c r="H607" s="2"/>
      <c r="S607" s="2"/>
    </row>
    <row r="608">
      <c r="F608" s="2"/>
      <c r="G608" s="2"/>
      <c r="H608" s="2"/>
      <c r="S608" s="2"/>
    </row>
    <row r="609">
      <c r="F609" s="2"/>
      <c r="G609" s="2"/>
      <c r="H609" s="2"/>
      <c r="S609" s="2"/>
    </row>
    <row r="610">
      <c r="F610" s="2"/>
      <c r="G610" s="2"/>
      <c r="H610" s="2"/>
      <c r="S610" s="2"/>
    </row>
    <row r="611">
      <c r="F611" s="2"/>
      <c r="G611" s="2"/>
      <c r="H611" s="2"/>
      <c r="S611" s="2"/>
    </row>
    <row r="612">
      <c r="F612" s="2"/>
      <c r="G612" s="2"/>
      <c r="H612" s="2"/>
      <c r="S612" s="2"/>
    </row>
    <row r="613">
      <c r="F613" s="2"/>
      <c r="G613" s="2"/>
      <c r="H613" s="2"/>
      <c r="S613" s="2"/>
    </row>
    <row r="614">
      <c r="F614" s="2"/>
      <c r="G614" s="2"/>
      <c r="H614" s="2"/>
      <c r="S614" s="2"/>
    </row>
    <row r="615">
      <c r="F615" s="2"/>
      <c r="G615" s="2"/>
      <c r="H615" s="2"/>
      <c r="S615" s="2"/>
    </row>
    <row r="616">
      <c r="F616" s="2"/>
      <c r="G616" s="2"/>
      <c r="H616" s="2"/>
      <c r="S616" s="2"/>
    </row>
    <row r="617">
      <c r="F617" s="2"/>
      <c r="G617" s="2"/>
      <c r="H617" s="2"/>
      <c r="S617" s="2"/>
    </row>
    <row r="618">
      <c r="F618" s="2"/>
      <c r="G618" s="2"/>
      <c r="H618" s="2"/>
      <c r="S618" s="2"/>
    </row>
    <row r="619">
      <c r="F619" s="2"/>
      <c r="G619" s="2"/>
      <c r="H619" s="2"/>
      <c r="S619" s="2"/>
    </row>
    <row r="620">
      <c r="F620" s="2"/>
      <c r="G620" s="2"/>
      <c r="H620" s="2"/>
      <c r="S620" s="2"/>
    </row>
    <row r="621">
      <c r="F621" s="2"/>
      <c r="G621" s="2"/>
      <c r="H621" s="2"/>
      <c r="S621" s="2"/>
    </row>
    <row r="622">
      <c r="F622" s="2"/>
      <c r="G622" s="2"/>
      <c r="H622" s="2"/>
      <c r="S622" s="2"/>
    </row>
    <row r="623">
      <c r="F623" s="2"/>
      <c r="G623" s="2"/>
      <c r="H623" s="2"/>
      <c r="S623" s="2"/>
    </row>
    <row r="624">
      <c r="F624" s="2"/>
      <c r="G624" s="2"/>
      <c r="H624" s="2"/>
      <c r="S624" s="2"/>
    </row>
    <row r="625">
      <c r="F625" s="2"/>
      <c r="G625" s="2"/>
      <c r="H625" s="2"/>
      <c r="S625" s="2"/>
    </row>
    <row r="626">
      <c r="F626" s="2"/>
      <c r="G626" s="2"/>
      <c r="H626" s="2"/>
      <c r="S626" s="2"/>
    </row>
    <row r="627">
      <c r="F627" s="2"/>
      <c r="G627" s="2"/>
      <c r="H627" s="2"/>
      <c r="S627" s="2"/>
    </row>
    <row r="628">
      <c r="F628" s="2"/>
      <c r="G628" s="2"/>
      <c r="H628" s="2"/>
      <c r="S628" s="2"/>
    </row>
    <row r="629">
      <c r="F629" s="2"/>
      <c r="G629" s="2"/>
      <c r="H629" s="2"/>
      <c r="S629" s="2"/>
    </row>
    <row r="630">
      <c r="F630" s="2"/>
      <c r="G630" s="2"/>
      <c r="H630" s="2"/>
      <c r="S630" s="2"/>
    </row>
    <row r="631">
      <c r="F631" s="2"/>
      <c r="G631" s="2"/>
      <c r="H631" s="2"/>
      <c r="S631" s="2"/>
    </row>
    <row r="632">
      <c r="F632" s="2"/>
      <c r="G632" s="2"/>
      <c r="H632" s="2"/>
      <c r="S632" s="2"/>
    </row>
    <row r="633">
      <c r="F633" s="2"/>
      <c r="G633" s="2"/>
      <c r="H633" s="2"/>
      <c r="S633" s="2"/>
    </row>
    <row r="634">
      <c r="F634" s="2"/>
      <c r="G634" s="2"/>
      <c r="H634" s="2"/>
      <c r="S634" s="2"/>
    </row>
    <row r="635">
      <c r="F635" s="2"/>
      <c r="G635" s="2"/>
      <c r="H635" s="2"/>
      <c r="S635" s="2"/>
    </row>
    <row r="636">
      <c r="F636" s="2"/>
      <c r="G636" s="2"/>
      <c r="H636" s="2"/>
      <c r="S636" s="2"/>
    </row>
    <row r="637">
      <c r="F637" s="2"/>
      <c r="G637" s="2"/>
      <c r="H637" s="2"/>
      <c r="S637" s="2"/>
    </row>
    <row r="638">
      <c r="F638" s="2"/>
      <c r="G638" s="2"/>
      <c r="H638" s="2"/>
      <c r="S638" s="2"/>
    </row>
    <row r="639">
      <c r="F639" s="2"/>
      <c r="G639" s="2"/>
      <c r="H639" s="2"/>
      <c r="S639" s="2"/>
    </row>
    <row r="640">
      <c r="F640" s="2"/>
      <c r="G640" s="2"/>
      <c r="H640" s="2"/>
      <c r="S640" s="2"/>
    </row>
    <row r="641">
      <c r="F641" s="2"/>
      <c r="G641" s="2"/>
      <c r="H641" s="2"/>
      <c r="S641" s="2"/>
    </row>
    <row r="642">
      <c r="F642" s="2"/>
      <c r="G642" s="2"/>
      <c r="H642" s="2"/>
      <c r="S642" s="2"/>
    </row>
    <row r="643">
      <c r="F643" s="2"/>
      <c r="G643" s="2"/>
      <c r="H643" s="2"/>
      <c r="S643" s="2"/>
    </row>
    <row r="644">
      <c r="F644" s="2"/>
      <c r="G644" s="2"/>
      <c r="H644" s="2"/>
      <c r="S644" s="2"/>
    </row>
    <row r="645">
      <c r="F645" s="2"/>
      <c r="G645" s="2"/>
      <c r="H645" s="2"/>
      <c r="S645" s="2"/>
    </row>
    <row r="646">
      <c r="F646" s="2"/>
      <c r="G646" s="2"/>
      <c r="H646" s="2"/>
      <c r="S646" s="2"/>
    </row>
    <row r="647">
      <c r="F647" s="2"/>
      <c r="G647" s="2"/>
      <c r="H647" s="2"/>
      <c r="S647" s="2"/>
    </row>
    <row r="648">
      <c r="F648" s="2"/>
      <c r="G648" s="2"/>
      <c r="H648" s="2"/>
      <c r="S648" s="2"/>
    </row>
    <row r="649">
      <c r="F649" s="2"/>
      <c r="G649" s="2"/>
      <c r="H649" s="2"/>
      <c r="S649" s="2"/>
    </row>
    <row r="650">
      <c r="F650" s="2"/>
      <c r="G650" s="2"/>
      <c r="H650" s="2"/>
      <c r="S650" s="2"/>
    </row>
    <row r="651">
      <c r="F651" s="2"/>
      <c r="G651" s="2"/>
      <c r="H651" s="2"/>
      <c r="S651" s="2"/>
    </row>
    <row r="652">
      <c r="F652" s="2"/>
      <c r="G652" s="2"/>
      <c r="H652" s="2"/>
      <c r="S652" s="2"/>
    </row>
    <row r="653">
      <c r="F653" s="2"/>
      <c r="G653" s="2"/>
      <c r="H653" s="2"/>
      <c r="S653" s="2"/>
    </row>
    <row r="654">
      <c r="F654" s="2"/>
      <c r="G654" s="2"/>
      <c r="H654" s="2"/>
      <c r="S654" s="2"/>
    </row>
    <row r="655">
      <c r="F655" s="2"/>
      <c r="G655" s="2"/>
      <c r="H655" s="2"/>
      <c r="S655" s="2"/>
    </row>
    <row r="656">
      <c r="F656" s="2"/>
      <c r="G656" s="2"/>
      <c r="H656" s="2"/>
      <c r="S656" s="2"/>
    </row>
    <row r="657">
      <c r="F657" s="2"/>
      <c r="G657" s="2"/>
      <c r="H657" s="2"/>
      <c r="S657" s="2"/>
    </row>
    <row r="658">
      <c r="F658" s="2"/>
      <c r="G658" s="2"/>
      <c r="H658" s="2"/>
      <c r="S658" s="2"/>
    </row>
    <row r="659">
      <c r="F659" s="2"/>
      <c r="G659" s="2"/>
      <c r="H659" s="2"/>
      <c r="S659" s="2"/>
    </row>
    <row r="660">
      <c r="F660" s="2"/>
      <c r="G660" s="2"/>
      <c r="H660" s="2"/>
      <c r="S660" s="2"/>
    </row>
    <row r="661">
      <c r="F661" s="2"/>
      <c r="G661" s="2"/>
      <c r="H661" s="2"/>
      <c r="S661" s="2"/>
    </row>
    <row r="662">
      <c r="F662" s="2"/>
      <c r="G662" s="2"/>
      <c r="H662" s="2"/>
      <c r="S662" s="2"/>
    </row>
    <row r="663">
      <c r="F663" s="2"/>
      <c r="G663" s="2"/>
      <c r="H663" s="2"/>
      <c r="S663" s="2"/>
    </row>
    <row r="664">
      <c r="F664" s="2"/>
      <c r="G664" s="2"/>
      <c r="H664" s="2"/>
      <c r="S664" s="2"/>
    </row>
    <row r="665">
      <c r="F665" s="2"/>
      <c r="G665" s="2"/>
      <c r="H665" s="2"/>
      <c r="S665" s="2"/>
    </row>
    <row r="666">
      <c r="F666" s="2"/>
      <c r="G666" s="2"/>
      <c r="H666" s="2"/>
      <c r="S666" s="2"/>
    </row>
    <row r="667">
      <c r="F667" s="2"/>
      <c r="G667" s="2"/>
      <c r="H667" s="2"/>
      <c r="S667" s="2"/>
    </row>
    <row r="668">
      <c r="F668" s="2"/>
      <c r="G668" s="2"/>
      <c r="H668" s="2"/>
      <c r="S668" s="2"/>
    </row>
    <row r="669">
      <c r="F669" s="2"/>
      <c r="G669" s="2"/>
      <c r="H669" s="2"/>
      <c r="S669" s="2"/>
    </row>
    <row r="670">
      <c r="F670" s="2"/>
      <c r="G670" s="2"/>
      <c r="H670" s="2"/>
      <c r="S670" s="2"/>
    </row>
    <row r="671">
      <c r="F671" s="2"/>
      <c r="G671" s="2"/>
      <c r="H671" s="2"/>
      <c r="S671" s="2"/>
    </row>
    <row r="672">
      <c r="F672" s="2"/>
      <c r="G672" s="2"/>
      <c r="H672" s="2"/>
      <c r="S672" s="2"/>
    </row>
    <row r="673">
      <c r="F673" s="2"/>
      <c r="G673" s="2"/>
      <c r="H673" s="2"/>
      <c r="S673" s="2"/>
    </row>
    <row r="674">
      <c r="F674" s="2"/>
      <c r="G674" s="2"/>
      <c r="H674" s="2"/>
      <c r="S674" s="2"/>
    </row>
    <row r="675">
      <c r="F675" s="2"/>
      <c r="G675" s="2"/>
      <c r="H675" s="2"/>
      <c r="S675" s="2"/>
    </row>
    <row r="676">
      <c r="F676" s="2"/>
      <c r="G676" s="2"/>
      <c r="H676" s="2"/>
      <c r="S676" s="2"/>
    </row>
    <row r="677">
      <c r="F677" s="2"/>
      <c r="G677" s="2"/>
      <c r="H677" s="2"/>
      <c r="S677" s="2"/>
    </row>
    <row r="678">
      <c r="F678" s="2"/>
      <c r="G678" s="2"/>
      <c r="H678" s="2"/>
      <c r="S678" s="2"/>
    </row>
    <row r="679">
      <c r="F679" s="2"/>
      <c r="G679" s="2"/>
      <c r="H679" s="2"/>
      <c r="S679" s="2"/>
    </row>
    <row r="680">
      <c r="F680" s="2"/>
      <c r="G680" s="2"/>
      <c r="H680" s="2"/>
      <c r="S680" s="2"/>
    </row>
    <row r="681">
      <c r="F681" s="2"/>
      <c r="G681" s="2"/>
      <c r="H681" s="2"/>
      <c r="S681" s="2"/>
    </row>
    <row r="682">
      <c r="F682" s="2"/>
      <c r="G682" s="2"/>
      <c r="H682" s="2"/>
      <c r="S682" s="2"/>
    </row>
    <row r="683">
      <c r="F683" s="2"/>
      <c r="G683" s="2"/>
      <c r="H683" s="2"/>
      <c r="S683" s="2"/>
    </row>
    <row r="684">
      <c r="F684" s="2"/>
      <c r="G684" s="2"/>
      <c r="H684" s="2"/>
      <c r="S684" s="2"/>
    </row>
    <row r="685">
      <c r="F685" s="2"/>
      <c r="G685" s="2"/>
      <c r="H685" s="2"/>
      <c r="S685" s="2"/>
    </row>
    <row r="686">
      <c r="F686" s="2"/>
      <c r="G686" s="2"/>
      <c r="H686" s="2"/>
      <c r="S686" s="2"/>
    </row>
    <row r="687">
      <c r="F687" s="2"/>
      <c r="G687" s="2"/>
      <c r="H687" s="2"/>
      <c r="S687" s="2"/>
    </row>
    <row r="688">
      <c r="F688" s="2"/>
      <c r="G688" s="2"/>
      <c r="H688" s="2"/>
      <c r="S688" s="2"/>
    </row>
    <row r="689">
      <c r="F689" s="2"/>
      <c r="G689" s="2"/>
      <c r="H689" s="2"/>
      <c r="S689" s="2"/>
    </row>
    <row r="690">
      <c r="F690" s="2"/>
      <c r="G690" s="2"/>
      <c r="H690" s="2"/>
      <c r="S690" s="2"/>
    </row>
    <row r="691">
      <c r="F691" s="2"/>
      <c r="G691" s="2"/>
      <c r="H691" s="2"/>
      <c r="S691" s="2"/>
    </row>
    <row r="692">
      <c r="F692" s="2"/>
      <c r="G692" s="2"/>
      <c r="H692" s="2"/>
      <c r="S692" s="2"/>
    </row>
    <row r="693">
      <c r="F693" s="2"/>
      <c r="G693" s="2"/>
      <c r="H693" s="2"/>
      <c r="S693" s="2"/>
    </row>
    <row r="694">
      <c r="F694" s="2"/>
      <c r="G694" s="2"/>
      <c r="H694" s="2"/>
      <c r="S694" s="2"/>
    </row>
    <row r="695">
      <c r="F695" s="2"/>
      <c r="G695" s="2"/>
      <c r="H695" s="2"/>
      <c r="S695" s="2"/>
    </row>
    <row r="696">
      <c r="F696" s="2"/>
      <c r="G696" s="2"/>
      <c r="H696" s="2"/>
      <c r="S696" s="2"/>
    </row>
    <row r="697">
      <c r="F697" s="2"/>
      <c r="G697" s="2"/>
      <c r="H697" s="2"/>
      <c r="S697" s="2"/>
    </row>
    <row r="698">
      <c r="F698" s="2"/>
      <c r="G698" s="2"/>
      <c r="H698" s="2"/>
      <c r="S698" s="2"/>
    </row>
    <row r="699">
      <c r="F699" s="2"/>
      <c r="G699" s="2"/>
      <c r="H699" s="2"/>
      <c r="S699" s="2"/>
    </row>
    <row r="700">
      <c r="F700" s="2"/>
      <c r="G700" s="2"/>
      <c r="H700" s="2"/>
      <c r="S700" s="2"/>
    </row>
    <row r="701">
      <c r="F701" s="2"/>
      <c r="G701" s="2"/>
      <c r="H701" s="2"/>
      <c r="S701" s="2"/>
    </row>
    <row r="702">
      <c r="F702" s="2"/>
      <c r="G702" s="2"/>
      <c r="H702" s="2"/>
      <c r="S702" s="2"/>
    </row>
    <row r="703">
      <c r="F703" s="2"/>
      <c r="G703" s="2"/>
      <c r="H703" s="2"/>
      <c r="S703" s="2"/>
    </row>
    <row r="704">
      <c r="F704" s="2"/>
      <c r="G704" s="2"/>
      <c r="H704" s="2"/>
      <c r="S704" s="2"/>
    </row>
    <row r="705">
      <c r="F705" s="2"/>
      <c r="G705" s="2"/>
      <c r="H705" s="2"/>
      <c r="S705" s="2"/>
    </row>
    <row r="706">
      <c r="F706" s="2"/>
      <c r="G706" s="2"/>
      <c r="H706" s="2"/>
      <c r="S706" s="2"/>
    </row>
    <row r="707">
      <c r="F707" s="2"/>
      <c r="G707" s="2"/>
      <c r="H707" s="2"/>
      <c r="S707" s="2"/>
    </row>
    <row r="708">
      <c r="F708" s="2"/>
      <c r="G708" s="2"/>
      <c r="H708" s="2"/>
      <c r="S708" s="2"/>
    </row>
    <row r="709">
      <c r="F709" s="2"/>
      <c r="G709" s="2"/>
      <c r="H709" s="2"/>
      <c r="S709" s="2"/>
    </row>
    <row r="710">
      <c r="F710" s="2"/>
      <c r="G710" s="2"/>
      <c r="H710" s="2"/>
      <c r="S710" s="2"/>
    </row>
    <row r="711">
      <c r="F711" s="2"/>
      <c r="G711" s="2"/>
      <c r="H711" s="2"/>
      <c r="S711" s="2"/>
    </row>
    <row r="712">
      <c r="F712" s="2"/>
      <c r="G712" s="2"/>
      <c r="H712" s="2"/>
      <c r="S712" s="2"/>
    </row>
    <row r="713">
      <c r="F713" s="2"/>
      <c r="G713" s="2"/>
      <c r="H713" s="2"/>
      <c r="S713" s="2"/>
    </row>
    <row r="714">
      <c r="F714" s="2"/>
      <c r="G714" s="2"/>
      <c r="H714" s="2"/>
      <c r="S714" s="2"/>
    </row>
    <row r="715">
      <c r="F715" s="2"/>
      <c r="G715" s="2"/>
      <c r="H715" s="2"/>
      <c r="S715" s="2"/>
    </row>
    <row r="716">
      <c r="F716" s="2"/>
      <c r="G716" s="2"/>
      <c r="H716" s="2"/>
      <c r="S716" s="2"/>
    </row>
    <row r="717">
      <c r="F717" s="2"/>
      <c r="G717" s="2"/>
      <c r="H717" s="2"/>
      <c r="S717" s="2"/>
    </row>
    <row r="718">
      <c r="F718" s="2"/>
      <c r="G718" s="2"/>
      <c r="H718" s="2"/>
      <c r="S718" s="2"/>
    </row>
    <row r="719">
      <c r="F719" s="2"/>
      <c r="G719" s="2"/>
      <c r="H719" s="2"/>
      <c r="S719" s="2"/>
    </row>
    <row r="720">
      <c r="F720" s="2"/>
      <c r="G720" s="2"/>
      <c r="H720" s="2"/>
      <c r="S720" s="2"/>
    </row>
    <row r="721">
      <c r="F721" s="2"/>
      <c r="G721" s="2"/>
      <c r="H721" s="2"/>
      <c r="S721" s="2"/>
    </row>
    <row r="722">
      <c r="F722" s="2"/>
      <c r="G722" s="2"/>
      <c r="H722" s="2"/>
      <c r="S722" s="2"/>
    </row>
    <row r="723">
      <c r="F723" s="2"/>
      <c r="G723" s="2"/>
      <c r="H723" s="2"/>
      <c r="S723" s="2"/>
    </row>
    <row r="724">
      <c r="F724" s="2"/>
      <c r="G724" s="2"/>
      <c r="H724" s="2"/>
      <c r="S724" s="2"/>
    </row>
    <row r="725">
      <c r="F725" s="2"/>
      <c r="G725" s="2"/>
      <c r="H725" s="2"/>
      <c r="S725" s="2"/>
    </row>
    <row r="726">
      <c r="F726" s="2"/>
      <c r="G726" s="2"/>
      <c r="H726" s="2"/>
      <c r="S726" s="2"/>
    </row>
    <row r="727">
      <c r="F727" s="2"/>
      <c r="G727" s="2"/>
      <c r="H727" s="2"/>
      <c r="S727" s="2"/>
    </row>
    <row r="728">
      <c r="F728" s="2"/>
      <c r="G728" s="2"/>
      <c r="H728" s="2"/>
      <c r="S728" s="2"/>
    </row>
    <row r="729">
      <c r="F729" s="2"/>
      <c r="G729" s="2"/>
      <c r="H729" s="2"/>
      <c r="S729" s="2"/>
    </row>
    <row r="730">
      <c r="F730" s="2"/>
      <c r="G730" s="2"/>
      <c r="H730" s="2"/>
      <c r="S730" s="2"/>
    </row>
    <row r="731">
      <c r="F731" s="2"/>
      <c r="G731" s="2"/>
      <c r="H731" s="2"/>
      <c r="S731" s="2"/>
    </row>
    <row r="732">
      <c r="F732" s="2"/>
      <c r="G732" s="2"/>
      <c r="H732" s="2"/>
      <c r="S732" s="2"/>
    </row>
    <row r="733">
      <c r="F733" s="2"/>
      <c r="G733" s="2"/>
      <c r="H733" s="2"/>
      <c r="S733" s="2"/>
    </row>
    <row r="734">
      <c r="F734" s="2"/>
      <c r="G734" s="2"/>
      <c r="H734" s="2"/>
      <c r="S734" s="2"/>
    </row>
    <row r="735">
      <c r="F735" s="2"/>
      <c r="G735" s="2"/>
      <c r="H735" s="2"/>
      <c r="S735" s="2"/>
    </row>
    <row r="736">
      <c r="F736" s="2"/>
      <c r="G736" s="2"/>
      <c r="H736" s="2"/>
      <c r="S736" s="2"/>
    </row>
    <row r="737">
      <c r="F737" s="2"/>
      <c r="G737" s="2"/>
      <c r="H737" s="2"/>
      <c r="S737" s="2"/>
    </row>
    <row r="738">
      <c r="F738" s="2"/>
      <c r="G738" s="2"/>
      <c r="H738" s="2"/>
      <c r="S738" s="2"/>
    </row>
    <row r="739">
      <c r="F739" s="2"/>
      <c r="G739" s="2"/>
      <c r="H739" s="2"/>
      <c r="S739" s="2"/>
    </row>
    <row r="740">
      <c r="F740" s="2"/>
      <c r="G740" s="2"/>
      <c r="H740" s="2"/>
      <c r="S740" s="2"/>
    </row>
    <row r="741">
      <c r="F741" s="2"/>
      <c r="G741" s="2"/>
      <c r="H741" s="2"/>
      <c r="S741" s="2"/>
    </row>
    <row r="742">
      <c r="F742" s="2"/>
      <c r="G742" s="2"/>
      <c r="H742" s="2"/>
      <c r="S742" s="2"/>
    </row>
    <row r="743">
      <c r="F743" s="2"/>
      <c r="G743" s="2"/>
      <c r="H743" s="2"/>
      <c r="S743" s="2"/>
    </row>
    <row r="744">
      <c r="F744" s="2"/>
      <c r="G744" s="2"/>
      <c r="H744" s="2"/>
      <c r="S744" s="2"/>
    </row>
    <row r="745">
      <c r="F745" s="2"/>
      <c r="G745" s="2"/>
      <c r="H745" s="2"/>
      <c r="S745" s="2"/>
    </row>
    <row r="746">
      <c r="F746" s="2"/>
      <c r="G746" s="2"/>
      <c r="H746" s="2"/>
      <c r="S746" s="2"/>
    </row>
    <row r="747">
      <c r="F747" s="2"/>
      <c r="G747" s="2"/>
      <c r="H747" s="2"/>
      <c r="S747" s="2"/>
    </row>
    <row r="748">
      <c r="F748" s="2"/>
      <c r="G748" s="2"/>
      <c r="H748" s="2"/>
      <c r="S748" s="2"/>
    </row>
    <row r="749">
      <c r="F749" s="2"/>
      <c r="G749" s="2"/>
      <c r="H749" s="2"/>
      <c r="S749" s="2"/>
    </row>
    <row r="750">
      <c r="F750" s="2"/>
      <c r="G750" s="2"/>
      <c r="H750" s="2"/>
      <c r="S750" s="2"/>
    </row>
    <row r="751">
      <c r="F751" s="2"/>
      <c r="G751" s="2"/>
      <c r="H751" s="2"/>
      <c r="S751" s="2"/>
    </row>
    <row r="752">
      <c r="F752" s="2"/>
      <c r="G752" s="2"/>
      <c r="H752" s="2"/>
      <c r="S752" s="2"/>
    </row>
    <row r="753">
      <c r="F753" s="2"/>
      <c r="G753" s="2"/>
      <c r="H753" s="2"/>
      <c r="S753" s="2"/>
    </row>
    <row r="754">
      <c r="F754" s="2"/>
      <c r="G754" s="2"/>
      <c r="H754" s="2"/>
      <c r="S754" s="2"/>
    </row>
    <row r="755">
      <c r="F755" s="2"/>
      <c r="G755" s="2"/>
      <c r="H755" s="2"/>
      <c r="S755" s="2"/>
    </row>
    <row r="756">
      <c r="F756" s="2"/>
      <c r="G756" s="2"/>
      <c r="H756" s="2"/>
      <c r="S756" s="2"/>
    </row>
    <row r="757">
      <c r="F757" s="2"/>
      <c r="G757" s="2"/>
      <c r="H757" s="2"/>
      <c r="S757" s="2"/>
    </row>
    <row r="758">
      <c r="F758" s="2"/>
      <c r="G758" s="2"/>
      <c r="H758" s="2"/>
      <c r="S758" s="2"/>
    </row>
    <row r="759">
      <c r="F759" s="2"/>
      <c r="G759" s="2"/>
      <c r="H759" s="2"/>
      <c r="S759" s="2"/>
    </row>
    <row r="760">
      <c r="F760" s="2"/>
      <c r="G760" s="2"/>
      <c r="H760" s="2"/>
      <c r="S760" s="2"/>
    </row>
    <row r="761">
      <c r="F761" s="2"/>
      <c r="G761" s="2"/>
      <c r="H761" s="2"/>
      <c r="S761" s="2"/>
    </row>
    <row r="762">
      <c r="F762" s="2"/>
      <c r="G762" s="2"/>
      <c r="H762" s="2"/>
      <c r="S762" s="2"/>
    </row>
    <row r="763">
      <c r="F763" s="2"/>
      <c r="G763" s="2"/>
      <c r="H763" s="2"/>
      <c r="S763" s="2"/>
    </row>
    <row r="764">
      <c r="F764" s="2"/>
      <c r="G764" s="2"/>
      <c r="H764" s="2"/>
      <c r="S764" s="2"/>
    </row>
    <row r="765">
      <c r="F765" s="2"/>
      <c r="G765" s="2"/>
      <c r="H765" s="2"/>
      <c r="S765" s="2"/>
    </row>
    <row r="766">
      <c r="F766" s="2"/>
      <c r="G766" s="2"/>
      <c r="H766" s="2"/>
      <c r="S766" s="2"/>
    </row>
    <row r="767">
      <c r="F767" s="2"/>
      <c r="G767" s="2"/>
      <c r="H767" s="2"/>
      <c r="S767" s="2"/>
    </row>
    <row r="768">
      <c r="F768" s="2"/>
      <c r="G768" s="2"/>
      <c r="H768" s="2"/>
      <c r="S768" s="2"/>
    </row>
    <row r="769">
      <c r="F769" s="2"/>
      <c r="G769" s="2"/>
      <c r="H769" s="2"/>
      <c r="S769" s="2"/>
    </row>
    <row r="770">
      <c r="F770" s="2"/>
      <c r="G770" s="2"/>
      <c r="H770" s="2"/>
      <c r="S770" s="2"/>
    </row>
    <row r="771">
      <c r="F771" s="2"/>
      <c r="G771" s="2"/>
      <c r="H771" s="2"/>
      <c r="S771" s="2"/>
    </row>
    <row r="772">
      <c r="F772" s="2"/>
      <c r="G772" s="2"/>
      <c r="H772" s="2"/>
      <c r="S772" s="2"/>
    </row>
    <row r="773">
      <c r="F773" s="2"/>
      <c r="G773" s="2"/>
      <c r="H773" s="2"/>
      <c r="S773" s="2"/>
    </row>
    <row r="774">
      <c r="F774" s="2"/>
      <c r="G774" s="2"/>
      <c r="H774" s="2"/>
      <c r="S774" s="2"/>
    </row>
    <row r="775">
      <c r="F775" s="2"/>
      <c r="G775" s="2"/>
      <c r="H775" s="2"/>
      <c r="S775" s="2"/>
    </row>
    <row r="776">
      <c r="F776" s="2"/>
      <c r="G776" s="2"/>
      <c r="H776" s="2"/>
      <c r="S776" s="2"/>
    </row>
    <row r="777">
      <c r="F777" s="2"/>
      <c r="G777" s="2"/>
      <c r="H777" s="2"/>
      <c r="S777" s="2"/>
    </row>
    <row r="778">
      <c r="F778" s="2"/>
      <c r="G778" s="2"/>
      <c r="H778" s="2"/>
      <c r="S778" s="2"/>
    </row>
    <row r="779">
      <c r="F779" s="2"/>
      <c r="G779" s="2"/>
      <c r="H779" s="2"/>
      <c r="S779" s="2"/>
    </row>
    <row r="780">
      <c r="F780" s="2"/>
      <c r="G780" s="2"/>
      <c r="H780" s="2"/>
      <c r="S780" s="2"/>
    </row>
    <row r="781">
      <c r="F781" s="2"/>
      <c r="G781" s="2"/>
      <c r="H781" s="2"/>
      <c r="S781" s="2"/>
    </row>
    <row r="782">
      <c r="F782" s="2"/>
      <c r="G782" s="2"/>
      <c r="H782" s="2"/>
      <c r="S782" s="2"/>
    </row>
    <row r="783">
      <c r="F783" s="2"/>
      <c r="G783" s="2"/>
      <c r="H783" s="2"/>
      <c r="S783" s="2"/>
    </row>
    <row r="784">
      <c r="F784" s="2"/>
      <c r="G784" s="2"/>
      <c r="H784" s="2"/>
      <c r="S784" s="2"/>
    </row>
    <row r="785">
      <c r="F785" s="2"/>
      <c r="G785" s="2"/>
      <c r="H785" s="2"/>
      <c r="S785" s="2"/>
    </row>
    <row r="786">
      <c r="F786" s="2"/>
      <c r="G786" s="2"/>
      <c r="H786" s="2"/>
      <c r="S786" s="2"/>
    </row>
    <row r="787">
      <c r="F787" s="2"/>
      <c r="G787" s="2"/>
      <c r="H787" s="2"/>
      <c r="S787" s="2"/>
    </row>
    <row r="788">
      <c r="F788" s="2"/>
      <c r="G788" s="2"/>
      <c r="H788" s="2"/>
      <c r="S788" s="2"/>
    </row>
    <row r="789">
      <c r="F789" s="2"/>
      <c r="G789" s="2"/>
      <c r="H789" s="2"/>
      <c r="S789" s="2"/>
    </row>
    <row r="790">
      <c r="F790" s="2"/>
      <c r="G790" s="2"/>
      <c r="H790" s="2"/>
      <c r="S790" s="2"/>
    </row>
    <row r="791">
      <c r="F791" s="2"/>
      <c r="G791" s="2"/>
      <c r="H791" s="2"/>
      <c r="S791" s="2"/>
    </row>
    <row r="792">
      <c r="F792" s="2"/>
      <c r="G792" s="2"/>
      <c r="H792" s="2"/>
      <c r="S792" s="2"/>
    </row>
    <row r="793">
      <c r="F793" s="2"/>
      <c r="G793" s="2"/>
      <c r="H793" s="2"/>
      <c r="S793" s="2"/>
    </row>
    <row r="794">
      <c r="F794" s="2"/>
      <c r="G794" s="2"/>
      <c r="H794" s="2"/>
      <c r="S794" s="2"/>
    </row>
    <row r="795">
      <c r="F795" s="2"/>
      <c r="G795" s="2"/>
      <c r="H795" s="2"/>
      <c r="S795" s="2"/>
    </row>
    <row r="796">
      <c r="F796" s="2"/>
      <c r="G796" s="2"/>
      <c r="H796" s="2"/>
      <c r="S796" s="2"/>
    </row>
    <row r="797">
      <c r="F797" s="2"/>
      <c r="G797" s="2"/>
      <c r="H797" s="2"/>
      <c r="S797" s="2"/>
    </row>
    <row r="798">
      <c r="F798" s="2"/>
      <c r="G798" s="2"/>
      <c r="H798" s="2"/>
      <c r="S798" s="2"/>
    </row>
    <row r="799">
      <c r="F799" s="2"/>
      <c r="G799" s="2"/>
      <c r="H799" s="2"/>
      <c r="S799" s="2"/>
    </row>
    <row r="800">
      <c r="F800" s="2"/>
      <c r="G800" s="2"/>
      <c r="H800" s="2"/>
      <c r="S800" s="2"/>
    </row>
    <row r="801">
      <c r="F801" s="2"/>
      <c r="G801" s="2"/>
      <c r="H801" s="2"/>
      <c r="S801" s="2"/>
    </row>
    <row r="802">
      <c r="F802" s="2"/>
      <c r="G802" s="2"/>
      <c r="H802" s="2"/>
      <c r="S802" s="2"/>
    </row>
    <row r="803">
      <c r="F803" s="2"/>
      <c r="G803" s="2"/>
      <c r="H803" s="2"/>
      <c r="S803" s="2"/>
    </row>
    <row r="804">
      <c r="F804" s="2"/>
      <c r="G804" s="2"/>
      <c r="H804" s="2"/>
      <c r="S804" s="2"/>
    </row>
    <row r="805">
      <c r="F805" s="2"/>
      <c r="G805" s="2"/>
      <c r="H805" s="2"/>
      <c r="S805" s="2"/>
    </row>
    <row r="806">
      <c r="F806" s="2"/>
      <c r="G806" s="2"/>
      <c r="H806" s="2"/>
      <c r="S806" s="2"/>
    </row>
    <row r="807">
      <c r="F807" s="2"/>
      <c r="G807" s="2"/>
      <c r="H807" s="2"/>
      <c r="S807" s="2"/>
    </row>
    <row r="808">
      <c r="F808" s="2"/>
      <c r="G808" s="2"/>
      <c r="H808" s="2"/>
      <c r="S808" s="2"/>
    </row>
    <row r="809">
      <c r="F809" s="2"/>
      <c r="G809" s="2"/>
      <c r="H809" s="2"/>
      <c r="S809" s="2"/>
    </row>
    <row r="810">
      <c r="F810" s="2"/>
      <c r="G810" s="2"/>
      <c r="H810" s="2"/>
      <c r="S810" s="2"/>
    </row>
    <row r="811">
      <c r="F811" s="2"/>
      <c r="G811" s="2"/>
      <c r="H811" s="2"/>
      <c r="S811" s="2"/>
    </row>
    <row r="812">
      <c r="F812" s="2"/>
      <c r="G812" s="2"/>
      <c r="H812" s="2"/>
      <c r="S812" s="2"/>
    </row>
    <row r="813">
      <c r="F813" s="2"/>
      <c r="G813" s="2"/>
      <c r="H813" s="2"/>
      <c r="S813" s="2"/>
    </row>
    <row r="814">
      <c r="F814" s="2"/>
      <c r="G814" s="2"/>
      <c r="H814" s="2"/>
      <c r="S814" s="2"/>
    </row>
    <row r="815">
      <c r="F815" s="2"/>
      <c r="G815" s="2"/>
      <c r="H815" s="2"/>
      <c r="S815" s="2"/>
    </row>
    <row r="816">
      <c r="F816" s="2"/>
      <c r="G816" s="2"/>
      <c r="H816" s="2"/>
      <c r="S816" s="2"/>
    </row>
    <row r="817">
      <c r="F817" s="2"/>
      <c r="G817" s="2"/>
      <c r="H817" s="2"/>
      <c r="S817" s="2"/>
    </row>
    <row r="818">
      <c r="F818" s="2"/>
      <c r="G818" s="2"/>
      <c r="H818" s="2"/>
      <c r="S818" s="2"/>
    </row>
    <row r="819">
      <c r="F819" s="2"/>
      <c r="G819" s="2"/>
      <c r="H819" s="2"/>
      <c r="S819" s="2"/>
    </row>
    <row r="820">
      <c r="F820" s="2"/>
      <c r="G820" s="2"/>
      <c r="H820" s="2"/>
      <c r="S820" s="2"/>
    </row>
    <row r="821">
      <c r="F821" s="2"/>
      <c r="G821" s="2"/>
      <c r="H821" s="2"/>
      <c r="S821" s="2"/>
    </row>
    <row r="822">
      <c r="F822" s="2"/>
      <c r="G822" s="2"/>
      <c r="H822" s="2"/>
      <c r="S822" s="2"/>
    </row>
    <row r="823">
      <c r="F823" s="2"/>
      <c r="G823" s="2"/>
      <c r="H823" s="2"/>
      <c r="S823" s="2"/>
    </row>
    <row r="824">
      <c r="F824" s="2"/>
      <c r="G824" s="2"/>
      <c r="H824" s="2"/>
      <c r="S824" s="2"/>
    </row>
    <row r="825">
      <c r="F825" s="2"/>
      <c r="G825" s="2"/>
      <c r="H825" s="2"/>
      <c r="S825" s="2"/>
    </row>
    <row r="826">
      <c r="F826" s="2"/>
      <c r="G826" s="2"/>
      <c r="H826" s="2"/>
      <c r="S826" s="2"/>
    </row>
    <row r="827">
      <c r="F827" s="2"/>
      <c r="G827" s="2"/>
      <c r="H827" s="2"/>
      <c r="S827" s="2"/>
    </row>
    <row r="828">
      <c r="F828" s="2"/>
      <c r="G828" s="2"/>
      <c r="H828" s="2"/>
      <c r="S828" s="2"/>
    </row>
    <row r="829">
      <c r="F829" s="2"/>
      <c r="G829" s="2"/>
      <c r="H829" s="2"/>
      <c r="S829" s="2"/>
    </row>
    <row r="830">
      <c r="F830" s="2"/>
      <c r="G830" s="2"/>
      <c r="H830" s="2"/>
      <c r="S830" s="2"/>
    </row>
    <row r="831">
      <c r="F831" s="2"/>
      <c r="G831" s="2"/>
      <c r="H831" s="2"/>
      <c r="S831" s="2"/>
    </row>
    <row r="832">
      <c r="F832" s="2"/>
      <c r="G832" s="2"/>
      <c r="H832" s="2"/>
      <c r="S832" s="2"/>
    </row>
    <row r="833">
      <c r="F833" s="2"/>
      <c r="G833" s="2"/>
      <c r="H833" s="2"/>
      <c r="S833" s="2"/>
    </row>
    <row r="834">
      <c r="F834" s="2"/>
      <c r="G834" s="2"/>
      <c r="H834" s="2"/>
      <c r="S834" s="2"/>
    </row>
    <row r="835">
      <c r="F835" s="2"/>
      <c r="G835" s="2"/>
      <c r="H835" s="2"/>
      <c r="S835" s="2"/>
    </row>
    <row r="836">
      <c r="F836" s="2"/>
      <c r="G836" s="2"/>
      <c r="H836" s="2"/>
      <c r="S836" s="2"/>
    </row>
    <row r="837">
      <c r="F837" s="2"/>
      <c r="G837" s="2"/>
      <c r="H837" s="2"/>
      <c r="S837" s="2"/>
    </row>
    <row r="838">
      <c r="F838" s="2"/>
      <c r="G838" s="2"/>
      <c r="H838" s="2"/>
      <c r="S838" s="2"/>
    </row>
    <row r="839">
      <c r="F839" s="2"/>
      <c r="G839" s="2"/>
      <c r="H839" s="2"/>
      <c r="S839" s="2"/>
    </row>
    <row r="840">
      <c r="F840" s="2"/>
      <c r="G840" s="2"/>
      <c r="H840" s="2"/>
      <c r="S840" s="2"/>
    </row>
    <row r="841">
      <c r="F841" s="2"/>
      <c r="G841" s="2"/>
      <c r="H841" s="2"/>
      <c r="S841" s="2"/>
    </row>
    <row r="842">
      <c r="F842" s="2"/>
      <c r="G842" s="2"/>
      <c r="H842" s="2"/>
      <c r="S842" s="2"/>
    </row>
    <row r="843">
      <c r="F843" s="2"/>
      <c r="G843" s="2"/>
      <c r="H843" s="2"/>
      <c r="S843" s="2"/>
    </row>
    <row r="844">
      <c r="F844" s="2"/>
      <c r="G844" s="2"/>
      <c r="H844" s="2"/>
      <c r="S844" s="2"/>
    </row>
    <row r="845">
      <c r="F845" s="2"/>
      <c r="G845" s="2"/>
      <c r="H845" s="2"/>
      <c r="S845" s="2"/>
    </row>
    <row r="846">
      <c r="F846" s="2"/>
      <c r="G846" s="2"/>
      <c r="H846" s="2"/>
      <c r="S846" s="2"/>
    </row>
    <row r="847">
      <c r="F847" s="2"/>
      <c r="G847" s="2"/>
      <c r="H847" s="2"/>
      <c r="S847" s="2"/>
    </row>
    <row r="848">
      <c r="F848" s="2"/>
      <c r="G848" s="2"/>
      <c r="H848" s="2"/>
      <c r="S848" s="2"/>
    </row>
    <row r="849">
      <c r="F849" s="2"/>
      <c r="G849" s="2"/>
      <c r="H849" s="2"/>
      <c r="S849" s="2"/>
    </row>
    <row r="850">
      <c r="F850" s="2"/>
      <c r="G850" s="2"/>
      <c r="H850" s="2"/>
      <c r="S850" s="2"/>
    </row>
    <row r="851">
      <c r="F851" s="2"/>
      <c r="G851" s="2"/>
      <c r="H851" s="2"/>
      <c r="S851" s="2"/>
    </row>
    <row r="852">
      <c r="F852" s="2"/>
      <c r="G852" s="2"/>
      <c r="H852" s="2"/>
      <c r="S852" s="2"/>
    </row>
    <row r="853">
      <c r="F853" s="2"/>
      <c r="G853" s="2"/>
      <c r="H853" s="2"/>
      <c r="S853" s="2"/>
    </row>
    <row r="854">
      <c r="F854" s="2"/>
      <c r="G854" s="2"/>
      <c r="H854" s="2"/>
      <c r="S854" s="2"/>
    </row>
    <row r="855">
      <c r="F855" s="2"/>
      <c r="G855" s="2"/>
      <c r="H855" s="2"/>
      <c r="S855" s="2"/>
    </row>
    <row r="856">
      <c r="F856" s="2"/>
      <c r="G856" s="2"/>
      <c r="H856" s="2"/>
      <c r="S856" s="2"/>
    </row>
    <row r="857">
      <c r="F857" s="2"/>
      <c r="G857" s="2"/>
      <c r="H857" s="2"/>
      <c r="S857" s="2"/>
    </row>
    <row r="858">
      <c r="F858" s="2"/>
      <c r="G858" s="2"/>
      <c r="H858" s="2"/>
      <c r="S858" s="2"/>
    </row>
    <row r="859">
      <c r="F859" s="2"/>
      <c r="G859" s="2"/>
      <c r="H859" s="2"/>
      <c r="S859" s="2"/>
    </row>
    <row r="860">
      <c r="F860" s="2"/>
      <c r="G860" s="2"/>
      <c r="H860" s="2"/>
      <c r="S860" s="2"/>
    </row>
    <row r="861">
      <c r="F861" s="2"/>
      <c r="G861" s="2"/>
      <c r="H861" s="2"/>
      <c r="S861" s="2"/>
    </row>
    <row r="862">
      <c r="F862" s="2"/>
      <c r="G862" s="2"/>
      <c r="H862" s="2"/>
      <c r="S862" s="2"/>
    </row>
    <row r="863">
      <c r="F863" s="2"/>
      <c r="G863" s="2"/>
      <c r="H863" s="2"/>
      <c r="S863" s="2"/>
    </row>
    <row r="864">
      <c r="F864" s="2"/>
      <c r="G864" s="2"/>
      <c r="H864" s="2"/>
      <c r="S864" s="2"/>
    </row>
    <row r="865">
      <c r="F865" s="2"/>
      <c r="G865" s="2"/>
      <c r="H865" s="2"/>
      <c r="S865" s="2"/>
    </row>
    <row r="866">
      <c r="F866" s="2"/>
      <c r="G866" s="2"/>
      <c r="H866" s="2"/>
      <c r="S866" s="2"/>
    </row>
    <row r="867">
      <c r="F867" s="2"/>
      <c r="G867" s="2"/>
      <c r="H867" s="2"/>
      <c r="S867" s="2"/>
    </row>
    <row r="868">
      <c r="F868" s="2"/>
      <c r="G868" s="2"/>
      <c r="H868" s="2"/>
      <c r="S868" s="2"/>
    </row>
    <row r="869">
      <c r="F869" s="2"/>
      <c r="G869" s="2"/>
      <c r="H869" s="2"/>
      <c r="S869" s="2"/>
    </row>
    <row r="870">
      <c r="F870" s="2"/>
      <c r="G870" s="2"/>
      <c r="H870" s="2"/>
      <c r="S870" s="2"/>
    </row>
    <row r="871">
      <c r="F871" s="2"/>
      <c r="G871" s="2"/>
      <c r="H871" s="2"/>
      <c r="S871" s="2"/>
    </row>
    <row r="872">
      <c r="F872" s="2"/>
      <c r="G872" s="2"/>
      <c r="H872" s="2"/>
      <c r="S872" s="2"/>
    </row>
    <row r="873">
      <c r="F873" s="2"/>
      <c r="G873" s="2"/>
      <c r="H873" s="2"/>
      <c r="S873" s="2"/>
    </row>
    <row r="874">
      <c r="F874" s="2"/>
      <c r="G874" s="2"/>
      <c r="H874" s="2"/>
      <c r="S874" s="2"/>
    </row>
    <row r="875">
      <c r="F875" s="2"/>
      <c r="G875" s="2"/>
      <c r="H875" s="2"/>
      <c r="S875" s="2"/>
    </row>
    <row r="876">
      <c r="F876" s="2"/>
      <c r="G876" s="2"/>
      <c r="H876" s="2"/>
      <c r="S876" s="2"/>
    </row>
    <row r="877">
      <c r="F877" s="2"/>
      <c r="G877" s="2"/>
      <c r="H877" s="2"/>
      <c r="S877" s="2"/>
    </row>
    <row r="878">
      <c r="F878" s="2"/>
      <c r="G878" s="2"/>
      <c r="H878" s="2"/>
      <c r="S878" s="2"/>
    </row>
    <row r="879">
      <c r="F879" s="2"/>
      <c r="G879" s="2"/>
      <c r="H879" s="2"/>
      <c r="S879" s="2"/>
    </row>
    <row r="880">
      <c r="F880" s="2"/>
      <c r="G880" s="2"/>
      <c r="H880" s="2"/>
      <c r="S880" s="2"/>
    </row>
    <row r="881">
      <c r="F881" s="2"/>
      <c r="G881" s="2"/>
      <c r="H881" s="2"/>
      <c r="S881" s="2"/>
    </row>
    <row r="882">
      <c r="F882" s="2"/>
      <c r="G882" s="2"/>
      <c r="H882" s="2"/>
      <c r="S882" s="2"/>
    </row>
    <row r="883">
      <c r="F883" s="2"/>
      <c r="G883" s="2"/>
      <c r="H883" s="2"/>
      <c r="S883" s="2"/>
    </row>
    <row r="884">
      <c r="F884" s="2"/>
      <c r="G884" s="2"/>
      <c r="H884" s="2"/>
      <c r="S884" s="2"/>
    </row>
    <row r="885">
      <c r="F885" s="2"/>
      <c r="G885" s="2"/>
      <c r="H885" s="2"/>
      <c r="S885" s="2"/>
    </row>
    <row r="886">
      <c r="F886" s="2"/>
      <c r="G886" s="2"/>
      <c r="H886" s="2"/>
      <c r="S886" s="2"/>
    </row>
    <row r="887">
      <c r="F887" s="2"/>
      <c r="G887" s="2"/>
      <c r="H887" s="2"/>
      <c r="S887" s="2"/>
    </row>
    <row r="888">
      <c r="F888" s="2"/>
      <c r="G888" s="2"/>
      <c r="H888" s="2"/>
      <c r="S888" s="2"/>
    </row>
    <row r="889">
      <c r="F889" s="2"/>
      <c r="G889" s="2"/>
      <c r="H889" s="2"/>
      <c r="S889" s="2"/>
    </row>
    <row r="890">
      <c r="F890" s="2"/>
      <c r="G890" s="2"/>
      <c r="H890" s="2"/>
      <c r="S890" s="2"/>
    </row>
    <row r="891">
      <c r="F891" s="2"/>
      <c r="G891" s="2"/>
      <c r="H891" s="2"/>
      <c r="S891" s="2"/>
    </row>
    <row r="892">
      <c r="F892" s="2"/>
      <c r="G892" s="2"/>
      <c r="H892" s="2"/>
      <c r="S892" s="2"/>
    </row>
    <row r="893">
      <c r="F893" s="2"/>
      <c r="G893" s="2"/>
      <c r="H893" s="2"/>
      <c r="S893" s="2"/>
    </row>
    <row r="894">
      <c r="F894" s="2"/>
      <c r="G894" s="2"/>
      <c r="H894" s="2"/>
      <c r="S894" s="2"/>
    </row>
    <row r="895">
      <c r="F895" s="2"/>
      <c r="G895" s="2"/>
      <c r="H895" s="2"/>
      <c r="S895" s="2"/>
    </row>
    <row r="896">
      <c r="F896" s="2"/>
      <c r="G896" s="2"/>
      <c r="H896" s="2"/>
      <c r="S896" s="2"/>
    </row>
    <row r="897">
      <c r="F897" s="2"/>
      <c r="G897" s="2"/>
      <c r="H897" s="2"/>
      <c r="S897" s="2"/>
    </row>
    <row r="898">
      <c r="F898" s="2"/>
      <c r="G898" s="2"/>
      <c r="H898" s="2"/>
      <c r="S898" s="2"/>
    </row>
    <row r="899">
      <c r="F899" s="2"/>
      <c r="G899" s="2"/>
      <c r="H899" s="2"/>
      <c r="S899" s="2"/>
    </row>
    <row r="900">
      <c r="F900" s="2"/>
      <c r="G900" s="2"/>
      <c r="H900" s="2"/>
      <c r="S900" s="2"/>
    </row>
    <row r="901">
      <c r="F901" s="2"/>
      <c r="G901" s="2"/>
      <c r="H901" s="2"/>
      <c r="S901" s="2"/>
    </row>
    <row r="902">
      <c r="F902" s="2"/>
      <c r="G902" s="2"/>
      <c r="H902" s="2"/>
      <c r="S902" s="2"/>
    </row>
    <row r="903">
      <c r="F903" s="2"/>
      <c r="G903" s="2"/>
      <c r="H903" s="2"/>
      <c r="S903" s="2"/>
    </row>
    <row r="904">
      <c r="F904" s="2"/>
      <c r="G904" s="2"/>
      <c r="H904" s="2"/>
      <c r="S904" s="2"/>
    </row>
    <row r="905">
      <c r="F905" s="2"/>
      <c r="G905" s="2"/>
      <c r="H905" s="2"/>
      <c r="S905" s="2"/>
    </row>
    <row r="906">
      <c r="F906" s="2"/>
      <c r="G906" s="2"/>
      <c r="H906" s="2"/>
      <c r="S906" s="2"/>
    </row>
    <row r="907">
      <c r="F907" s="2"/>
      <c r="G907" s="2"/>
      <c r="H907" s="2"/>
      <c r="S907" s="2"/>
    </row>
    <row r="908">
      <c r="F908" s="2"/>
      <c r="G908" s="2"/>
      <c r="H908" s="2"/>
      <c r="S908" s="2"/>
    </row>
    <row r="909">
      <c r="F909" s="2"/>
      <c r="G909" s="2"/>
      <c r="H909" s="2"/>
      <c r="S909" s="2"/>
    </row>
    <row r="910">
      <c r="F910" s="2"/>
      <c r="G910" s="2"/>
      <c r="H910" s="2"/>
      <c r="S910" s="2"/>
    </row>
    <row r="911">
      <c r="F911" s="2"/>
      <c r="G911" s="2"/>
      <c r="H911" s="2"/>
      <c r="S911" s="2"/>
    </row>
    <row r="912">
      <c r="F912" s="2"/>
      <c r="G912" s="2"/>
      <c r="H912" s="2"/>
      <c r="S912" s="2"/>
    </row>
    <row r="913">
      <c r="F913" s="2"/>
      <c r="G913" s="2"/>
      <c r="H913" s="2"/>
      <c r="S913" s="2"/>
    </row>
    <row r="914">
      <c r="F914" s="2"/>
      <c r="G914" s="2"/>
      <c r="H914" s="2"/>
      <c r="S914" s="2"/>
    </row>
    <row r="915">
      <c r="F915" s="2"/>
      <c r="G915" s="2"/>
      <c r="H915" s="2"/>
      <c r="S915" s="2"/>
    </row>
    <row r="916">
      <c r="F916" s="2"/>
      <c r="G916" s="2"/>
      <c r="H916" s="2"/>
      <c r="S916" s="2"/>
    </row>
    <row r="917">
      <c r="F917" s="2"/>
      <c r="G917" s="2"/>
      <c r="H917" s="2"/>
      <c r="S917" s="2"/>
    </row>
    <row r="918">
      <c r="F918" s="2"/>
      <c r="G918" s="2"/>
      <c r="H918" s="2"/>
      <c r="S918" s="2"/>
    </row>
    <row r="919">
      <c r="F919" s="2"/>
      <c r="G919" s="2"/>
      <c r="H919" s="2"/>
      <c r="S919" s="2"/>
    </row>
    <row r="920">
      <c r="F920" s="2"/>
      <c r="G920" s="2"/>
      <c r="H920" s="2"/>
      <c r="S920" s="2"/>
    </row>
    <row r="921">
      <c r="F921" s="2"/>
      <c r="G921" s="2"/>
      <c r="H921" s="2"/>
      <c r="S921" s="2"/>
    </row>
    <row r="922">
      <c r="F922" s="2"/>
      <c r="G922" s="2"/>
      <c r="H922" s="2"/>
      <c r="S922" s="2"/>
    </row>
    <row r="923">
      <c r="F923" s="2"/>
      <c r="G923" s="2"/>
      <c r="H923" s="2"/>
      <c r="S923" s="2"/>
    </row>
    <row r="924">
      <c r="F924" s="2"/>
      <c r="G924" s="2"/>
      <c r="H924" s="2"/>
      <c r="S924" s="2"/>
    </row>
    <row r="925">
      <c r="F925" s="2"/>
      <c r="G925" s="2"/>
      <c r="H925" s="2"/>
      <c r="S925" s="2"/>
    </row>
    <row r="926">
      <c r="F926" s="2"/>
      <c r="G926" s="2"/>
      <c r="H926" s="2"/>
      <c r="S926" s="2"/>
    </row>
    <row r="927">
      <c r="F927" s="2"/>
      <c r="G927" s="2"/>
      <c r="H927" s="2"/>
      <c r="S927" s="2"/>
    </row>
    <row r="928">
      <c r="F928" s="2"/>
      <c r="G928" s="2"/>
      <c r="H928" s="2"/>
      <c r="S928" s="2"/>
    </row>
    <row r="929">
      <c r="F929" s="2"/>
      <c r="G929" s="2"/>
      <c r="H929" s="2"/>
      <c r="S929" s="2"/>
    </row>
    <row r="930">
      <c r="F930" s="2"/>
      <c r="G930" s="2"/>
      <c r="H930" s="2"/>
      <c r="S930" s="2"/>
    </row>
    <row r="931">
      <c r="F931" s="2"/>
      <c r="G931" s="2"/>
      <c r="H931" s="2"/>
      <c r="S931" s="2"/>
    </row>
    <row r="932">
      <c r="F932" s="2"/>
      <c r="G932" s="2"/>
      <c r="H932" s="2"/>
      <c r="S932" s="2"/>
    </row>
    <row r="933">
      <c r="F933" s="2"/>
      <c r="G933" s="2"/>
      <c r="H933" s="2"/>
      <c r="S933" s="2"/>
    </row>
    <row r="934">
      <c r="F934" s="2"/>
      <c r="G934" s="2"/>
      <c r="H934" s="2"/>
      <c r="S934" s="2"/>
    </row>
    <row r="935">
      <c r="F935" s="2"/>
      <c r="G935" s="2"/>
      <c r="H935" s="2"/>
      <c r="S935" s="2"/>
    </row>
    <row r="936">
      <c r="F936" s="2"/>
      <c r="G936" s="2"/>
      <c r="H936" s="2"/>
      <c r="S936" s="2"/>
    </row>
    <row r="937">
      <c r="F937" s="2"/>
      <c r="G937" s="2"/>
      <c r="H937" s="2"/>
      <c r="S937" s="2"/>
    </row>
    <row r="938">
      <c r="F938" s="2"/>
      <c r="G938" s="2"/>
      <c r="H938" s="2"/>
      <c r="S938" s="2"/>
    </row>
    <row r="939">
      <c r="F939" s="2"/>
      <c r="G939" s="2"/>
      <c r="H939" s="2"/>
      <c r="S939" s="2"/>
    </row>
    <row r="940">
      <c r="F940" s="2"/>
      <c r="G940" s="2"/>
      <c r="H940" s="2"/>
      <c r="S940" s="2"/>
    </row>
    <row r="941">
      <c r="F941" s="2"/>
      <c r="G941" s="2"/>
      <c r="H941" s="2"/>
      <c r="S941" s="2"/>
    </row>
    <row r="942">
      <c r="F942" s="2"/>
      <c r="G942" s="2"/>
      <c r="H942" s="2"/>
      <c r="S942" s="2"/>
    </row>
    <row r="943">
      <c r="F943" s="2"/>
      <c r="G943" s="2"/>
      <c r="H943" s="2"/>
      <c r="S943" s="2"/>
    </row>
    <row r="944">
      <c r="F944" s="2"/>
      <c r="G944" s="2"/>
      <c r="H944" s="2"/>
      <c r="S944" s="2"/>
    </row>
    <row r="945">
      <c r="F945" s="2"/>
      <c r="G945" s="2"/>
      <c r="H945" s="2"/>
      <c r="S945" s="2"/>
    </row>
    <row r="946">
      <c r="F946" s="2"/>
      <c r="G946" s="2"/>
      <c r="H946" s="2"/>
      <c r="S946" s="2"/>
    </row>
    <row r="947">
      <c r="F947" s="2"/>
      <c r="G947" s="2"/>
      <c r="H947" s="2"/>
      <c r="S947" s="2"/>
    </row>
    <row r="948">
      <c r="F948" s="2"/>
      <c r="G948" s="2"/>
      <c r="H948" s="2"/>
      <c r="S948" s="2"/>
    </row>
    <row r="949">
      <c r="F949" s="2"/>
      <c r="G949" s="2"/>
      <c r="H949" s="2"/>
      <c r="S949" s="2"/>
    </row>
    <row r="950">
      <c r="F950" s="2"/>
      <c r="G950" s="2"/>
      <c r="H950" s="2"/>
      <c r="S950" s="2"/>
    </row>
    <row r="951">
      <c r="F951" s="2"/>
      <c r="G951" s="2"/>
      <c r="H951" s="2"/>
      <c r="S951" s="2"/>
    </row>
    <row r="952">
      <c r="F952" s="2"/>
      <c r="G952" s="2"/>
      <c r="H952" s="2"/>
      <c r="S952" s="2"/>
    </row>
    <row r="953">
      <c r="F953" s="2"/>
      <c r="G953" s="2"/>
      <c r="H953" s="2"/>
      <c r="S953" s="2"/>
    </row>
    <row r="954">
      <c r="F954" s="2"/>
      <c r="G954" s="2"/>
      <c r="H954" s="2"/>
      <c r="S954" s="2"/>
    </row>
    <row r="955">
      <c r="F955" s="2"/>
      <c r="G955" s="2"/>
      <c r="H955" s="2"/>
      <c r="S955" s="2"/>
    </row>
    <row r="956">
      <c r="F956" s="2"/>
      <c r="G956" s="2"/>
      <c r="H956" s="2"/>
      <c r="S956" s="2"/>
    </row>
    <row r="957">
      <c r="F957" s="2"/>
      <c r="G957" s="2"/>
      <c r="H957" s="2"/>
      <c r="S957" s="2"/>
    </row>
    <row r="958">
      <c r="F958" s="2"/>
      <c r="G958" s="2"/>
      <c r="H958" s="2"/>
      <c r="S958" s="2"/>
    </row>
    <row r="959">
      <c r="F959" s="2"/>
      <c r="G959" s="2"/>
      <c r="H959" s="2"/>
      <c r="S959" s="2"/>
    </row>
    <row r="960">
      <c r="F960" s="2"/>
      <c r="G960" s="2"/>
      <c r="H960" s="2"/>
      <c r="S960" s="2"/>
    </row>
    <row r="961">
      <c r="F961" s="2"/>
      <c r="G961" s="2"/>
      <c r="H961" s="2"/>
      <c r="S961" s="2"/>
    </row>
    <row r="962">
      <c r="F962" s="2"/>
      <c r="G962" s="2"/>
      <c r="H962" s="2"/>
      <c r="S962" s="2"/>
    </row>
    <row r="963">
      <c r="F963" s="2"/>
      <c r="G963" s="2"/>
      <c r="H963" s="2"/>
      <c r="S963" s="2"/>
    </row>
    <row r="964">
      <c r="F964" s="2"/>
      <c r="G964" s="2"/>
      <c r="H964" s="2"/>
      <c r="S964" s="2"/>
    </row>
    <row r="965">
      <c r="F965" s="2"/>
      <c r="G965" s="2"/>
      <c r="H965" s="2"/>
      <c r="S965" s="2"/>
    </row>
    <row r="966">
      <c r="F966" s="2"/>
      <c r="G966" s="2"/>
      <c r="H966" s="2"/>
      <c r="S966" s="2"/>
    </row>
    <row r="967">
      <c r="F967" s="2"/>
      <c r="G967" s="2"/>
      <c r="H967" s="2"/>
      <c r="S967" s="2"/>
    </row>
    <row r="968">
      <c r="F968" s="2"/>
      <c r="G968" s="2"/>
      <c r="H968" s="2"/>
      <c r="S968" s="2"/>
    </row>
    <row r="969">
      <c r="F969" s="2"/>
      <c r="G969" s="2"/>
      <c r="H969" s="2"/>
      <c r="S969" s="2"/>
    </row>
    <row r="970">
      <c r="F970" s="2"/>
      <c r="G970" s="2"/>
      <c r="H970" s="2"/>
      <c r="S970" s="2"/>
    </row>
    <row r="971">
      <c r="F971" s="2"/>
      <c r="G971" s="2"/>
      <c r="H971" s="2"/>
      <c r="S971" s="2"/>
    </row>
    <row r="972">
      <c r="F972" s="2"/>
      <c r="G972" s="2"/>
      <c r="H972" s="2"/>
      <c r="S972" s="2"/>
    </row>
    <row r="973">
      <c r="F973" s="2"/>
      <c r="G973" s="2"/>
      <c r="H973" s="2"/>
      <c r="S973" s="2"/>
    </row>
    <row r="974">
      <c r="F974" s="2"/>
      <c r="G974" s="2"/>
      <c r="H974" s="2"/>
      <c r="S974" s="2"/>
    </row>
    <row r="975">
      <c r="F975" s="2"/>
      <c r="G975" s="2"/>
      <c r="H975" s="2"/>
      <c r="S975" s="2"/>
    </row>
    <row r="976">
      <c r="F976" s="2"/>
      <c r="G976" s="2"/>
      <c r="H976" s="2"/>
      <c r="S976" s="2"/>
    </row>
    <row r="977">
      <c r="F977" s="2"/>
      <c r="G977" s="2"/>
      <c r="H977" s="2"/>
      <c r="S977" s="2"/>
    </row>
    <row r="978">
      <c r="F978" s="2"/>
      <c r="G978" s="2"/>
      <c r="H978" s="2"/>
      <c r="S978" s="2"/>
    </row>
    <row r="979">
      <c r="F979" s="2"/>
      <c r="G979" s="2"/>
      <c r="H979" s="2"/>
      <c r="S979" s="2"/>
    </row>
    <row r="980">
      <c r="F980" s="2"/>
      <c r="G980" s="2"/>
      <c r="H980" s="2"/>
      <c r="S980" s="2"/>
    </row>
    <row r="981">
      <c r="F981" s="2"/>
      <c r="G981" s="2"/>
      <c r="H981" s="2"/>
      <c r="S981" s="2"/>
    </row>
    <row r="982">
      <c r="F982" s="2"/>
      <c r="G982" s="2"/>
      <c r="H982" s="2"/>
      <c r="S982" s="2"/>
    </row>
    <row r="983">
      <c r="F983" s="2"/>
      <c r="G983" s="2"/>
      <c r="H983" s="2"/>
      <c r="S983" s="2"/>
    </row>
    <row r="984">
      <c r="F984" s="2"/>
      <c r="G984" s="2"/>
      <c r="H984" s="2"/>
      <c r="S984" s="2"/>
    </row>
    <row r="985">
      <c r="F985" s="2"/>
      <c r="G985" s="2"/>
      <c r="H985" s="2"/>
      <c r="S985" s="2"/>
    </row>
    <row r="986">
      <c r="F986" s="2"/>
      <c r="G986" s="2"/>
      <c r="H986" s="2"/>
      <c r="S986" s="2"/>
    </row>
    <row r="987">
      <c r="F987" s="2"/>
      <c r="G987" s="2"/>
      <c r="H987" s="2"/>
      <c r="S987" s="2"/>
    </row>
    <row r="988">
      <c r="F988" s="2"/>
      <c r="G988" s="2"/>
      <c r="H988" s="2"/>
      <c r="S988" s="2"/>
    </row>
    <row r="989">
      <c r="F989" s="2"/>
      <c r="G989" s="2"/>
      <c r="H989" s="2"/>
      <c r="S989" s="2"/>
    </row>
    <row r="990">
      <c r="F990" s="2"/>
      <c r="G990" s="2"/>
      <c r="H990" s="2"/>
      <c r="S990" s="2"/>
    </row>
    <row r="991">
      <c r="F991" s="2"/>
      <c r="G991" s="2"/>
      <c r="H991" s="2"/>
      <c r="S991" s="2"/>
    </row>
    <row r="992">
      <c r="F992" s="2"/>
      <c r="G992" s="2"/>
      <c r="H992" s="2"/>
      <c r="S992" s="2"/>
    </row>
    <row r="993">
      <c r="F993" s="2"/>
      <c r="G993" s="2"/>
      <c r="H993" s="2"/>
      <c r="S993" s="2"/>
    </row>
    <row r="994">
      <c r="F994" s="2"/>
      <c r="G994" s="2"/>
      <c r="H994" s="2"/>
      <c r="S994" s="2"/>
    </row>
    <row r="995">
      <c r="F995" s="2"/>
      <c r="G995" s="2"/>
      <c r="H995" s="2"/>
      <c r="S995" s="2"/>
    </row>
    <row r="996">
      <c r="F996" s="2"/>
      <c r="G996" s="2"/>
      <c r="H996" s="2"/>
      <c r="S996" s="2"/>
    </row>
    <row r="997">
      <c r="F997" s="2"/>
      <c r="G997" s="2"/>
      <c r="H997" s="2"/>
      <c r="S997" s="2"/>
    </row>
    <row r="998">
      <c r="F998" s="2"/>
      <c r="G998" s="2"/>
      <c r="H998" s="2"/>
      <c r="S998" s="2"/>
    </row>
    <row r="999">
      <c r="F999" s="2"/>
      <c r="G999" s="2"/>
      <c r="H999" s="2"/>
      <c r="S999" s="2"/>
    </row>
    <row r="1000">
      <c r="F1000" s="2"/>
      <c r="G1000" s="2"/>
      <c r="H1000" s="2"/>
      <c r="S1000" s="2"/>
    </row>
    <row r="1001">
      <c r="F1001" s="2"/>
      <c r="G1001" s="2"/>
      <c r="H1001" s="2"/>
      <c r="S1001" s="2"/>
    </row>
    <row r="1002">
      <c r="F1002" s="2"/>
      <c r="G1002" s="2"/>
      <c r="H1002" s="2"/>
      <c r="S1002" s="2"/>
    </row>
    <row r="1003">
      <c r="F1003" s="2"/>
      <c r="G1003" s="2"/>
      <c r="H1003" s="2"/>
      <c r="S1003" s="2"/>
    </row>
    <row r="1004">
      <c r="F1004" s="2"/>
      <c r="G1004" s="2"/>
      <c r="H1004" s="2"/>
      <c r="S1004" s="2"/>
    </row>
    <row r="1005">
      <c r="F1005" s="2"/>
      <c r="G1005" s="2"/>
      <c r="H1005" s="2"/>
      <c r="S1005" s="2"/>
    </row>
    <row r="1006">
      <c r="F1006" s="2"/>
      <c r="G1006" s="2"/>
      <c r="H1006" s="2"/>
      <c r="S1006" s="2"/>
    </row>
    <row r="1007">
      <c r="F1007" s="2"/>
      <c r="G1007" s="2"/>
      <c r="H1007" s="2"/>
      <c r="S1007" s="2"/>
    </row>
    <row r="1008">
      <c r="F1008" s="2"/>
      <c r="G1008" s="2"/>
      <c r="H1008" s="2"/>
      <c r="S1008" s="2"/>
    </row>
    <row r="1009">
      <c r="F1009" s="2"/>
      <c r="G1009" s="2"/>
      <c r="H1009" s="2"/>
      <c r="S1009" s="2"/>
    </row>
    <row r="1010">
      <c r="F1010" s="2"/>
      <c r="G1010" s="2"/>
      <c r="H1010" s="2"/>
      <c r="S1010" s="2"/>
    </row>
    <row r="1011">
      <c r="F1011" s="2"/>
      <c r="G1011" s="2"/>
      <c r="H1011" s="2"/>
      <c r="S1011" s="2"/>
    </row>
    <row r="1012">
      <c r="F1012" s="2"/>
      <c r="G1012" s="2"/>
      <c r="H1012" s="2"/>
      <c r="S1012" s="2"/>
    </row>
    <row r="1013">
      <c r="F1013" s="2"/>
      <c r="G1013" s="2"/>
      <c r="H1013" s="2"/>
      <c r="S1013" s="2"/>
    </row>
    <row r="1014">
      <c r="F1014" s="2"/>
      <c r="G1014" s="2"/>
      <c r="H1014" s="2"/>
      <c r="S1014" s="2"/>
    </row>
    <row r="1015">
      <c r="F1015" s="2"/>
      <c r="G1015" s="2"/>
      <c r="H1015" s="2"/>
      <c r="S1015" s="2"/>
    </row>
    <row r="1016">
      <c r="F1016" s="2"/>
      <c r="G1016" s="2"/>
      <c r="H1016" s="2"/>
      <c r="S1016" s="2"/>
    </row>
    <row r="1017">
      <c r="F1017" s="2"/>
      <c r="G1017" s="2"/>
      <c r="H1017" s="2"/>
      <c r="S1017" s="2"/>
    </row>
    <row r="1018">
      <c r="F1018" s="2"/>
      <c r="G1018" s="2"/>
      <c r="H1018" s="2"/>
      <c r="S1018" s="2"/>
    </row>
    <row r="1019">
      <c r="F1019" s="2"/>
      <c r="G1019" s="2"/>
      <c r="H1019" s="2"/>
      <c r="S1019" s="2"/>
    </row>
    <row r="1020">
      <c r="F1020" s="2"/>
      <c r="G1020" s="2"/>
      <c r="H1020" s="2"/>
      <c r="S1020" s="2"/>
    </row>
    <row r="1021">
      <c r="F1021" s="2"/>
      <c r="G1021" s="2"/>
      <c r="H1021" s="2"/>
      <c r="S1021" s="2"/>
    </row>
    <row r="1022">
      <c r="F1022" s="2"/>
      <c r="G1022" s="2"/>
      <c r="H1022" s="2"/>
      <c r="S1022" s="2"/>
    </row>
    <row r="1023">
      <c r="F1023" s="2"/>
      <c r="G1023" s="2"/>
      <c r="H1023" s="2"/>
      <c r="S1023" s="2"/>
    </row>
    <row r="1024">
      <c r="F1024" s="2"/>
      <c r="G1024" s="2"/>
      <c r="H1024" s="2"/>
      <c r="S1024" s="2"/>
    </row>
    <row r="1025">
      <c r="F1025" s="2"/>
      <c r="G1025" s="2"/>
      <c r="H1025" s="2"/>
      <c r="S1025" s="2"/>
    </row>
    <row r="1026">
      <c r="F1026" s="2"/>
      <c r="G1026" s="2"/>
      <c r="H1026" s="2"/>
      <c r="S1026" s="2"/>
    </row>
    <row r="1027">
      <c r="F1027" s="2"/>
      <c r="G1027" s="2"/>
      <c r="H1027" s="2"/>
      <c r="S1027" s="2"/>
    </row>
    <row r="1028">
      <c r="F1028" s="2"/>
      <c r="G1028" s="2"/>
      <c r="H1028" s="2"/>
      <c r="S1028" s="2"/>
    </row>
    <row r="1029">
      <c r="F1029" s="2"/>
      <c r="G1029" s="2"/>
      <c r="H1029" s="2"/>
      <c r="S1029" s="2"/>
    </row>
    <row r="1030">
      <c r="F1030" s="2"/>
      <c r="G1030" s="2"/>
      <c r="H1030" s="2"/>
      <c r="S1030" s="2"/>
    </row>
    <row r="1031">
      <c r="F1031" s="2"/>
      <c r="G1031" s="2"/>
      <c r="H1031" s="2"/>
      <c r="S1031" s="2"/>
    </row>
    <row r="1032">
      <c r="F1032" s="2"/>
      <c r="G1032" s="2"/>
      <c r="H1032" s="2"/>
      <c r="S1032" s="2"/>
    </row>
    <row r="1033">
      <c r="F1033" s="2"/>
      <c r="G1033" s="2"/>
      <c r="H1033" s="2"/>
      <c r="S1033" s="2"/>
    </row>
    <row r="1034">
      <c r="F1034" s="2"/>
      <c r="G1034" s="2"/>
      <c r="H1034" s="2"/>
      <c r="S1034" s="2"/>
    </row>
    <row r="1035">
      <c r="F1035" s="2"/>
      <c r="G1035" s="2"/>
      <c r="H1035" s="2"/>
      <c r="S1035" s="2"/>
    </row>
  </sheetData>
  <mergeCells count="8">
    <mergeCell ref="O58:P58"/>
    <mergeCell ref="Q58:R58"/>
    <mergeCell ref="O59:P59"/>
    <mergeCell ref="Q59:R59"/>
    <mergeCell ref="O60:P60"/>
    <mergeCell ref="Q60:R60"/>
    <mergeCell ref="P61:Q61"/>
    <mergeCell ref="P62:Q62"/>
  </mergeCells>
  <conditionalFormatting sqref="M2:M53">
    <cfRule type="colorScale" priority="1">
      <colorScale>
        <cfvo type="percent" val="-100"/>
        <cfvo type="formula" val="0"/>
        <cfvo type="percent" val="100"/>
        <color rgb="FFFF0000"/>
        <color rgb="FFFFFFFF"/>
        <color rgb="FF6AA84F"/>
      </colorScale>
    </cfRule>
  </conditionalFormatting>
  <conditionalFormatting sqref="F2:F50">
    <cfRule type="cellIs" dxfId="0" priority="2" operator="between">
      <formula>200</formula>
      <formula>1000</formula>
    </cfRule>
  </conditionalFormatting>
  <conditionalFormatting sqref="F2:F50">
    <cfRule type="cellIs" dxfId="1" priority="3" operator="between">
      <formula>10</formula>
      <formula>200</formula>
    </cfRule>
  </conditionalFormatting>
  <conditionalFormatting sqref="F2:F50">
    <cfRule type="cellIs" dxfId="2" priority="4" operator="between">
      <formula>2</formula>
      <formula>10</formula>
    </cfRule>
  </conditionalFormatting>
  <conditionalFormatting sqref="F2:F50">
    <cfRule type="cellIs" dxfId="3" priority="5" operator="between">
      <formula>0.3</formula>
      <formula>2</formula>
    </cfRule>
  </conditionalFormatting>
  <conditionalFormatting sqref="P62:Q62">
    <cfRule type="cellIs" dxfId="4" priority="6" operator="greaterThan">
      <formula>0</formula>
    </cfRule>
  </conditionalFormatting>
  <conditionalFormatting sqref="P62:Q62">
    <cfRule type="cellIs" dxfId="5" priority="7" operator="lessThan">
      <formula>0</formula>
    </cfRule>
  </conditionalFormatting>
  <conditionalFormatting sqref="F2:F50">
    <cfRule type="cellIs" dxfId="6" priority="8" operator="greaterThan">
      <formula>1000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5" max="5" width="20.63"/>
    <col customWidth="1" min="6" max="6" width="33.0"/>
  </cols>
  <sheetData>
    <row r="1">
      <c r="A1" s="27" t="s">
        <v>75</v>
      </c>
      <c r="B1" s="27" t="s">
        <v>76</v>
      </c>
      <c r="C1" s="3" t="s">
        <v>227</v>
      </c>
      <c r="D1" s="3" t="s">
        <v>228</v>
      </c>
      <c r="E1" s="76" t="s">
        <v>229</v>
      </c>
      <c r="F1" s="27" t="s">
        <v>230</v>
      </c>
    </row>
    <row r="2">
      <c r="A2" s="27" t="s">
        <v>166</v>
      </c>
      <c r="B2" s="27" t="s">
        <v>167</v>
      </c>
      <c r="C2" s="3">
        <v>10.5</v>
      </c>
      <c r="D2" s="2">
        <f>IFERROR(__xludf.DUMMYFUNCTION("GOOGLEFINANCE(B2)"),1.19)</f>
        <v>1.19</v>
      </c>
      <c r="E2" s="77">
        <f>IFERROR(__xludf.DUMMYFUNCTION("GOOGLEFINANCE(B2, ""marketcap"")/1000000000"),0.172335451)</f>
        <v>0.172335451</v>
      </c>
    </row>
    <row r="3">
      <c r="A3" s="27" t="s">
        <v>210</v>
      </c>
      <c r="B3" s="27" t="s">
        <v>211</v>
      </c>
      <c r="C3" s="3">
        <v>15.0</v>
      </c>
      <c r="D3" s="2">
        <f>IFERROR(__xludf.DUMMYFUNCTION("GOOGLEFINANCE(B3)"),4.35)</f>
        <v>4.35</v>
      </c>
      <c r="E3" s="77">
        <f>IFERROR(__xludf.DUMMYFUNCTION("GOOGLEFINANCE(B3, ""marketcap"")/1000000000"),0.201491343)</f>
        <v>0.201491343</v>
      </c>
    </row>
    <row r="4">
      <c r="A4" s="27" t="s">
        <v>148</v>
      </c>
      <c r="B4" s="27" t="s">
        <v>149</v>
      </c>
      <c r="C4" s="2"/>
      <c r="D4" s="2">
        <f>IFERROR(__xludf.DUMMYFUNCTION("GOOGLEFINANCE(B4)"),7.37)</f>
        <v>7.37</v>
      </c>
      <c r="E4" s="77">
        <f>IFERROR(__xludf.DUMMYFUNCTION("GOOGLEFINANCE(B4, ""marketcap"")/1000000000"),0.979741989)</f>
        <v>0.979741989</v>
      </c>
    </row>
    <row r="5">
      <c r="A5" s="27" t="s">
        <v>231</v>
      </c>
      <c r="B5" s="27" t="s">
        <v>232</v>
      </c>
      <c r="C5" s="3">
        <v>27.0</v>
      </c>
      <c r="D5" s="2">
        <f>IFERROR(__xludf.DUMMYFUNCTION("GOOGLEFINANCE(B5)"),4.34)</f>
        <v>4.34</v>
      </c>
      <c r="E5" s="77">
        <f>IFERROR(__xludf.DUMMYFUNCTION("GOOGLEFINANCE(B5, ""marketcap"")/1000000000"),0.725377643)</f>
        <v>0.725377643</v>
      </c>
    </row>
    <row r="6">
      <c r="A6" s="27" t="s">
        <v>172</v>
      </c>
      <c r="B6" s="27" t="s">
        <v>173</v>
      </c>
      <c r="C6" s="2"/>
      <c r="D6" s="2">
        <f>IFERROR(__xludf.DUMMYFUNCTION("GOOGLEFINANCE(B6)"),80.67)</f>
        <v>80.67</v>
      </c>
      <c r="E6" s="77">
        <f>IFERROR(__xludf.DUMMYFUNCTION("GOOGLEFINANCE(B6, ""marketcap"")/1000000000"),4.494806452)</f>
        <v>4.494806452</v>
      </c>
    </row>
    <row r="7">
      <c r="C7" s="2"/>
      <c r="D7" s="2"/>
      <c r="E7" s="77"/>
    </row>
    <row r="8">
      <c r="C8" s="2"/>
      <c r="D8" s="2"/>
      <c r="E8" s="77"/>
    </row>
    <row r="9">
      <c r="C9" s="2"/>
      <c r="D9" s="2"/>
      <c r="E9" s="77"/>
    </row>
    <row r="10">
      <c r="C10" s="2"/>
      <c r="D10" s="2"/>
      <c r="E10" s="77"/>
    </row>
    <row r="11">
      <c r="C11" s="2"/>
      <c r="D11" s="2"/>
      <c r="E11" s="77"/>
    </row>
    <row r="12">
      <c r="C12" s="2"/>
      <c r="D12" s="2"/>
      <c r="E12" s="77"/>
    </row>
    <row r="13">
      <c r="C13" s="2"/>
      <c r="D13" s="2"/>
      <c r="E13" s="77"/>
    </row>
    <row r="14">
      <c r="C14" s="2"/>
      <c r="D14" s="2"/>
      <c r="E14" s="77"/>
    </row>
    <row r="15">
      <c r="C15" s="2"/>
      <c r="D15" s="2"/>
      <c r="E15" s="77"/>
    </row>
    <row r="16">
      <c r="C16" s="2"/>
      <c r="D16" s="2"/>
      <c r="E16" s="77"/>
    </row>
    <row r="17">
      <c r="C17" s="2"/>
      <c r="D17" s="2"/>
      <c r="E17" s="77"/>
    </row>
    <row r="18">
      <c r="C18" s="2"/>
      <c r="D18" s="2"/>
      <c r="E18" s="77"/>
    </row>
    <row r="19">
      <c r="C19" s="2"/>
      <c r="D19" s="2"/>
      <c r="E19" s="77"/>
    </row>
    <row r="20">
      <c r="C20" s="2"/>
      <c r="D20" s="2"/>
      <c r="E20" s="77"/>
    </row>
    <row r="21">
      <c r="C21" s="2"/>
      <c r="D21" s="2"/>
      <c r="E21" s="77"/>
    </row>
    <row r="22">
      <c r="C22" s="2"/>
      <c r="D22" s="2"/>
      <c r="E22" s="77"/>
    </row>
    <row r="23">
      <c r="C23" s="2"/>
      <c r="D23" s="2"/>
      <c r="E23" s="77"/>
    </row>
    <row r="24">
      <c r="C24" s="2"/>
      <c r="D24" s="2"/>
      <c r="E24" s="77"/>
    </row>
    <row r="25">
      <c r="C25" s="2"/>
      <c r="D25" s="2"/>
      <c r="E25" s="77"/>
    </row>
    <row r="26">
      <c r="C26" s="2"/>
      <c r="D26" s="2"/>
      <c r="E26" s="77"/>
    </row>
    <row r="27">
      <c r="C27" s="2"/>
      <c r="D27" s="2"/>
      <c r="E27" s="77"/>
    </row>
    <row r="28">
      <c r="C28" s="2"/>
      <c r="D28" s="2"/>
      <c r="E28" s="77"/>
    </row>
    <row r="29">
      <c r="C29" s="2"/>
      <c r="D29" s="2"/>
      <c r="E29" s="77"/>
    </row>
    <row r="30">
      <c r="C30" s="2"/>
      <c r="D30" s="2"/>
      <c r="E30" s="77"/>
    </row>
    <row r="31">
      <c r="C31" s="2"/>
      <c r="D31" s="2"/>
      <c r="E31" s="77"/>
    </row>
    <row r="32">
      <c r="C32" s="2"/>
      <c r="D32" s="2"/>
      <c r="E32" s="77"/>
    </row>
    <row r="33">
      <c r="C33" s="2"/>
      <c r="D33" s="2"/>
      <c r="E33" s="77"/>
    </row>
    <row r="34">
      <c r="C34" s="2"/>
      <c r="D34" s="2"/>
      <c r="E34" s="77"/>
    </row>
    <row r="35">
      <c r="C35" s="2"/>
      <c r="D35" s="2"/>
      <c r="E35" s="77"/>
    </row>
    <row r="36">
      <c r="C36" s="2"/>
      <c r="D36" s="2"/>
      <c r="E36" s="77"/>
    </row>
    <row r="37">
      <c r="C37" s="2"/>
      <c r="D37" s="2"/>
      <c r="E37" s="77"/>
    </row>
    <row r="38">
      <c r="C38" s="2"/>
      <c r="D38" s="2"/>
      <c r="E38" s="77"/>
    </row>
    <row r="39">
      <c r="C39" s="2"/>
      <c r="D39" s="2"/>
      <c r="E39" s="77"/>
    </row>
    <row r="40">
      <c r="C40" s="2"/>
      <c r="D40" s="2"/>
      <c r="E40" s="77"/>
    </row>
    <row r="41">
      <c r="C41" s="2"/>
      <c r="D41" s="2"/>
      <c r="E41" s="77"/>
    </row>
    <row r="42">
      <c r="C42" s="2"/>
      <c r="D42" s="2"/>
      <c r="E42" s="77"/>
    </row>
    <row r="43">
      <c r="C43" s="2"/>
      <c r="D43" s="2"/>
      <c r="E43" s="77"/>
    </row>
    <row r="44">
      <c r="C44" s="2"/>
      <c r="D44" s="2"/>
      <c r="E44" s="77"/>
    </row>
    <row r="45">
      <c r="C45" s="2"/>
      <c r="D45" s="2"/>
      <c r="E45" s="77"/>
    </row>
    <row r="46">
      <c r="C46" s="2"/>
      <c r="D46" s="2"/>
      <c r="E46" s="77"/>
    </row>
    <row r="47">
      <c r="C47" s="2"/>
      <c r="D47" s="2"/>
      <c r="E47" s="77"/>
    </row>
    <row r="48">
      <c r="C48" s="2"/>
      <c r="D48" s="2"/>
      <c r="E48" s="77"/>
    </row>
    <row r="49">
      <c r="C49" s="2"/>
      <c r="D49" s="2"/>
      <c r="E49" s="77"/>
    </row>
    <row r="50">
      <c r="C50" s="2"/>
      <c r="D50" s="2"/>
      <c r="E50" s="77"/>
    </row>
    <row r="51">
      <c r="C51" s="2"/>
      <c r="D51" s="2"/>
      <c r="E51" s="77"/>
    </row>
    <row r="52">
      <c r="C52" s="2"/>
      <c r="D52" s="2"/>
      <c r="E52" s="77"/>
    </row>
    <row r="53">
      <c r="C53" s="2"/>
      <c r="D53" s="2"/>
      <c r="E53" s="77"/>
    </row>
    <row r="54">
      <c r="C54" s="2"/>
      <c r="D54" s="2"/>
      <c r="E54" s="77"/>
    </row>
    <row r="55">
      <c r="C55" s="2"/>
      <c r="D55" s="2"/>
      <c r="E55" s="77"/>
    </row>
    <row r="56">
      <c r="C56" s="2"/>
      <c r="D56" s="2"/>
      <c r="E56" s="77"/>
    </row>
    <row r="57">
      <c r="C57" s="2"/>
      <c r="D57" s="2"/>
      <c r="E57" s="77"/>
    </row>
    <row r="58">
      <c r="C58" s="2"/>
      <c r="D58" s="2"/>
      <c r="E58" s="77"/>
    </row>
    <row r="59">
      <c r="C59" s="2"/>
      <c r="D59" s="2"/>
      <c r="E59" s="77"/>
    </row>
    <row r="60">
      <c r="C60" s="2"/>
      <c r="D60" s="2"/>
      <c r="E60" s="77"/>
    </row>
    <row r="61">
      <c r="C61" s="2"/>
      <c r="D61" s="2"/>
      <c r="E61" s="77"/>
    </row>
    <row r="62">
      <c r="C62" s="2"/>
      <c r="D62" s="2"/>
      <c r="E62" s="77"/>
    </row>
    <row r="63">
      <c r="C63" s="2"/>
      <c r="D63" s="2"/>
      <c r="E63" s="77"/>
    </row>
    <row r="64">
      <c r="C64" s="2"/>
      <c r="D64" s="2"/>
      <c r="E64" s="77"/>
    </row>
    <row r="65">
      <c r="C65" s="2"/>
      <c r="D65" s="2"/>
      <c r="E65" s="77"/>
    </row>
    <row r="66">
      <c r="C66" s="2"/>
      <c r="D66" s="2"/>
      <c r="E66" s="77"/>
    </row>
    <row r="67">
      <c r="C67" s="2"/>
      <c r="D67" s="2"/>
      <c r="E67" s="77"/>
    </row>
    <row r="68">
      <c r="C68" s="2"/>
      <c r="D68" s="2"/>
      <c r="E68" s="77"/>
    </row>
    <row r="69">
      <c r="C69" s="2"/>
      <c r="D69" s="2"/>
      <c r="E69" s="77"/>
    </row>
    <row r="70">
      <c r="C70" s="2"/>
      <c r="D70" s="2"/>
      <c r="E70" s="77"/>
    </row>
    <row r="71">
      <c r="C71" s="2"/>
      <c r="D71" s="2"/>
      <c r="E71" s="77"/>
    </row>
    <row r="72">
      <c r="C72" s="2"/>
      <c r="D72" s="2"/>
      <c r="E72" s="77"/>
    </row>
    <row r="73">
      <c r="C73" s="2"/>
      <c r="D73" s="2"/>
      <c r="E73" s="77"/>
    </row>
    <row r="74">
      <c r="C74" s="2"/>
      <c r="D74" s="2"/>
      <c r="E74" s="77"/>
    </row>
    <row r="75">
      <c r="C75" s="2"/>
      <c r="D75" s="2"/>
      <c r="E75" s="77"/>
    </row>
    <row r="76">
      <c r="C76" s="2"/>
      <c r="D76" s="2"/>
      <c r="E76" s="77"/>
    </row>
    <row r="77">
      <c r="C77" s="2"/>
      <c r="D77" s="2"/>
      <c r="E77" s="77"/>
    </row>
    <row r="78">
      <c r="C78" s="2"/>
      <c r="D78" s="2"/>
      <c r="E78" s="77"/>
    </row>
    <row r="79">
      <c r="C79" s="2"/>
      <c r="D79" s="2"/>
      <c r="E79" s="77"/>
    </row>
    <row r="80">
      <c r="C80" s="2"/>
      <c r="D80" s="2"/>
      <c r="E80" s="77"/>
    </row>
    <row r="81">
      <c r="C81" s="2"/>
      <c r="D81" s="2"/>
      <c r="E81" s="77"/>
    </row>
    <row r="82">
      <c r="C82" s="2"/>
      <c r="D82" s="2"/>
      <c r="E82" s="77"/>
    </row>
    <row r="83">
      <c r="C83" s="2"/>
      <c r="D83" s="2"/>
      <c r="E83" s="77"/>
    </row>
    <row r="84">
      <c r="C84" s="2"/>
      <c r="D84" s="2"/>
      <c r="E84" s="77"/>
    </row>
    <row r="85">
      <c r="C85" s="2"/>
      <c r="D85" s="2"/>
      <c r="E85" s="77"/>
    </row>
    <row r="86">
      <c r="C86" s="2"/>
      <c r="D86" s="2"/>
      <c r="E86" s="77"/>
    </row>
    <row r="87">
      <c r="C87" s="2"/>
      <c r="D87" s="2"/>
      <c r="E87" s="77"/>
    </row>
    <row r="88">
      <c r="C88" s="2"/>
      <c r="D88" s="2"/>
      <c r="E88" s="77"/>
    </row>
    <row r="89">
      <c r="C89" s="2"/>
      <c r="D89" s="2"/>
      <c r="E89" s="77"/>
    </row>
    <row r="90">
      <c r="C90" s="2"/>
      <c r="D90" s="2"/>
      <c r="E90" s="77"/>
    </row>
    <row r="91">
      <c r="C91" s="2"/>
      <c r="D91" s="2"/>
      <c r="E91" s="77"/>
    </row>
    <row r="92">
      <c r="C92" s="2"/>
      <c r="D92" s="2"/>
      <c r="E92" s="77"/>
    </row>
    <row r="93">
      <c r="C93" s="2"/>
      <c r="D93" s="2"/>
      <c r="E93" s="77"/>
    </row>
    <row r="94">
      <c r="C94" s="2"/>
      <c r="D94" s="2"/>
      <c r="E94" s="77"/>
    </row>
    <row r="95">
      <c r="C95" s="2"/>
      <c r="D95" s="2"/>
      <c r="E95" s="77"/>
    </row>
    <row r="96">
      <c r="C96" s="2"/>
      <c r="D96" s="2"/>
      <c r="E96" s="77"/>
    </row>
    <row r="97">
      <c r="C97" s="2"/>
      <c r="D97" s="2"/>
      <c r="E97" s="77"/>
    </row>
    <row r="98">
      <c r="C98" s="2"/>
      <c r="D98" s="2"/>
      <c r="E98" s="77"/>
    </row>
    <row r="99">
      <c r="C99" s="2"/>
      <c r="D99" s="2"/>
      <c r="E99" s="77"/>
    </row>
    <row r="100">
      <c r="C100" s="2"/>
      <c r="D100" s="2"/>
      <c r="E100" s="77"/>
    </row>
    <row r="101">
      <c r="C101" s="2"/>
      <c r="D101" s="2"/>
      <c r="E101" s="77"/>
    </row>
    <row r="102">
      <c r="C102" s="2"/>
      <c r="D102" s="2"/>
      <c r="E102" s="77"/>
    </row>
    <row r="103">
      <c r="C103" s="2"/>
      <c r="D103" s="2"/>
      <c r="E103" s="77"/>
    </row>
    <row r="104">
      <c r="C104" s="2"/>
      <c r="D104" s="2"/>
      <c r="E104" s="77"/>
    </row>
    <row r="105">
      <c r="C105" s="2"/>
      <c r="D105" s="2"/>
      <c r="E105" s="77"/>
    </row>
    <row r="106">
      <c r="C106" s="2"/>
      <c r="D106" s="2"/>
      <c r="E106" s="77"/>
    </row>
    <row r="107">
      <c r="C107" s="2"/>
      <c r="D107" s="2"/>
      <c r="E107" s="77"/>
    </row>
    <row r="108">
      <c r="C108" s="2"/>
      <c r="D108" s="2"/>
      <c r="E108" s="77"/>
    </row>
    <row r="109">
      <c r="C109" s="2"/>
      <c r="D109" s="2"/>
      <c r="E109" s="77"/>
    </row>
    <row r="110">
      <c r="C110" s="2"/>
      <c r="D110" s="2"/>
      <c r="E110" s="77"/>
    </row>
    <row r="111">
      <c r="C111" s="2"/>
      <c r="D111" s="2"/>
      <c r="E111" s="77"/>
    </row>
    <row r="112">
      <c r="C112" s="2"/>
      <c r="D112" s="2"/>
      <c r="E112" s="77"/>
    </row>
    <row r="113">
      <c r="C113" s="2"/>
      <c r="D113" s="2"/>
      <c r="E113" s="77"/>
    </row>
    <row r="114">
      <c r="C114" s="2"/>
      <c r="D114" s="2"/>
      <c r="E114" s="77"/>
    </row>
    <row r="115">
      <c r="C115" s="2"/>
      <c r="D115" s="2"/>
      <c r="E115" s="77"/>
    </row>
    <row r="116">
      <c r="C116" s="2"/>
      <c r="D116" s="2"/>
      <c r="E116" s="77"/>
    </row>
    <row r="117">
      <c r="C117" s="2"/>
      <c r="D117" s="2"/>
      <c r="E117" s="77"/>
    </row>
    <row r="118">
      <c r="C118" s="2"/>
      <c r="D118" s="2"/>
      <c r="E118" s="77"/>
    </row>
    <row r="119">
      <c r="C119" s="2"/>
      <c r="D119" s="2"/>
      <c r="E119" s="77"/>
    </row>
    <row r="120">
      <c r="C120" s="2"/>
      <c r="D120" s="2"/>
      <c r="E120" s="77"/>
    </row>
    <row r="121">
      <c r="C121" s="2"/>
      <c r="D121" s="2"/>
      <c r="E121" s="77"/>
    </row>
    <row r="122">
      <c r="C122" s="2"/>
      <c r="D122" s="2"/>
      <c r="E122" s="77"/>
    </row>
    <row r="123">
      <c r="C123" s="2"/>
      <c r="D123" s="2"/>
      <c r="E123" s="77"/>
    </row>
    <row r="124">
      <c r="C124" s="2"/>
      <c r="D124" s="2"/>
      <c r="E124" s="77"/>
    </row>
    <row r="125">
      <c r="C125" s="2"/>
      <c r="D125" s="2"/>
      <c r="E125" s="77"/>
    </row>
    <row r="126">
      <c r="C126" s="2"/>
      <c r="D126" s="2"/>
      <c r="E126" s="77"/>
    </row>
    <row r="127">
      <c r="C127" s="2"/>
      <c r="D127" s="2"/>
      <c r="E127" s="77"/>
    </row>
    <row r="128">
      <c r="C128" s="2"/>
      <c r="D128" s="2"/>
      <c r="E128" s="77"/>
    </row>
    <row r="129">
      <c r="C129" s="2"/>
      <c r="D129" s="2"/>
      <c r="E129" s="77"/>
    </row>
    <row r="130">
      <c r="C130" s="2"/>
      <c r="D130" s="2"/>
      <c r="E130" s="77"/>
    </row>
    <row r="131">
      <c r="C131" s="2"/>
      <c r="D131" s="2"/>
      <c r="E131" s="77"/>
    </row>
    <row r="132">
      <c r="C132" s="2"/>
      <c r="D132" s="2"/>
      <c r="E132" s="77"/>
    </row>
    <row r="133">
      <c r="C133" s="2"/>
      <c r="D133" s="2"/>
      <c r="E133" s="77"/>
    </row>
    <row r="134">
      <c r="C134" s="2"/>
      <c r="D134" s="2"/>
      <c r="E134" s="77"/>
    </row>
    <row r="135">
      <c r="C135" s="2"/>
      <c r="D135" s="2"/>
      <c r="E135" s="77"/>
    </row>
    <row r="136">
      <c r="C136" s="2"/>
      <c r="D136" s="2"/>
      <c r="E136" s="77"/>
    </row>
    <row r="137">
      <c r="C137" s="2"/>
      <c r="D137" s="2"/>
      <c r="E137" s="77"/>
    </row>
    <row r="138">
      <c r="C138" s="2"/>
      <c r="D138" s="2"/>
      <c r="E138" s="77"/>
    </row>
    <row r="139">
      <c r="C139" s="2"/>
      <c r="D139" s="2"/>
      <c r="E139" s="77"/>
    </row>
    <row r="140">
      <c r="C140" s="2"/>
      <c r="D140" s="2"/>
      <c r="E140" s="77"/>
    </row>
    <row r="141">
      <c r="C141" s="2"/>
      <c r="D141" s="2"/>
      <c r="E141" s="77"/>
    </row>
    <row r="142">
      <c r="C142" s="2"/>
      <c r="D142" s="2"/>
      <c r="E142" s="77"/>
    </row>
    <row r="143">
      <c r="C143" s="2"/>
      <c r="D143" s="2"/>
      <c r="E143" s="77"/>
    </row>
    <row r="144">
      <c r="C144" s="2"/>
      <c r="D144" s="2"/>
      <c r="E144" s="77"/>
    </row>
    <row r="145">
      <c r="C145" s="2"/>
      <c r="D145" s="2"/>
      <c r="E145" s="77"/>
    </row>
    <row r="146">
      <c r="C146" s="2"/>
      <c r="D146" s="2"/>
      <c r="E146" s="77"/>
    </row>
    <row r="147">
      <c r="C147" s="2"/>
      <c r="D147" s="2"/>
      <c r="E147" s="77"/>
    </row>
    <row r="148">
      <c r="C148" s="2"/>
      <c r="D148" s="2"/>
      <c r="E148" s="77"/>
    </row>
    <row r="149">
      <c r="C149" s="2"/>
      <c r="D149" s="2"/>
      <c r="E149" s="77"/>
    </row>
    <row r="150">
      <c r="C150" s="2"/>
      <c r="D150" s="2"/>
      <c r="E150" s="77"/>
    </row>
    <row r="151">
      <c r="C151" s="2"/>
      <c r="D151" s="2"/>
      <c r="E151" s="77"/>
    </row>
    <row r="152">
      <c r="C152" s="2"/>
      <c r="D152" s="2"/>
      <c r="E152" s="77"/>
    </row>
    <row r="153">
      <c r="C153" s="2"/>
      <c r="D153" s="2"/>
      <c r="E153" s="77"/>
    </row>
    <row r="154">
      <c r="C154" s="2"/>
      <c r="D154" s="2"/>
      <c r="E154" s="77"/>
    </row>
    <row r="155">
      <c r="C155" s="2"/>
      <c r="D155" s="2"/>
      <c r="E155" s="77"/>
    </row>
    <row r="156">
      <c r="C156" s="2"/>
      <c r="D156" s="2"/>
      <c r="E156" s="77"/>
    </row>
    <row r="157">
      <c r="C157" s="2"/>
      <c r="D157" s="2"/>
      <c r="E157" s="77"/>
    </row>
    <row r="158">
      <c r="C158" s="2"/>
      <c r="D158" s="2"/>
      <c r="E158" s="77"/>
    </row>
    <row r="159">
      <c r="C159" s="2"/>
      <c r="D159" s="2"/>
      <c r="E159" s="77"/>
    </row>
    <row r="160">
      <c r="C160" s="2"/>
      <c r="D160" s="2"/>
      <c r="E160" s="77"/>
    </row>
    <row r="161">
      <c r="C161" s="2"/>
      <c r="D161" s="2"/>
      <c r="E161" s="77"/>
    </row>
    <row r="162">
      <c r="C162" s="2"/>
      <c r="D162" s="2"/>
      <c r="E162" s="77"/>
    </row>
    <row r="163">
      <c r="C163" s="2"/>
      <c r="D163" s="2"/>
      <c r="E163" s="77"/>
    </row>
    <row r="164">
      <c r="C164" s="2"/>
      <c r="D164" s="2"/>
      <c r="E164" s="77"/>
    </row>
    <row r="165">
      <c r="C165" s="2"/>
      <c r="D165" s="2"/>
      <c r="E165" s="77"/>
    </row>
    <row r="166">
      <c r="C166" s="2"/>
      <c r="D166" s="2"/>
      <c r="E166" s="77"/>
    </row>
    <row r="167">
      <c r="C167" s="2"/>
      <c r="D167" s="2"/>
      <c r="E167" s="77"/>
    </row>
    <row r="168">
      <c r="C168" s="2"/>
      <c r="D168" s="2"/>
      <c r="E168" s="77"/>
    </row>
    <row r="169">
      <c r="C169" s="2"/>
      <c r="D169" s="2"/>
      <c r="E169" s="77"/>
    </row>
    <row r="170">
      <c r="C170" s="2"/>
      <c r="D170" s="2"/>
      <c r="E170" s="77"/>
    </row>
    <row r="171">
      <c r="C171" s="2"/>
      <c r="D171" s="2"/>
      <c r="E171" s="77"/>
    </row>
    <row r="172">
      <c r="C172" s="2"/>
      <c r="D172" s="2"/>
      <c r="E172" s="77"/>
    </row>
    <row r="173">
      <c r="C173" s="2"/>
      <c r="D173" s="2"/>
      <c r="E173" s="77"/>
    </row>
    <row r="174">
      <c r="C174" s="2"/>
      <c r="D174" s="2"/>
      <c r="E174" s="77"/>
    </row>
    <row r="175">
      <c r="C175" s="2"/>
      <c r="D175" s="2"/>
      <c r="E175" s="77"/>
    </row>
    <row r="176">
      <c r="C176" s="2"/>
      <c r="D176" s="2"/>
      <c r="E176" s="77"/>
    </row>
    <row r="177">
      <c r="C177" s="2"/>
      <c r="D177" s="2"/>
      <c r="E177" s="77"/>
    </row>
    <row r="178">
      <c r="C178" s="2"/>
      <c r="D178" s="2"/>
      <c r="E178" s="77"/>
    </row>
    <row r="179">
      <c r="C179" s="2"/>
      <c r="D179" s="2"/>
      <c r="E179" s="77"/>
    </row>
    <row r="180">
      <c r="C180" s="2"/>
      <c r="D180" s="2"/>
      <c r="E180" s="77"/>
    </row>
    <row r="181">
      <c r="C181" s="2"/>
      <c r="D181" s="2"/>
      <c r="E181" s="77"/>
    </row>
    <row r="182">
      <c r="C182" s="2"/>
      <c r="D182" s="2"/>
      <c r="E182" s="77"/>
    </row>
    <row r="183">
      <c r="C183" s="2"/>
      <c r="D183" s="2"/>
      <c r="E183" s="77"/>
    </row>
    <row r="184">
      <c r="C184" s="2"/>
      <c r="D184" s="2"/>
      <c r="E184" s="77"/>
    </row>
    <row r="185">
      <c r="C185" s="2"/>
      <c r="D185" s="2"/>
      <c r="E185" s="77"/>
    </row>
    <row r="186">
      <c r="C186" s="2"/>
      <c r="D186" s="2"/>
      <c r="E186" s="77"/>
    </row>
    <row r="187">
      <c r="C187" s="2"/>
      <c r="D187" s="2"/>
      <c r="E187" s="77"/>
    </row>
    <row r="188">
      <c r="C188" s="2"/>
      <c r="D188" s="2"/>
      <c r="E188" s="77"/>
    </row>
    <row r="189">
      <c r="C189" s="2"/>
      <c r="D189" s="2"/>
      <c r="E189" s="77"/>
    </row>
    <row r="190">
      <c r="C190" s="2"/>
      <c r="D190" s="2"/>
      <c r="E190" s="77"/>
    </row>
    <row r="191">
      <c r="C191" s="2"/>
      <c r="D191" s="2"/>
      <c r="E191" s="77"/>
    </row>
    <row r="192">
      <c r="C192" s="2"/>
      <c r="D192" s="2"/>
      <c r="E192" s="77"/>
    </row>
    <row r="193">
      <c r="C193" s="2"/>
      <c r="D193" s="2"/>
      <c r="E193" s="77"/>
    </row>
    <row r="194">
      <c r="C194" s="2"/>
      <c r="D194" s="2"/>
      <c r="E194" s="77"/>
    </row>
    <row r="195">
      <c r="C195" s="2"/>
      <c r="D195" s="2"/>
      <c r="E195" s="77"/>
    </row>
    <row r="196">
      <c r="C196" s="2"/>
      <c r="D196" s="2"/>
      <c r="E196" s="77"/>
    </row>
    <row r="197">
      <c r="C197" s="2"/>
      <c r="D197" s="2"/>
      <c r="E197" s="77"/>
    </row>
    <row r="198">
      <c r="C198" s="2"/>
      <c r="D198" s="2"/>
      <c r="E198" s="77"/>
    </row>
    <row r="199">
      <c r="C199" s="2"/>
      <c r="D199" s="2"/>
      <c r="E199" s="77"/>
    </row>
    <row r="200">
      <c r="C200" s="2"/>
      <c r="D200" s="2"/>
      <c r="E200" s="77"/>
    </row>
    <row r="201">
      <c r="C201" s="2"/>
      <c r="D201" s="2"/>
      <c r="E201" s="77"/>
    </row>
    <row r="202">
      <c r="C202" s="2"/>
      <c r="D202" s="2"/>
      <c r="E202" s="77"/>
    </row>
    <row r="203">
      <c r="C203" s="2"/>
      <c r="D203" s="2"/>
      <c r="E203" s="77"/>
    </row>
    <row r="204">
      <c r="C204" s="2"/>
      <c r="D204" s="2"/>
      <c r="E204" s="77"/>
    </row>
    <row r="205">
      <c r="C205" s="2"/>
      <c r="D205" s="2"/>
      <c r="E205" s="77"/>
    </row>
    <row r="206">
      <c r="C206" s="2"/>
      <c r="D206" s="2"/>
      <c r="E206" s="77"/>
    </row>
    <row r="207">
      <c r="C207" s="2"/>
      <c r="D207" s="2"/>
      <c r="E207" s="77"/>
    </row>
    <row r="208">
      <c r="C208" s="2"/>
      <c r="D208" s="2"/>
      <c r="E208" s="77"/>
    </row>
    <row r="209">
      <c r="C209" s="2"/>
      <c r="D209" s="2"/>
      <c r="E209" s="77"/>
    </row>
    <row r="210">
      <c r="C210" s="2"/>
      <c r="D210" s="2"/>
      <c r="E210" s="77"/>
    </row>
    <row r="211">
      <c r="C211" s="2"/>
      <c r="D211" s="2"/>
      <c r="E211" s="77"/>
    </row>
    <row r="212">
      <c r="C212" s="2"/>
      <c r="D212" s="2"/>
      <c r="E212" s="77"/>
    </row>
    <row r="213">
      <c r="C213" s="2"/>
      <c r="D213" s="2"/>
      <c r="E213" s="77"/>
    </row>
    <row r="214">
      <c r="C214" s="2"/>
      <c r="D214" s="2"/>
      <c r="E214" s="77"/>
    </row>
    <row r="215">
      <c r="C215" s="2"/>
      <c r="D215" s="2"/>
      <c r="E215" s="77"/>
    </row>
    <row r="216">
      <c r="C216" s="2"/>
      <c r="D216" s="2"/>
      <c r="E216" s="77"/>
    </row>
    <row r="217">
      <c r="C217" s="2"/>
      <c r="D217" s="2"/>
      <c r="E217" s="77"/>
    </row>
    <row r="218">
      <c r="C218" s="2"/>
      <c r="D218" s="2"/>
      <c r="E218" s="77"/>
    </row>
    <row r="219">
      <c r="C219" s="2"/>
      <c r="D219" s="2"/>
      <c r="E219" s="77"/>
    </row>
    <row r="220">
      <c r="C220" s="2"/>
      <c r="D220" s="2"/>
      <c r="E220" s="77"/>
    </row>
    <row r="221">
      <c r="C221" s="2"/>
      <c r="D221" s="2"/>
      <c r="E221" s="77"/>
    </row>
    <row r="222">
      <c r="C222" s="2"/>
      <c r="D222" s="2"/>
      <c r="E222" s="77"/>
    </row>
    <row r="223">
      <c r="C223" s="2"/>
      <c r="D223" s="2"/>
      <c r="E223" s="77"/>
    </row>
    <row r="224">
      <c r="C224" s="2"/>
      <c r="D224" s="2"/>
      <c r="E224" s="77"/>
    </row>
    <row r="225">
      <c r="C225" s="2"/>
      <c r="D225" s="2"/>
      <c r="E225" s="77"/>
    </row>
    <row r="226">
      <c r="C226" s="2"/>
      <c r="D226" s="2"/>
      <c r="E226" s="77"/>
    </row>
    <row r="227">
      <c r="C227" s="2"/>
      <c r="D227" s="2"/>
      <c r="E227" s="77"/>
    </row>
    <row r="228">
      <c r="C228" s="2"/>
      <c r="D228" s="2"/>
      <c r="E228" s="77"/>
    </row>
    <row r="229">
      <c r="C229" s="2"/>
      <c r="D229" s="2"/>
      <c r="E229" s="77"/>
    </row>
    <row r="230">
      <c r="C230" s="2"/>
      <c r="D230" s="2"/>
      <c r="E230" s="77"/>
    </row>
    <row r="231">
      <c r="C231" s="2"/>
      <c r="D231" s="2"/>
      <c r="E231" s="77"/>
    </row>
    <row r="232">
      <c r="C232" s="2"/>
      <c r="D232" s="2"/>
      <c r="E232" s="77"/>
    </row>
    <row r="233">
      <c r="C233" s="2"/>
      <c r="D233" s="2"/>
      <c r="E233" s="77"/>
    </row>
    <row r="234">
      <c r="C234" s="2"/>
      <c r="D234" s="2"/>
      <c r="E234" s="77"/>
    </row>
    <row r="235">
      <c r="C235" s="2"/>
      <c r="D235" s="2"/>
      <c r="E235" s="77"/>
    </row>
    <row r="236">
      <c r="C236" s="2"/>
      <c r="D236" s="2"/>
      <c r="E236" s="77"/>
    </row>
    <row r="237">
      <c r="C237" s="2"/>
      <c r="D237" s="2"/>
      <c r="E237" s="77"/>
    </row>
    <row r="238">
      <c r="C238" s="2"/>
      <c r="D238" s="2"/>
      <c r="E238" s="77"/>
    </row>
    <row r="239">
      <c r="C239" s="2"/>
      <c r="D239" s="2"/>
      <c r="E239" s="77"/>
    </row>
    <row r="240">
      <c r="C240" s="2"/>
      <c r="D240" s="2"/>
      <c r="E240" s="77"/>
    </row>
    <row r="241">
      <c r="C241" s="2"/>
      <c r="D241" s="2"/>
      <c r="E241" s="77"/>
    </row>
    <row r="242">
      <c r="C242" s="2"/>
      <c r="D242" s="2"/>
      <c r="E242" s="77"/>
    </row>
    <row r="243">
      <c r="C243" s="2"/>
      <c r="D243" s="2"/>
      <c r="E243" s="77"/>
    </row>
    <row r="244">
      <c r="C244" s="2"/>
      <c r="D244" s="2"/>
      <c r="E244" s="77"/>
    </row>
    <row r="245">
      <c r="C245" s="2"/>
      <c r="D245" s="2"/>
      <c r="E245" s="77"/>
    </row>
    <row r="246">
      <c r="C246" s="2"/>
      <c r="D246" s="2"/>
      <c r="E246" s="77"/>
    </row>
    <row r="247">
      <c r="C247" s="2"/>
      <c r="D247" s="2"/>
      <c r="E247" s="77"/>
    </row>
    <row r="248">
      <c r="C248" s="2"/>
      <c r="D248" s="2"/>
      <c r="E248" s="77"/>
    </row>
    <row r="249">
      <c r="C249" s="2"/>
      <c r="D249" s="2"/>
      <c r="E249" s="77"/>
    </row>
    <row r="250">
      <c r="C250" s="2"/>
      <c r="D250" s="2"/>
      <c r="E250" s="77"/>
    </row>
    <row r="251">
      <c r="C251" s="2"/>
      <c r="D251" s="2"/>
      <c r="E251" s="77"/>
    </row>
    <row r="252">
      <c r="C252" s="2"/>
      <c r="D252" s="2"/>
      <c r="E252" s="77"/>
    </row>
    <row r="253">
      <c r="C253" s="2"/>
      <c r="D253" s="2"/>
      <c r="E253" s="77"/>
    </row>
    <row r="254">
      <c r="C254" s="2"/>
      <c r="D254" s="2"/>
      <c r="E254" s="77"/>
    </row>
    <row r="255">
      <c r="C255" s="2"/>
      <c r="D255" s="2"/>
      <c r="E255" s="77"/>
    </row>
    <row r="256">
      <c r="C256" s="2"/>
      <c r="D256" s="2"/>
      <c r="E256" s="77"/>
    </row>
    <row r="257">
      <c r="C257" s="2"/>
      <c r="D257" s="2"/>
      <c r="E257" s="77"/>
    </row>
    <row r="258">
      <c r="C258" s="2"/>
      <c r="D258" s="2"/>
      <c r="E258" s="77"/>
    </row>
    <row r="259">
      <c r="C259" s="2"/>
      <c r="D259" s="2"/>
      <c r="E259" s="77"/>
    </row>
    <row r="260">
      <c r="C260" s="2"/>
      <c r="D260" s="2"/>
      <c r="E260" s="77"/>
    </row>
    <row r="261">
      <c r="C261" s="2"/>
      <c r="D261" s="2"/>
      <c r="E261" s="77"/>
    </row>
    <row r="262">
      <c r="C262" s="2"/>
      <c r="D262" s="2"/>
      <c r="E262" s="77"/>
    </row>
    <row r="263">
      <c r="C263" s="2"/>
      <c r="D263" s="2"/>
      <c r="E263" s="77"/>
    </row>
    <row r="264">
      <c r="C264" s="2"/>
      <c r="D264" s="2"/>
      <c r="E264" s="77"/>
    </row>
    <row r="265">
      <c r="C265" s="2"/>
      <c r="D265" s="2"/>
      <c r="E265" s="77"/>
    </row>
    <row r="266">
      <c r="C266" s="2"/>
      <c r="D266" s="2"/>
      <c r="E266" s="77"/>
    </row>
    <row r="267">
      <c r="C267" s="2"/>
      <c r="D267" s="2"/>
      <c r="E267" s="77"/>
    </row>
    <row r="268">
      <c r="C268" s="2"/>
      <c r="D268" s="2"/>
      <c r="E268" s="77"/>
    </row>
    <row r="269">
      <c r="C269" s="2"/>
      <c r="D269" s="2"/>
      <c r="E269" s="77"/>
    </row>
    <row r="270">
      <c r="C270" s="2"/>
      <c r="D270" s="2"/>
      <c r="E270" s="77"/>
    </row>
    <row r="271">
      <c r="C271" s="2"/>
      <c r="D271" s="2"/>
      <c r="E271" s="77"/>
    </row>
    <row r="272">
      <c r="C272" s="2"/>
      <c r="D272" s="2"/>
      <c r="E272" s="77"/>
    </row>
    <row r="273">
      <c r="C273" s="2"/>
      <c r="D273" s="2"/>
      <c r="E273" s="77"/>
    </row>
    <row r="274">
      <c r="C274" s="2"/>
      <c r="D274" s="2"/>
      <c r="E274" s="77"/>
    </row>
    <row r="275">
      <c r="C275" s="2"/>
      <c r="D275" s="2"/>
      <c r="E275" s="77"/>
    </row>
    <row r="276">
      <c r="C276" s="2"/>
      <c r="D276" s="2"/>
      <c r="E276" s="77"/>
    </row>
    <row r="277">
      <c r="C277" s="2"/>
      <c r="D277" s="2"/>
      <c r="E277" s="77"/>
    </row>
    <row r="278">
      <c r="C278" s="2"/>
      <c r="D278" s="2"/>
      <c r="E278" s="77"/>
    </row>
    <row r="279">
      <c r="C279" s="2"/>
      <c r="D279" s="2"/>
      <c r="E279" s="77"/>
    </row>
    <row r="280">
      <c r="C280" s="2"/>
      <c r="D280" s="2"/>
      <c r="E280" s="77"/>
    </row>
    <row r="281">
      <c r="C281" s="2"/>
      <c r="D281" s="2"/>
      <c r="E281" s="77"/>
    </row>
    <row r="282">
      <c r="C282" s="2"/>
      <c r="D282" s="2"/>
      <c r="E282" s="77"/>
    </row>
    <row r="283">
      <c r="C283" s="2"/>
      <c r="D283" s="2"/>
      <c r="E283" s="77"/>
    </row>
    <row r="284">
      <c r="C284" s="2"/>
      <c r="D284" s="2"/>
      <c r="E284" s="77"/>
    </row>
    <row r="285">
      <c r="C285" s="2"/>
      <c r="D285" s="2"/>
      <c r="E285" s="77"/>
    </row>
    <row r="286">
      <c r="C286" s="2"/>
      <c r="D286" s="2"/>
      <c r="E286" s="77"/>
    </row>
    <row r="287">
      <c r="C287" s="2"/>
      <c r="D287" s="2"/>
      <c r="E287" s="77"/>
    </row>
    <row r="288">
      <c r="C288" s="2"/>
      <c r="D288" s="2"/>
      <c r="E288" s="77"/>
    </row>
    <row r="289">
      <c r="C289" s="2"/>
      <c r="D289" s="2"/>
      <c r="E289" s="77"/>
    </row>
    <row r="290">
      <c r="C290" s="2"/>
      <c r="D290" s="2"/>
      <c r="E290" s="77"/>
    </row>
    <row r="291">
      <c r="C291" s="2"/>
      <c r="D291" s="2"/>
      <c r="E291" s="77"/>
    </row>
    <row r="292">
      <c r="C292" s="2"/>
      <c r="D292" s="2"/>
      <c r="E292" s="77"/>
    </row>
    <row r="293">
      <c r="C293" s="2"/>
      <c r="D293" s="2"/>
      <c r="E293" s="77"/>
    </row>
    <row r="294">
      <c r="C294" s="2"/>
      <c r="D294" s="2"/>
      <c r="E294" s="77"/>
    </row>
    <row r="295">
      <c r="C295" s="2"/>
      <c r="D295" s="2"/>
      <c r="E295" s="77"/>
    </row>
    <row r="296">
      <c r="C296" s="2"/>
      <c r="D296" s="2"/>
      <c r="E296" s="77"/>
    </row>
    <row r="297">
      <c r="C297" s="2"/>
      <c r="D297" s="2"/>
      <c r="E297" s="77"/>
    </row>
    <row r="298">
      <c r="C298" s="2"/>
      <c r="D298" s="2"/>
      <c r="E298" s="77"/>
    </row>
    <row r="299">
      <c r="C299" s="2"/>
      <c r="D299" s="2"/>
      <c r="E299" s="77"/>
    </row>
    <row r="300">
      <c r="C300" s="2"/>
      <c r="D300" s="2"/>
      <c r="E300" s="77"/>
    </row>
    <row r="301">
      <c r="C301" s="2"/>
      <c r="D301" s="2"/>
      <c r="E301" s="77"/>
    </row>
    <row r="302">
      <c r="C302" s="2"/>
      <c r="D302" s="2"/>
      <c r="E302" s="77"/>
    </row>
    <row r="303">
      <c r="C303" s="2"/>
      <c r="D303" s="2"/>
      <c r="E303" s="77"/>
    </row>
    <row r="304">
      <c r="C304" s="2"/>
      <c r="D304" s="2"/>
      <c r="E304" s="77"/>
    </row>
    <row r="305">
      <c r="C305" s="2"/>
      <c r="D305" s="2"/>
      <c r="E305" s="77"/>
    </row>
    <row r="306">
      <c r="C306" s="2"/>
      <c r="D306" s="2"/>
      <c r="E306" s="77"/>
    </row>
    <row r="307">
      <c r="C307" s="2"/>
      <c r="D307" s="2"/>
      <c r="E307" s="77"/>
    </row>
    <row r="308">
      <c r="C308" s="2"/>
      <c r="D308" s="2"/>
      <c r="E308" s="77"/>
    </row>
    <row r="309">
      <c r="C309" s="2"/>
      <c r="D309" s="2"/>
      <c r="E309" s="77"/>
    </row>
    <row r="310">
      <c r="C310" s="2"/>
      <c r="D310" s="2"/>
      <c r="E310" s="77"/>
    </row>
    <row r="311">
      <c r="C311" s="2"/>
      <c r="D311" s="2"/>
      <c r="E311" s="77"/>
    </row>
    <row r="312">
      <c r="C312" s="2"/>
      <c r="D312" s="2"/>
      <c r="E312" s="77"/>
    </row>
    <row r="313">
      <c r="C313" s="2"/>
      <c r="D313" s="2"/>
      <c r="E313" s="77"/>
    </row>
    <row r="314">
      <c r="C314" s="2"/>
      <c r="D314" s="2"/>
      <c r="E314" s="77"/>
    </row>
    <row r="315">
      <c r="C315" s="2"/>
      <c r="D315" s="2"/>
      <c r="E315" s="77"/>
    </row>
    <row r="316">
      <c r="C316" s="2"/>
      <c r="D316" s="2"/>
      <c r="E316" s="77"/>
    </row>
    <row r="317">
      <c r="C317" s="2"/>
      <c r="D317" s="2"/>
      <c r="E317" s="77"/>
    </row>
    <row r="318">
      <c r="C318" s="2"/>
      <c r="D318" s="2"/>
      <c r="E318" s="77"/>
    </row>
    <row r="319">
      <c r="C319" s="2"/>
      <c r="D319" s="2"/>
      <c r="E319" s="77"/>
    </row>
    <row r="320">
      <c r="C320" s="2"/>
      <c r="D320" s="2"/>
      <c r="E320" s="77"/>
    </row>
    <row r="321">
      <c r="C321" s="2"/>
      <c r="D321" s="2"/>
      <c r="E321" s="77"/>
    </row>
    <row r="322">
      <c r="C322" s="2"/>
      <c r="D322" s="2"/>
      <c r="E322" s="77"/>
    </row>
    <row r="323">
      <c r="C323" s="2"/>
      <c r="D323" s="2"/>
      <c r="E323" s="77"/>
    </row>
    <row r="324">
      <c r="C324" s="2"/>
      <c r="D324" s="2"/>
      <c r="E324" s="77"/>
    </row>
    <row r="325">
      <c r="C325" s="2"/>
      <c r="D325" s="2"/>
      <c r="E325" s="77"/>
    </row>
    <row r="326">
      <c r="C326" s="2"/>
      <c r="D326" s="2"/>
      <c r="E326" s="77"/>
    </row>
    <row r="327">
      <c r="C327" s="2"/>
      <c r="D327" s="2"/>
      <c r="E327" s="77"/>
    </row>
    <row r="328">
      <c r="C328" s="2"/>
      <c r="D328" s="2"/>
      <c r="E328" s="77"/>
    </row>
    <row r="329">
      <c r="C329" s="2"/>
      <c r="D329" s="2"/>
      <c r="E329" s="77"/>
    </row>
    <row r="330">
      <c r="C330" s="2"/>
      <c r="D330" s="2"/>
      <c r="E330" s="77"/>
    </row>
    <row r="331">
      <c r="C331" s="2"/>
      <c r="D331" s="2"/>
      <c r="E331" s="77"/>
    </row>
    <row r="332">
      <c r="C332" s="2"/>
      <c r="D332" s="2"/>
      <c r="E332" s="77"/>
    </row>
    <row r="333">
      <c r="C333" s="2"/>
      <c r="D333" s="2"/>
      <c r="E333" s="77"/>
    </row>
    <row r="334">
      <c r="C334" s="2"/>
      <c r="D334" s="2"/>
      <c r="E334" s="77"/>
    </row>
    <row r="335">
      <c r="C335" s="2"/>
      <c r="D335" s="2"/>
      <c r="E335" s="77"/>
    </row>
    <row r="336">
      <c r="C336" s="2"/>
      <c r="D336" s="2"/>
      <c r="E336" s="77"/>
    </row>
    <row r="337">
      <c r="C337" s="2"/>
      <c r="D337" s="2"/>
      <c r="E337" s="77"/>
    </row>
    <row r="338">
      <c r="C338" s="2"/>
      <c r="D338" s="2"/>
      <c r="E338" s="77"/>
    </row>
    <row r="339">
      <c r="C339" s="2"/>
      <c r="D339" s="2"/>
      <c r="E339" s="77"/>
    </row>
    <row r="340">
      <c r="C340" s="2"/>
      <c r="D340" s="2"/>
      <c r="E340" s="77"/>
    </row>
    <row r="341">
      <c r="C341" s="2"/>
      <c r="D341" s="2"/>
      <c r="E341" s="77"/>
    </row>
    <row r="342">
      <c r="C342" s="2"/>
      <c r="D342" s="2"/>
      <c r="E342" s="77"/>
    </row>
    <row r="343">
      <c r="C343" s="2"/>
      <c r="D343" s="2"/>
      <c r="E343" s="77"/>
    </row>
    <row r="344">
      <c r="C344" s="2"/>
      <c r="D344" s="2"/>
      <c r="E344" s="77"/>
    </row>
    <row r="345">
      <c r="C345" s="2"/>
      <c r="D345" s="2"/>
      <c r="E345" s="77"/>
    </row>
    <row r="346">
      <c r="C346" s="2"/>
      <c r="D346" s="2"/>
      <c r="E346" s="77"/>
    </row>
    <row r="347">
      <c r="C347" s="2"/>
      <c r="D347" s="2"/>
      <c r="E347" s="77"/>
    </row>
    <row r="348">
      <c r="C348" s="2"/>
      <c r="D348" s="2"/>
      <c r="E348" s="77"/>
    </row>
    <row r="349">
      <c r="C349" s="2"/>
      <c r="D349" s="2"/>
      <c r="E349" s="77"/>
    </row>
    <row r="350">
      <c r="C350" s="2"/>
      <c r="D350" s="2"/>
      <c r="E350" s="77"/>
    </row>
    <row r="351">
      <c r="C351" s="2"/>
      <c r="D351" s="2"/>
      <c r="E351" s="77"/>
    </row>
    <row r="352">
      <c r="C352" s="2"/>
      <c r="D352" s="2"/>
      <c r="E352" s="77"/>
    </row>
    <row r="353">
      <c r="C353" s="2"/>
      <c r="D353" s="2"/>
      <c r="E353" s="77"/>
    </row>
    <row r="354">
      <c r="C354" s="2"/>
      <c r="D354" s="2"/>
      <c r="E354" s="77"/>
    </row>
    <row r="355">
      <c r="C355" s="2"/>
      <c r="D355" s="2"/>
      <c r="E355" s="77"/>
    </row>
    <row r="356">
      <c r="C356" s="2"/>
      <c r="D356" s="2"/>
      <c r="E356" s="77"/>
    </row>
    <row r="357">
      <c r="C357" s="2"/>
      <c r="D357" s="2"/>
      <c r="E357" s="77"/>
    </row>
    <row r="358">
      <c r="C358" s="2"/>
      <c r="D358" s="2"/>
      <c r="E358" s="77"/>
    </row>
    <row r="359">
      <c r="C359" s="2"/>
      <c r="D359" s="2"/>
      <c r="E359" s="77"/>
    </row>
    <row r="360">
      <c r="C360" s="2"/>
      <c r="D360" s="2"/>
      <c r="E360" s="77"/>
    </row>
    <row r="361">
      <c r="C361" s="2"/>
      <c r="D361" s="2"/>
      <c r="E361" s="77"/>
    </row>
    <row r="362">
      <c r="C362" s="2"/>
      <c r="D362" s="2"/>
      <c r="E362" s="77"/>
    </row>
    <row r="363">
      <c r="C363" s="2"/>
      <c r="D363" s="2"/>
      <c r="E363" s="77"/>
    </row>
    <row r="364">
      <c r="C364" s="2"/>
      <c r="D364" s="2"/>
      <c r="E364" s="77"/>
    </row>
    <row r="365">
      <c r="C365" s="2"/>
      <c r="D365" s="2"/>
      <c r="E365" s="77"/>
    </row>
    <row r="366">
      <c r="C366" s="2"/>
      <c r="D366" s="2"/>
      <c r="E366" s="77"/>
    </row>
    <row r="367">
      <c r="C367" s="2"/>
      <c r="D367" s="2"/>
      <c r="E367" s="77"/>
    </row>
    <row r="368">
      <c r="C368" s="2"/>
      <c r="D368" s="2"/>
      <c r="E368" s="77"/>
    </row>
    <row r="369">
      <c r="C369" s="2"/>
      <c r="D369" s="2"/>
      <c r="E369" s="77"/>
    </row>
    <row r="370">
      <c r="C370" s="2"/>
      <c r="D370" s="2"/>
      <c r="E370" s="77"/>
    </row>
    <row r="371">
      <c r="C371" s="2"/>
      <c r="D371" s="2"/>
      <c r="E371" s="77"/>
    </row>
    <row r="372">
      <c r="C372" s="2"/>
      <c r="D372" s="2"/>
      <c r="E372" s="77"/>
    </row>
    <row r="373">
      <c r="C373" s="2"/>
      <c r="D373" s="2"/>
      <c r="E373" s="77"/>
    </row>
    <row r="374">
      <c r="C374" s="2"/>
      <c r="D374" s="2"/>
      <c r="E374" s="77"/>
    </row>
    <row r="375">
      <c r="C375" s="2"/>
      <c r="D375" s="2"/>
      <c r="E375" s="77"/>
    </row>
    <row r="376">
      <c r="C376" s="2"/>
      <c r="D376" s="2"/>
      <c r="E376" s="77"/>
    </row>
    <row r="377">
      <c r="C377" s="2"/>
      <c r="D377" s="2"/>
      <c r="E377" s="77"/>
    </row>
    <row r="378">
      <c r="C378" s="2"/>
      <c r="D378" s="2"/>
      <c r="E378" s="77"/>
    </row>
    <row r="379">
      <c r="C379" s="2"/>
      <c r="D379" s="2"/>
      <c r="E379" s="77"/>
    </row>
    <row r="380">
      <c r="C380" s="2"/>
      <c r="D380" s="2"/>
      <c r="E380" s="77"/>
    </row>
    <row r="381">
      <c r="C381" s="2"/>
      <c r="D381" s="2"/>
      <c r="E381" s="77"/>
    </row>
    <row r="382">
      <c r="C382" s="2"/>
      <c r="D382" s="2"/>
      <c r="E382" s="77"/>
    </row>
    <row r="383">
      <c r="C383" s="2"/>
      <c r="D383" s="2"/>
      <c r="E383" s="77"/>
    </row>
    <row r="384">
      <c r="C384" s="2"/>
      <c r="D384" s="2"/>
      <c r="E384" s="77"/>
    </row>
    <row r="385">
      <c r="C385" s="2"/>
      <c r="D385" s="2"/>
      <c r="E385" s="77"/>
    </row>
    <row r="386">
      <c r="C386" s="2"/>
      <c r="D386" s="2"/>
      <c r="E386" s="77"/>
    </row>
    <row r="387">
      <c r="C387" s="2"/>
      <c r="D387" s="2"/>
      <c r="E387" s="77"/>
    </row>
    <row r="388">
      <c r="C388" s="2"/>
      <c r="D388" s="2"/>
      <c r="E388" s="77"/>
    </row>
    <row r="389">
      <c r="C389" s="2"/>
      <c r="D389" s="2"/>
      <c r="E389" s="77"/>
    </row>
    <row r="390">
      <c r="C390" s="2"/>
      <c r="D390" s="2"/>
      <c r="E390" s="77"/>
    </row>
    <row r="391">
      <c r="C391" s="2"/>
      <c r="D391" s="2"/>
      <c r="E391" s="77"/>
    </row>
    <row r="392">
      <c r="C392" s="2"/>
      <c r="D392" s="2"/>
      <c r="E392" s="77"/>
    </row>
    <row r="393">
      <c r="C393" s="2"/>
      <c r="D393" s="2"/>
      <c r="E393" s="77"/>
    </row>
    <row r="394">
      <c r="C394" s="2"/>
      <c r="D394" s="2"/>
      <c r="E394" s="77"/>
    </row>
    <row r="395">
      <c r="C395" s="2"/>
      <c r="D395" s="2"/>
      <c r="E395" s="77"/>
    </row>
    <row r="396">
      <c r="C396" s="2"/>
      <c r="D396" s="2"/>
      <c r="E396" s="77"/>
    </row>
    <row r="397">
      <c r="C397" s="2"/>
      <c r="D397" s="2"/>
      <c r="E397" s="77"/>
    </row>
    <row r="398">
      <c r="C398" s="2"/>
      <c r="D398" s="2"/>
      <c r="E398" s="77"/>
    </row>
    <row r="399">
      <c r="C399" s="2"/>
      <c r="D399" s="2"/>
      <c r="E399" s="77"/>
    </row>
    <row r="400">
      <c r="C400" s="2"/>
      <c r="D400" s="2"/>
      <c r="E400" s="77"/>
    </row>
    <row r="401">
      <c r="C401" s="2"/>
      <c r="D401" s="2"/>
      <c r="E401" s="77"/>
    </row>
    <row r="402">
      <c r="C402" s="2"/>
      <c r="D402" s="2"/>
      <c r="E402" s="77"/>
    </row>
    <row r="403">
      <c r="C403" s="2"/>
      <c r="D403" s="2"/>
      <c r="E403" s="77"/>
    </row>
    <row r="404">
      <c r="C404" s="2"/>
      <c r="D404" s="2"/>
      <c r="E404" s="77"/>
    </row>
    <row r="405">
      <c r="C405" s="2"/>
      <c r="D405" s="2"/>
      <c r="E405" s="77"/>
    </row>
    <row r="406">
      <c r="C406" s="2"/>
      <c r="D406" s="2"/>
      <c r="E406" s="77"/>
    </row>
    <row r="407">
      <c r="C407" s="2"/>
      <c r="D407" s="2"/>
      <c r="E407" s="77"/>
    </row>
    <row r="408">
      <c r="C408" s="2"/>
      <c r="D408" s="2"/>
      <c r="E408" s="77"/>
    </row>
    <row r="409">
      <c r="C409" s="2"/>
      <c r="D409" s="2"/>
      <c r="E409" s="77"/>
    </row>
    <row r="410">
      <c r="C410" s="2"/>
      <c r="D410" s="2"/>
      <c r="E410" s="77"/>
    </row>
    <row r="411">
      <c r="C411" s="2"/>
      <c r="D411" s="2"/>
      <c r="E411" s="77"/>
    </row>
    <row r="412">
      <c r="C412" s="2"/>
      <c r="D412" s="2"/>
      <c r="E412" s="77"/>
    </row>
    <row r="413">
      <c r="C413" s="2"/>
      <c r="D413" s="2"/>
      <c r="E413" s="77"/>
    </row>
    <row r="414">
      <c r="C414" s="2"/>
      <c r="D414" s="2"/>
      <c r="E414" s="77"/>
    </row>
    <row r="415">
      <c r="C415" s="2"/>
      <c r="D415" s="2"/>
      <c r="E415" s="77"/>
    </row>
    <row r="416">
      <c r="C416" s="2"/>
      <c r="D416" s="2"/>
      <c r="E416" s="77"/>
    </row>
    <row r="417">
      <c r="C417" s="2"/>
      <c r="D417" s="2"/>
      <c r="E417" s="77"/>
    </row>
    <row r="418">
      <c r="C418" s="2"/>
      <c r="D418" s="2"/>
      <c r="E418" s="77"/>
    </row>
    <row r="419">
      <c r="C419" s="2"/>
      <c r="D419" s="2"/>
      <c r="E419" s="77"/>
    </row>
    <row r="420">
      <c r="C420" s="2"/>
      <c r="D420" s="2"/>
      <c r="E420" s="77"/>
    </row>
    <row r="421">
      <c r="C421" s="2"/>
      <c r="D421" s="2"/>
      <c r="E421" s="77"/>
    </row>
    <row r="422">
      <c r="C422" s="2"/>
      <c r="D422" s="2"/>
      <c r="E422" s="77"/>
    </row>
    <row r="423">
      <c r="C423" s="2"/>
      <c r="D423" s="2"/>
      <c r="E423" s="77"/>
    </row>
    <row r="424">
      <c r="C424" s="2"/>
      <c r="D424" s="2"/>
      <c r="E424" s="77"/>
    </row>
    <row r="425">
      <c r="C425" s="2"/>
      <c r="D425" s="2"/>
      <c r="E425" s="77"/>
    </row>
    <row r="426">
      <c r="C426" s="2"/>
      <c r="D426" s="2"/>
      <c r="E426" s="77"/>
    </row>
    <row r="427">
      <c r="C427" s="2"/>
      <c r="D427" s="2"/>
      <c r="E427" s="77"/>
    </row>
    <row r="428">
      <c r="C428" s="2"/>
      <c r="D428" s="2"/>
      <c r="E428" s="77"/>
    </row>
    <row r="429">
      <c r="C429" s="2"/>
      <c r="D429" s="2"/>
      <c r="E429" s="77"/>
    </row>
    <row r="430">
      <c r="C430" s="2"/>
      <c r="D430" s="2"/>
      <c r="E430" s="77"/>
    </row>
    <row r="431">
      <c r="C431" s="2"/>
      <c r="D431" s="2"/>
      <c r="E431" s="77"/>
    </row>
    <row r="432">
      <c r="C432" s="2"/>
      <c r="D432" s="2"/>
      <c r="E432" s="77"/>
    </row>
    <row r="433">
      <c r="C433" s="2"/>
      <c r="D433" s="2"/>
      <c r="E433" s="77"/>
    </row>
    <row r="434">
      <c r="C434" s="2"/>
      <c r="D434" s="2"/>
      <c r="E434" s="77"/>
    </row>
    <row r="435">
      <c r="C435" s="2"/>
      <c r="D435" s="2"/>
      <c r="E435" s="77"/>
    </row>
    <row r="436">
      <c r="C436" s="2"/>
      <c r="D436" s="2"/>
      <c r="E436" s="77"/>
    </row>
    <row r="437">
      <c r="C437" s="2"/>
      <c r="D437" s="2"/>
      <c r="E437" s="77"/>
    </row>
    <row r="438">
      <c r="C438" s="2"/>
      <c r="D438" s="2"/>
      <c r="E438" s="77"/>
    </row>
    <row r="439">
      <c r="C439" s="2"/>
      <c r="D439" s="2"/>
      <c r="E439" s="77"/>
    </row>
    <row r="440">
      <c r="C440" s="2"/>
      <c r="D440" s="2"/>
      <c r="E440" s="77"/>
    </row>
    <row r="441">
      <c r="C441" s="2"/>
      <c r="D441" s="2"/>
      <c r="E441" s="77"/>
    </row>
    <row r="442">
      <c r="C442" s="2"/>
      <c r="D442" s="2"/>
      <c r="E442" s="77"/>
    </row>
    <row r="443">
      <c r="C443" s="2"/>
      <c r="D443" s="2"/>
      <c r="E443" s="77"/>
    </row>
    <row r="444">
      <c r="C444" s="2"/>
      <c r="D444" s="2"/>
      <c r="E444" s="77"/>
    </row>
    <row r="445">
      <c r="C445" s="2"/>
      <c r="D445" s="2"/>
      <c r="E445" s="77"/>
    </row>
    <row r="446">
      <c r="C446" s="2"/>
      <c r="D446" s="2"/>
      <c r="E446" s="77"/>
    </row>
    <row r="447">
      <c r="C447" s="2"/>
      <c r="D447" s="2"/>
      <c r="E447" s="77"/>
    </row>
    <row r="448">
      <c r="C448" s="2"/>
      <c r="D448" s="2"/>
      <c r="E448" s="77"/>
    </row>
    <row r="449">
      <c r="C449" s="2"/>
      <c r="D449" s="2"/>
      <c r="E449" s="77"/>
    </row>
    <row r="450">
      <c r="C450" s="2"/>
      <c r="D450" s="2"/>
      <c r="E450" s="77"/>
    </row>
    <row r="451">
      <c r="C451" s="2"/>
      <c r="D451" s="2"/>
      <c r="E451" s="77"/>
    </row>
    <row r="452">
      <c r="C452" s="2"/>
      <c r="D452" s="2"/>
      <c r="E452" s="77"/>
    </row>
    <row r="453">
      <c r="C453" s="2"/>
      <c r="D453" s="2"/>
      <c r="E453" s="77"/>
    </row>
    <row r="454">
      <c r="C454" s="2"/>
      <c r="D454" s="2"/>
      <c r="E454" s="77"/>
    </row>
    <row r="455">
      <c r="C455" s="2"/>
      <c r="D455" s="2"/>
      <c r="E455" s="77"/>
    </row>
    <row r="456">
      <c r="C456" s="2"/>
      <c r="D456" s="2"/>
      <c r="E456" s="77"/>
    </row>
    <row r="457">
      <c r="C457" s="2"/>
      <c r="D457" s="2"/>
      <c r="E457" s="77"/>
    </row>
    <row r="458">
      <c r="C458" s="2"/>
      <c r="D458" s="2"/>
      <c r="E458" s="77"/>
    </row>
    <row r="459">
      <c r="C459" s="2"/>
      <c r="D459" s="2"/>
      <c r="E459" s="77"/>
    </row>
    <row r="460">
      <c r="C460" s="2"/>
      <c r="D460" s="2"/>
      <c r="E460" s="77"/>
    </row>
    <row r="461">
      <c r="C461" s="2"/>
      <c r="D461" s="2"/>
      <c r="E461" s="77"/>
    </row>
    <row r="462">
      <c r="C462" s="2"/>
      <c r="D462" s="2"/>
      <c r="E462" s="77"/>
    </row>
    <row r="463">
      <c r="C463" s="2"/>
      <c r="D463" s="2"/>
      <c r="E463" s="77"/>
    </row>
    <row r="464">
      <c r="C464" s="2"/>
      <c r="D464" s="2"/>
      <c r="E464" s="77"/>
    </row>
    <row r="465">
      <c r="C465" s="2"/>
      <c r="D465" s="2"/>
      <c r="E465" s="77"/>
    </row>
    <row r="466">
      <c r="C466" s="2"/>
      <c r="D466" s="2"/>
      <c r="E466" s="77"/>
    </row>
    <row r="467">
      <c r="C467" s="2"/>
      <c r="D467" s="2"/>
      <c r="E467" s="77"/>
    </row>
    <row r="468">
      <c r="C468" s="2"/>
      <c r="D468" s="2"/>
      <c r="E468" s="77"/>
    </row>
    <row r="469">
      <c r="C469" s="2"/>
      <c r="D469" s="2"/>
      <c r="E469" s="77"/>
    </row>
    <row r="470">
      <c r="C470" s="2"/>
      <c r="D470" s="2"/>
      <c r="E470" s="77"/>
    </row>
    <row r="471">
      <c r="C471" s="2"/>
      <c r="D471" s="2"/>
      <c r="E471" s="77"/>
    </row>
    <row r="472">
      <c r="C472" s="2"/>
      <c r="D472" s="2"/>
      <c r="E472" s="77"/>
    </row>
    <row r="473">
      <c r="C473" s="2"/>
      <c r="D473" s="2"/>
      <c r="E473" s="77"/>
    </row>
    <row r="474">
      <c r="C474" s="2"/>
      <c r="D474" s="2"/>
      <c r="E474" s="77"/>
    </row>
    <row r="475">
      <c r="C475" s="2"/>
      <c r="D475" s="2"/>
      <c r="E475" s="77"/>
    </row>
    <row r="476">
      <c r="C476" s="2"/>
      <c r="D476" s="2"/>
      <c r="E476" s="77"/>
    </row>
    <row r="477">
      <c r="C477" s="2"/>
      <c r="D477" s="2"/>
      <c r="E477" s="77"/>
    </row>
    <row r="478">
      <c r="C478" s="2"/>
      <c r="D478" s="2"/>
      <c r="E478" s="77"/>
    </row>
    <row r="479">
      <c r="C479" s="2"/>
      <c r="D479" s="2"/>
      <c r="E479" s="77"/>
    </row>
    <row r="480">
      <c r="C480" s="2"/>
      <c r="D480" s="2"/>
      <c r="E480" s="77"/>
    </row>
    <row r="481">
      <c r="C481" s="2"/>
      <c r="D481" s="2"/>
      <c r="E481" s="77"/>
    </row>
    <row r="482">
      <c r="C482" s="2"/>
      <c r="D482" s="2"/>
      <c r="E482" s="77"/>
    </row>
    <row r="483">
      <c r="C483" s="2"/>
      <c r="D483" s="2"/>
      <c r="E483" s="77"/>
    </row>
    <row r="484">
      <c r="C484" s="2"/>
      <c r="D484" s="2"/>
      <c r="E484" s="77"/>
    </row>
    <row r="485">
      <c r="C485" s="2"/>
      <c r="D485" s="2"/>
      <c r="E485" s="77"/>
    </row>
    <row r="486">
      <c r="C486" s="2"/>
      <c r="D486" s="2"/>
      <c r="E486" s="77"/>
    </row>
    <row r="487">
      <c r="C487" s="2"/>
      <c r="D487" s="2"/>
      <c r="E487" s="77"/>
    </row>
    <row r="488">
      <c r="C488" s="2"/>
      <c r="D488" s="2"/>
      <c r="E488" s="77"/>
    </row>
    <row r="489">
      <c r="C489" s="2"/>
      <c r="D489" s="2"/>
      <c r="E489" s="77"/>
    </row>
    <row r="490">
      <c r="C490" s="2"/>
      <c r="D490" s="2"/>
      <c r="E490" s="77"/>
    </row>
    <row r="491">
      <c r="C491" s="2"/>
      <c r="D491" s="2"/>
      <c r="E491" s="77"/>
    </row>
    <row r="492">
      <c r="C492" s="2"/>
      <c r="D492" s="2"/>
      <c r="E492" s="77"/>
    </row>
    <row r="493">
      <c r="C493" s="2"/>
      <c r="D493" s="2"/>
      <c r="E493" s="77"/>
    </row>
    <row r="494">
      <c r="C494" s="2"/>
      <c r="D494" s="2"/>
      <c r="E494" s="77"/>
    </row>
    <row r="495">
      <c r="C495" s="2"/>
      <c r="D495" s="2"/>
      <c r="E495" s="77"/>
    </row>
    <row r="496">
      <c r="C496" s="2"/>
      <c r="D496" s="2"/>
      <c r="E496" s="77"/>
    </row>
    <row r="497">
      <c r="C497" s="2"/>
      <c r="D497" s="2"/>
      <c r="E497" s="77"/>
    </row>
    <row r="498">
      <c r="C498" s="2"/>
      <c r="D498" s="2"/>
      <c r="E498" s="77"/>
    </row>
    <row r="499">
      <c r="C499" s="2"/>
      <c r="D499" s="2"/>
      <c r="E499" s="77"/>
    </row>
    <row r="500">
      <c r="C500" s="2"/>
      <c r="D500" s="2"/>
      <c r="E500" s="77"/>
    </row>
    <row r="501">
      <c r="C501" s="2"/>
      <c r="D501" s="2"/>
      <c r="E501" s="77"/>
    </row>
    <row r="502">
      <c r="C502" s="2"/>
      <c r="D502" s="2"/>
      <c r="E502" s="77"/>
    </row>
    <row r="503">
      <c r="C503" s="2"/>
      <c r="D503" s="2"/>
      <c r="E503" s="77"/>
    </row>
    <row r="504">
      <c r="C504" s="2"/>
      <c r="D504" s="2"/>
      <c r="E504" s="77"/>
    </row>
    <row r="505">
      <c r="C505" s="2"/>
      <c r="D505" s="2"/>
      <c r="E505" s="77"/>
    </row>
    <row r="506">
      <c r="C506" s="2"/>
      <c r="D506" s="2"/>
      <c r="E506" s="77"/>
    </row>
    <row r="507">
      <c r="C507" s="2"/>
      <c r="D507" s="2"/>
      <c r="E507" s="77"/>
    </row>
    <row r="508">
      <c r="C508" s="2"/>
      <c r="D508" s="2"/>
      <c r="E508" s="77"/>
    </row>
    <row r="509">
      <c r="C509" s="2"/>
      <c r="D509" s="2"/>
      <c r="E509" s="77"/>
    </row>
    <row r="510">
      <c r="C510" s="2"/>
      <c r="D510" s="2"/>
      <c r="E510" s="77"/>
    </row>
    <row r="511">
      <c r="C511" s="2"/>
      <c r="D511" s="2"/>
      <c r="E511" s="77"/>
    </row>
    <row r="512">
      <c r="C512" s="2"/>
      <c r="D512" s="2"/>
      <c r="E512" s="77"/>
    </row>
    <row r="513">
      <c r="C513" s="2"/>
      <c r="D513" s="2"/>
      <c r="E513" s="77"/>
    </row>
    <row r="514">
      <c r="C514" s="2"/>
      <c r="D514" s="2"/>
      <c r="E514" s="77"/>
    </row>
    <row r="515">
      <c r="C515" s="2"/>
      <c r="D515" s="2"/>
      <c r="E515" s="77"/>
    </row>
    <row r="516">
      <c r="C516" s="2"/>
      <c r="D516" s="2"/>
      <c r="E516" s="77"/>
    </row>
    <row r="517">
      <c r="C517" s="2"/>
      <c r="D517" s="2"/>
      <c r="E517" s="77"/>
    </row>
    <row r="518">
      <c r="C518" s="2"/>
      <c r="D518" s="2"/>
      <c r="E518" s="77"/>
    </row>
    <row r="519">
      <c r="C519" s="2"/>
      <c r="D519" s="2"/>
      <c r="E519" s="77"/>
    </row>
    <row r="520">
      <c r="C520" s="2"/>
      <c r="D520" s="2"/>
      <c r="E520" s="77"/>
    </row>
    <row r="521">
      <c r="C521" s="2"/>
      <c r="D521" s="2"/>
      <c r="E521" s="77"/>
    </row>
    <row r="522">
      <c r="C522" s="2"/>
      <c r="D522" s="2"/>
      <c r="E522" s="77"/>
    </row>
    <row r="523">
      <c r="C523" s="2"/>
      <c r="D523" s="2"/>
      <c r="E523" s="77"/>
    </row>
    <row r="524">
      <c r="C524" s="2"/>
      <c r="D524" s="2"/>
      <c r="E524" s="77"/>
    </row>
    <row r="525">
      <c r="C525" s="2"/>
      <c r="D525" s="2"/>
      <c r="E525" s="77"/>
    </row>
    <row r="526">
      <c r="C526" s="2"/>
      <c r="D526" s="2"/>
      <c r="E526" s="77"/>
    </row>
    <row r="527">
      <c r="C527" s="2"/>
      <c r="D527" s="2"/>
      <c r="E527" s="77"/>
    </row>
    <row r="528">
      <c r="C528" s="2"/>
      <c r="D528" s="2"/>
      <c r="E528" s="77"/>
    </row>
    <row r="529">
      <c r="C529" s="2"/>
      <c r="D529" s="2"/>
      <c r="E529" s="77"/>
    </row>
    <row r="530">
      <c r="C530" s="2"/>
      <c r="D530" s="2"/>
      <c r="E530" s="77"/>
    </row>
    <row r="531">
      <c r="C531" s="2"/>
      <c r="D531" s="2"/>
      <c r="E531" s="77"/>
    </row>
    <row r="532">
      <c r="C532" s="2"/>
      <c r="D532" s="2"/>
      <c r="E532" s="77"/>
    </row>
    <row r="533">
      <c r="C533" s="2"/>
      <c r="D533" s="2"/>
      <c r="E533" s="77"/>
    </row>
    <row r="534">
      <c r="C534" s="2"/>
      <c r="D534" s="2"/>
      <c r="E534" s="77"/>
    </row>
    <row r="535">
      <c r="C535" s="2"/>
      <c r="D535" s="2"/>
      <c r="E535" s="77"/>
    </row>
    <row r="536">
      <c r="C536" s="2"/>
      <c r="D536" s="2"/>
      <c r="E536" s="77"/>
    </row>
    <row r="537">
      <c r="C537" s="2"/>
      <c r="D537" s="2"/>
      <c r="E537" s="77"/>
    </row>
    <row r="538">
      <c r="C538" s="2"/>
      <c r="D538" s="2"/>
      <c r="E538" s="77"/>
    </row>
    <row r="539">
      <c r="C539" s="2"/>
      <c r="D539" s="2"/>
      <c r="E539" s="77"/>
    </row>
    <row r="540">
      <c r="C540" s="2"/>
      <c r="D540" s="2"/>
      <c r="E540" s="77"/>
    </row>
    <row r="541">
      <c r="C541" s="2"/>
      <c r="D541" s="2"/>
      <c r="E541" s="77"/>
    </row>
    <row r="542">
      <c r="C542" s="2"/>
      <c r="D542" s="2"/>
      <c r="E542" s="77"/>
    </row>
    <row r="543">
      <c r="C543" s="2"/>
      <c r="D543" s="2"/>
      <c r="E543" s="77"/>
    </row>
    <row r="544">
      <c r="C544" s="2"/>
      <c r="D544" s="2"/>
      <c r="E544" s="77"/>
    </row>
    <row r="545">
      <c r="C545" s="2"/>
      <c r="D545" s="2"/>
      <c r="E545" s="77"/>
    </row>
    <row r="546">
      <c r="C546" s="2"/>
      <c r="D546" s="2"/>
      <c r="E546" s="77"/>
    </row>
    <row r="547">
      <c r="C547" s="2"/>
      <c r="D547" s="2"/>
      <c r="E547" s="77"/>
    </row>
    <row r="548">
      <c r="C548" s="2"/>
      <c r="D548" s="2"/>
      <c r="E548" s="77"/>
    </row>
    <row r="549">
      <c r="C549" s="2"/>
      <c r="D549" s="2"/>
      <c r="E549" s="77"/>
    </row>
    <row r="550">
      <c r="C550" s="2"/>
      <c r="D550" s="2"/>
      <c r="E550" s="77"/>
    </row>
    <row r="551">
      <c r="C551" s="2"/>
      <c r="D551" s="2"/>
      <c r="E551" s="77"/>
    </row>
    <row r="552">
      <c r="C552" s="2"/>
      <c r="D552" s="2"/>
      <c r="E552" s="77"/>
    </row>
    <row r="553">
      <c r="C553" s="2"/>
      <c r="D553" s="2"/>
      <c r="E553" s="77"/>
    </row>
    <row r="554">
      <c r="C554" s="2"/>
      <c r="D554" s="2"/>
      <c r="E554" s="77"/>
    </row>
    <row r="555">
      <c r="C555" s="2"/>
      <c r="D555" s="2"/>
      <c r="E555" s="77"/>
    </row>
    <row r="556">
      <c r="C556" s="2"/>
      <c r="D556" s="2"/>
      <c r="E556" s="77"/>
    </row>
    <row r="557">
      <c r="C557" s="2"/>
      <c r="D557" s="2"/>
      <c r="E557" s="77"/>
    </row>
    <row r="558">
      <c r="C558" s="2"/>
      <c r="D558" s="2"/>
      <c r="E558" s="77"/>
    </row>
    <row r="559">
      <c r="C559" s="2"/>
      <c r="D559" s="2"/>
      <c r="E559" s="77"/>
    </row>
    <row r="560">
      <c r="C560" s="2"/>
      <c r="D560" s="2"/>
      <c r="E560" s="77"/>
    </row>
    <row r="561">
      <c r="C561" s="2"/>
      <c r="D561" s="2"/>
      <c r="E561" s="77"/>
    </row>
    <row r="562">
      <c r="C562" s="2"/>
      <c r="D562" s="2"/>
      <c r="E562" s="77"/>
    </row>
    <row r="563">
      <c r="C563" s="2"/>
      <c r="D563" s="2"/>
      <c r="E563" s="77"/>
    </row>
    <row r="564">
      <c r="C564" s="2"/>
      <c r="D564" s="2"/>
      <c r="E564" s="77"/>
    </row>
    <row r="565">
      <c r="C565" s="2"/>
      <c r="D565" s="2"/>
      <c r="E565" s="77"/>
    </row>
    <row r="566">
      <c r="C566" s="2"/>
      <c r="D566" s="2"/>
      <c r="E566" s="77"/>
    </row>
    <row r="567">
      <c r="C567" s="2"/>
      <c r="D567" s="2"/>
      <c r="E567" s="77"/>
    </row>
    <row r="568">
      <c r="C568" s="2"/>
      <c r="D568" s="2"/>
      <c r="E568" s="77"/>
    </row>
    <row r="569">
      <c r="C569" s="2"/>
      <c r="D569" s="2"/>
      <c r="E569" s="77"/>
    </row>
    <row r="570">
      <c r="C570" s="2"/>
      <c r="D570" s="2"/>
      <c r="E570" s="77"/>
    </row>
    <row r="571">
      <c r="C571" s="2"/>
      <c r="D571" s="2"/>
      <c r="E571" s="77"/>
    </row>
    <row r="572">
      <c r="C572" s="2"/>
      <c r="D572" s="2"/>
      <c r="E572" s="77"/>
    </row>
    <row r="573">
      <c r="C573" s="2"/>
      <c r="D573" s="2"/>
      <c r="E573" s="77"/>
    </row>
    <row r="574">
      <c r="C574" s="2"/>
      <c r="D574" s="2"/>
      <c r="E574" s="77"/>
    </row>
    <row r="575">
      <c r="C575" s="2"/>
      <c r="D575" s="2"/>
      <c r="E575" s="77"/>
    </row>
    <row r="576">
      <c r="C576" s="2"/>
      <c r="D576" s="2"/>
      <c r="E576" s="77"/>
    </row>
    <row r="577">
      <c r="C577" s="2"/>
      <c r="D577" s="2"/>
      <c r="E577" s="77"/>
    </row>
    <row r="578">
      <c r="C578" s="2"/>
      <c r="D578" s="2"/>
      <c r="E578" s="77"/>
    </row>
    <row r="579">
      <c r="C579" s="2"/>
      <c r="D579" s="2"/>
      <c r="E579" s="77"/>
    </row>
    <row r="580">
      <c r="C580" s="2"/>
      <c r="D580" s="2"/>
      <c r="E580" s="77"/>
    </row>
    <row r="581">
      <c r="C581" s="2"/>
      <c r="D581" s="2"/>
      <c r="E581" s="77"/>
    </row>
    <row r="582">
      <c r="C582" s="2"/>
      <c r="D582" s="2"/>
      <c r="E582" s="77"/>
    </row>
    <row r="583">
      <c r="C583" s="2"/>
      <c r="D583" s="2"/>
      <c r="E583" s="77"/>
    </row>
    <row r="584">
      <c r="C584" s="2"/>
      <c r="D584" s="2"/>
      <c r="E584" s="77"/>
    </row>
    <row r="585">
      <c r="C585" s="2"/>
      <c r="D585" s="2"/>
      <c r="E585" s="77"/>
    </row>
    <row r="586">
      <c r="C586" s="2"/>
      <c r="D586" s="2"/>
      <c r="E586" s="77"/>
    </row>
    <row r="587">
      <c r="C587" s="2"/>
      <c r="D587" s="2"/>
      <c r="E587" s="77"/>
    </row>
    <row r="588">
      <c r="C588" s="2"/>
      <c r="D588" s="2"/>
      <c r="E588" s="77"/>
    </row>
    <row r="589">
      <c r="C589" s="2"/>
      <c r="D589" s="2"/>
      <c r="E589" s="77"/>
    </row>
    <row r="590">
      <c r="C590" s="2"/>
      <c r="D590" s="2"/>
      <c r="E590" s="77"/>
    </row>
    <row r="591">
      <c r="C591" s="2"/>
      <c r="D591" s="2"/>
      <c r="E591" s="77"/>
    </row>
    <row r="592">
      <c r="C592" s="2"/>
      <c r="D592" s="2"/>
      <c r="E592" s="77"/>
    </row>
    <row r="593">
      <c r="C593" s="2"/>
      <c r="D593" s="2"/>
      <c r="E593" s="77"/>
    </row>
    <row r="594">
      <c r="C594" s="2"/>
      <c r="D594" s="2"/>
      <c r="E594" s="77"/>
    </row>
    <row r="595">
      <c r="C595" s="2"/>
      <c r="D595" s="2"/>
      <c r="E595" s="77"/>
    </row>
    <row r="596">
      <c r="C596" s="2"/>
      <c r="D596" s="2"/>
      <c r="E596" s="77"/>
    </row>
    <row r="597">
      <c r="C597" s="2"/>
      <c r="D597" s="2"/>
      <c r="E597" s="77"/>
    </row>
    <row r="598">
      <c r="C598" s="2"/>
      <c r="D598" s="2"/>
      <c r="E598" s="77"/>
    </row>
    <row r="599">
      <c r="C599" s="2"/>
      <c r="D599" s="2"/>
      <c r="E599" s="77"/>
    </row>
    <row r="600">
      <c r="C600" s="2"/>
      <c r="D600" s="2"/>
      <c r="E600" s="77"/>
    </row>
    <row r="601">
      <c r="C601" s="2"/>
      <c r="D601" s="2"/>
      <c r="E601" s="77"/>
    </row>
    <row r="602">
      <c r="C602" s="2"/>
      <c r="D602" s="2"/>
      <c r="E602" s="77"/>
    </row>
    <row r="603">
      <c r="C603" s="2"/>
      <c r="D603" s="2"/>
      <c r="E603" s="77"/>
    </row>
    <row r="604">
      <c r="C604" s="2"/>
      <c r="D604" s="2"/>
      <c r="E604" s="77"/>
    </row>
    <row r="605">
      <c r="C605" s="2"/>
      <c r="D605" s="2"/>
      <c r="E605" s="77"/>
    </row>
    <row r="606">
      <c r="C606" s="2"/>
      <c r="D606" s="2"/>
      <c r="E606" s="77"/>
    </row>
    <row r="607">
      <c r="C607" s="2"/>
      <c r="D607" s="2"/>
      <c r="E607" s="77"/>
    </row>
    <row r="608">
      <c r="C608" s="2"/>
      <c r="D608" s="2"/>
      <c r="E608" s="77"/>
    </row>
    <row r="609">
      <c r="C609" s="2"/>
      <c r="D609" s="2"/>
      <c r="E609" s="77"/>
    </row>
    <row r="610">
      <c r="C610" s="2"/>
      <c r="D610" s="2"/>
      <c r="E610" s="77"/>
    </row>
    <row r="611">
      <c r="C611" s="2"/>
      <c r="D611" s="2"/>
      <c r="E611" s="77"/>
    </row>
    <row r="612">
      <c r="C612" s="2"/>
      <c r="D612" s="2"/>
      <c r="E612" s="77"/>
    </row>
    <row r="613">
      <c r="C613" s="2"/>
      <c r="D613" s="2"/>
      <c r="E613" s="77"/>
    </row>
    <row r="614">
      <c r="C614" s="2"/>
      <c r="D614" s="2"/>
      <c r="E614" s="77"/>
    </row>
    <row r="615">
      <c r="C615" s="2"/>
      <c r="D615" s="2"/>
      <c r="E615" s="77"/>
    </row>
    <row r="616">
      <c r="C616" s="2"/>
      <c r="D616" s="2"/>
      <c r="E616" s="77"/>
    </row>
    <row r="617">
      <c r="C617" s="2"/>
      <c r="D617" s="2"/>
      <c r="E617" s="77"/>
    </row>
    <row r="618">
      <c r="C618" s="2"/>
      <c r="D618" s="2"/>
      <c r="E618" s="77"/>
    </row>
    <row r="619">
      <c r="C619" s="2"/>
      <c r="D619" s="2"/>
      <c r="E619" s="77"/>
    </row>
    <row r="620">
      <c r="C620" s="2"/>
      <c r="D620" s="2"/>
      <c r="E620" s="77"/>
    </row>
    <row r="621">
      <c r="C621" s="2"/>
      <c r="D621" s="2"/>
      <c r="E621" s="77"/>
    </row>
    <row r="622">
      <c r="C622" s="2"/>
      <c r="D622" s="2"/>
      <c r="E622" s="77"/>
    </row>
    <row r="623">
      <c r="C623" s="2"/>
      <c r="D623" s="2"/>
      <c r="E623" s="77"/>
    </row>
    <row r="624">
      <c r="C624" s="2"/>
      <c r="D624" s="2"/>
      <c r="E624" s="77"/>
    </row>
    <row r="625">
      <c r="C625" s="2"/>
      <c r="D625" s="2"/>
      <c r="E625" s="77"/>
    </row>
    <row r="626">
      <c r="C626" s="2"/>
      <c r="D626" s="2"/>
      <c r="E626" s="77"/>
    </row>
    <row r="627">
      <c r="C627" s="2"/>
      <c r="D627" s="2"/>
      <c r="E627" s="77"/>
    </row>
    <row r="628">
      <c r="C628" s="2"/>
      <c r="D628" s="2"/>
      <c r="E628" s="77"/>
    </row>
    <row r="629">
      <c r="C629" s="2"/>
      <c r="D629" s="2"/>
      <c r="E629" s="77"/>
    </row>
    <row r="630">
      <c r="C630" s="2"/>
      <c r="D630" s="2"/>
      <c r="E630" s="77"/>
    </row>
    <row r="631">
      <c r="C631" s="2"/>
      <c r="D631" s="2"/>
      <c r="E631" s="77"/>
    </row>
    <row r="632">
      <c r="C632" s="2"/>
      <c r="D632" s="2"/>
      <c r="E632" s="77"/>
    </row>
    <row r="633">
      <c r="C633" s="2"/>
      <c r="D633" s="2"/>
      <c r="E633" s="77"/>
    </row>
    <row r="634">
      <c r="C634" s="2"/>
      <c r="D634" s="2"/>
      <c r="E634" s="77"/>
    </row>
    <row r="635">
      <c r="C635" s="2"/>
      <c r="D635" s="2"/>
      <c r="E635" s="77"/>
    </row>
    <row r="636">
      <c r="C636" s="2"/>
      <c r="D636" s="2"/>
      <c r="E636" s="77"/>
    </row>
    <row r="637">
      <c r="C637" s="2"/>
      <c r="D637" s="2"/>
      <c r="E637" s="77"/>
    </row>
    <row r="638">
      <c r="C638" s="2"/>
      <c r="D638" s="2"/>
      <c r="E638" s="77"/>
    </row>
    <row r="639">
      <c r="C639" s="2"/>
      <c r="D639" s="2"/>
      <c r="E639" s="77"/>
    </row>
    <row r="640">
      <c r="C640" s="2"/>
      <c r="D640" s="2"/>
      <c r="E640" s="77"/>
    </row>
    <row r="641">
      <c r="C641" s="2"/>
      <c r="D641" s="2"/>
      <c r="E641" s="77"/>
    </row>
    <row r="642">
      <c r="C642" s="2"/>
      <c r="D642" s="2"/>
      <c r="E642" s="77"/>
    </row>
    <row r="643">
      <c r="C643" s="2"/>
      <c r="D643" s="2"/>
      <c r="E643" s="77"/>
    </row>
    <row r="644">
      <c r="C644" s="2"/>
      <c r="D644" s="2"/>
      <c r="E644" s="77"/>
    </row>
    <row r="645">
      <c r="C645" s="2"/>
      <c r="D645" s="2"/>
      <c r="E645" s="77"/>
    </row>
    <row r="646">
      <c r="C646" s="2"/>
      <c r="D646" s="2"/>
      <c r="E646" s="77"/>
    </row>
    <row r="647">
      <c r="C647" s="2"/>
      <c r="D647" s="2"/>
      <c r="E647" s="77"/>
    </row>
    <row r="648">
      <c r="C648" s="2"/>
      <c r="D648" s="2"/>
      <c r="E648" s="77"/>
    </row>
    <row r="649">
      <c r="C649" s="2"/>
      <c r="D649" s="2"/>
      <c r="E649" s="77"/>
    </row>
    <row r="650">
      <c r="C650" s="2"/>
      <c r="D650" s="2"/>
      <c r="E650" s="77"/>
    </row>
    <row r="651">
      <c r="C651" s="2"/>
      <c r="D651" s="2"/>
      <c r="E651" s="77"/>
    </row>
    <row r="652">
      <c r="C652" s="2"/>
      <c r="D652" s="2"/>
      <c r="E652" s="77"/>
    </row>
    <row r="653">
      <c r="C653" s="2"/>
      <c r="D653" s="2"/>
      <c r="E653" s="77"/>
    </row>
    <row r="654">
      <c r="C654" s="2"/>
      <c r="D654" s="2"/>
      <c r="E654" s="77"/>
    </row>
    <row r="655">
      <c r="C655" s="2"/>
      <c r="D655" s="2"/>
      <c r="E655" s="77"/>
    </row>
    <row r="656">
      <c r="C656" s="2"/>
      <c r="D656" s="2"/>
      <c r="E656" s="77"/>
    </row>
    <row r="657">
      <c r="C657" s="2"/>
      <c r="D657" s="2"/>
      <c r="E657" s="77"/>
    </row>
    <row r="658">
      <c r="C658" s="2"/>
      <c r="D658" s="2"/>
      <c r="E658" s="77"/>
    </row>
    <row r="659">
      <c r="C659" s="2"/>
      <c r="D659" s="2"/>
      <c r="E659" s="77"/>
    </row>
    <row r="660">
      <c r="C660" s="2"/>
      <c r="D660" s="2"/>
      <c r="E660" s="77"/>
    </row>
    <row r="661">
      <c r="C661" s="2"/>
      <c r="D661" s="2"/>
      <c r="E661" s="77"/>
    </row>
    <row r="662">
      <c r="C662" s="2"/>
      <c r="D662" s="2"/>
      <c r="E662" s="77"/>
    </row>
    <row r="663">
      <c r="C663" s="2"/>
      <c r="D663" s="2"/>
      <c r="E663" s="77"/>
    </row>
    <row r="664">
      <c r="C664" s="2"/>
      <c r="D664" s="2"/>
      <c r="E664" s="77"/>
    </row>
    <row r="665">
      <c r="C665" s="2"/>
      <c r="D665" s="2"/>
      <c r="E665" s="77"/>
    </row>
    <row r="666">
      <c r="C666" s="2"/>
      <c r="D666" s="2"/>
      <c r="E666" s="77"/>
    </row>
    <row r="667">
      <c r="C667" s="2"/>
      <c r="D667" s="2"/>
      <c r="E667" s="77"/>
    </row>
    <row r="668">
      <c r="C668" s="2"/>
      <c r="D668" s="2"/>
      <c r="E668" s="77"/>
    </row>
    <row r="669">
      <c r="C669" s="2"/>
      <c r="D669" s="2"/>
      <c r="E669" s="77"/>
    </row>
    <row r="670">
      <c r="C670" s="2"/>
      <c r="D670" s="2"/>
      <c r="E670" s="77"/>
    </row>
    <row r="671">
      <c r="C671" s="2"/>
      <c r="D671" s="2"/>
      <c r="E671" s="77"/>
    </row>
    <row r="672">
      <c r="C672" s="2"/>
      <c r="D672" s="2"/>
      <c r="E672" s="77"/>
    </row>
    <row r="673">
      <c r="C673" s="2"/>
      <c r="D673" s="2"/>
      <c r="E673" s="77"/>
    </row>
    <row r="674">
      <c r="C674" s="2"/>
      <c r="D674" s="2"/>
      <c r="E674" s="77"/>
    </row>
    <row r="675">
      <c r="C675" s="2"/>
      <c r="D675" s="2"/>
      <c r="E675" s="77"/>
    </row>
    <row r="676">
      <c r="C676" s="2"/>
      <c r="D676" s="2"/>
      <c r="E676" s="77"/>
    </row>
    <row r="677">
      <c r="C677" s="2"/>
      <c r="D677" s="2"/>
      <c r="E677" s="77"/>
    </row>
    <row r="678">
      <c r="C678" s="2"/>
      <c r="D678" s="2"/>
      <c r="E678" s="77"/>
    </row>
    <row r="679">
      <c r="C679" s="2"/>
      <c r="D679" s="2"/>
      <c r="E679" s="77"/>
    </row>
    <row r="680">
      <c r="C680" s="2"/>
      <c r="D680" s="2"/>
      <c r="E680" s="77"/>
    </row>
    <row r="681">
      <c r="C681" s="2"/>
      <c r="D681" s="2"/>
      <c r="E681" s="77"/>
    </row>
    <row r="682">
      <c r="C682" s="2"/>
      <c r="D682" s="2"/>
      <c r="E682" s="77"/>
    </row>
    <row r="683">
      <c r="C683" s="2"/>
      <c r="D683" s="2"/>
      <c r="E683" s="77"/>
    </row>
    <row r="684">
      <c r="C684" s="2"/>
      <c r="D684" s="2"/>
      <c r="E684" s="77"/>
    </row>
    <row r="685">
      <c r="C685" s="2"/>
      <c r="D685" s="2"/>
      <c r="E685" s="77"/>
    </row>
    <row r="686">
      <c r="C686" s="2"/>
      <c r="D686" s="2"/>
      <c r="E686" s="77"/>
    </row>
    <row r="687">
      <c r="C687" s="2"/>
      <c r="D687" s="2"/>
      <c r="E687" s="77"/>
    </row>
    <row r="688">
      <c r="C688" s="2"/>
      <c r="D688" s="2"/>
      <c r="E688" s="77"/>
    </row>
    <row r="689">
      <c r="C689" s="2"/>
      <c r="D689" s="2"/>
      <c r="E689" s="77"/>
    </row>
    <row r="690">
      <c r="C690" s="2"/>
      <c r="D690" s="2"/>
      <c r="E690" s="77"/>
    </row>
    <row r="691">
      <c r="C691" s="2"/>
      <c r="D691" s="2"/>
      <c r="E691" s="77"/>
    </row>
    <row r="692">
      <c r="C692" s="2"/>
      <c r="D692" s="2"/>
      <c r="E692" s="77"/>
    </row>
    <row r="693">
      <c r="C693" s="2"/>
      <c r="D693" s="2"/>
      <c r="E693" s="77"/>
    </row>
    <row r="694">
      <c r="C694" s="2"/>
      <c r="D694" s="2"/>
      <c r="E694" s="77"/>
    </row>
    <row r="695">
      <c r="C695" s="2"/>
      <c r="D695" s="2"/>
      <c r="E695" s="77"/>
    </row>
    <row r="696">
      <c r="C696" s="2"/>
      <c r="D696" s="2"/>
      <c r="E696" s="77"/>
    </row>
    <row r="697">
      <c r="C697" s="2"/>
      <c r="D697" s="2"/>
      <c r="E697" s="77"/>
    </row>
    <row r="698">
      <c r="C698" s="2"/>
      <c r="D698" s="2"/>
      <c r="E698" s="77"/>
    </row>
    <row r="699">
      <c r="C699" s="2"/>
      <c r="D699" s="2"/>
      <c r="E699" s="77"/>
    </row>
    <row r="700">
      <c r="C700" s="2"/>
      <c r="D700" s="2"/>
      <c r="E700" s="77"/>
    </row>
    <row r="701">
      <c r="C701" s="2"/>
      <c r="D701" s="2"/>
      <c r="E701" s="77"/>
    </row>
    <row r="702">
      <c r="C702" s="2"/>
      <c r="D702" s="2"/>
      <c r="E702" s="77"/>
    </row>
    <row r="703">
      <c r="C703" s="2"/>
      <c r="D703" s="2"/>
      <c r="E703" s="77"/>
    </row>
    <row r="704">
      <c r="C704" s="2"/>
      <c r="D704" s="2"/>
      <c r="E704" s="77"/>
    </row>
    <row r="705">
      <c r="C705" s="2"/>
      <c r="D705" s="2"/>
      <c r="E705" s="77"/>
    </row>
    <row r="706">
      <c r="C706" s="2"/>
      <c r="D706" s="2"/>
      <c r="E706" s="77"/>
    </row>
    <row r="707">
      <c r="C707" s="2"/>
      <c r="D707" s="2"/>
      <c r="E707" s="77"/>
    </row>
    <row r="708">
      <c r="C708" s="2"/>
      <c r="D708" s="2"/>
      <c r="E708" s="77"/>
    </row>
    <row r="709">
      <c r="C709" s="2"/>
      <c r="D709" s="2"/>
      <c r="E709" s="77"/>
    </row>
    <row r="710">
      <c r="C710" s="2"/>
      <c r="D710" s="2"/>
      <c r="E710" s="77"/>
    </row>
    <row r="711">
      <c r="C711" s="2"/>
      <c r="D711" s="2"/>
      <c r="E711" s="77"/>
    </row>
    <row r="712">
      <c r="C712" s="2"/>
      <c r="D712" s="2"/>
      <c r="E712" s="77"/>
    </row>
    <row r="713">
      <c r="C713" s="2"/>
      <c r="D713" s="2"/>
      <c r="E713" s="77"/>
    </row>
    <row r="714">
      <c r="C714" s="2"/>
      <c r="D714" s="2"/>
      <c r="E714" s="77"/>
    </row>
    <row r="715">
      <c r="C715" s="2"/>
      <c r="D715" s="2"/>
      <c r="E715" s="77"/>
    </row>
    <row r="716">
      <c r="C716" s="2"/>
      <c r="D716" s="2"/>
      <c r="E716" s="77"/>
    </row>
    <row r="717">
      <c r="C717" s="2"/>
      <c r="D717" s="2"/>
      <c r="E717" s="77"/>
    </row>
    <row r="718">
      <c r="C718" s="2"/>
      <c r="D718" s="2"/>
      <c r="E718" s="77"/>
    </row>
    <row r="719">
      <c r="C719" s="2"/>
      <c r="D719" s="2"/>
      <c r="E719" s="77"/>
    </row>
    <row r="720">
      <c r="C720" s="2"/>
      <c r="D720" s="2"/>
      <c r="E720" s="77"/>
    </row>
    <row r="721">
      <c r="C721" s="2"/>
      <c r="D721" s="2"/>
      <c r="E721" s="77"/>
    </row>
    <row r="722">
      <c r="C722" s="2"/>
      <c r="D722" s="2"/>
      <c r="E722" s="77"/>
    </row>
    <row r="723">
      <c r="C723" s="2"/>
      <c r="D723" s="2"/>
      <c r="E723" s="77"/>
    </row>
    <row r="724">
      <c r="C724" s="2"/>
      <c r="D724" s="2"/>
      <c r="E724" s="77"/>
    </row>
    <row r="725">
      <c r="C725" s="2"/>
      <c r="D725" s="2"/>
      <c r="E725" s="77"/>
    </row>
    <row r="726">
      <c r="C726" s="2"/>
      <c r="D726" s="2"/>
      <c r="E726" s="77"/>
    </row>
    <row r="727">
      <c r="C727" s="2"/>
      <c r="D727" s="2"/>
      <c r="E727" s="77"/>
    </row>
    <row r="728">
      <c r="C728" s="2"/>
      <c r="D728" s="2"/>
      <c r="E728" s="77"/>
    </row>
    <row r="729">
      <c r="C729" s="2"/>
      <c r="D729" s="2"/>
      <c r="E729" s="77"/>
    </row>
    <row r="730">
      <c r="C730" s="2"/>
      <c r="D730" s="2"/>
      <c r="E730" s="77"/>
    </row>
    <row r="731">
      <c r="C731" s="2"/>
      <c r="D731" s="2"/>
      <c r="E731" s="77"/>
    </row>
    <row r="732">
      <c r="C732" s="2"/>
      <c r="D732" s="2"/>
      <c r="E732" s="77"/>
    </row>
    <row r="733">
      <c r="C733" s="2"/>
      <c r="D733" s="2"/>
      <c r="E733" s="77"/>
    </row>
    <row r="734">
      <c r="C734" s="2"/>
      <c r="D734" s="2"/>
      <c r="E734" s="77"/>
    </row>
    <row r="735">
      <c r="C735" s="2"/>
      <c r="D735" s="2"/>
      <c r="E735" s="77"/>
    </row>
    <row r="736">
      <c r="C736" s="2"/>
      <c r="D736" s="2"/>
      <c r="E736" s="77"/>
    </row>
    <row r="737">
      <c r="C737" s="2"/>
      <c r="D737" s="2"/>
      <c r="E737" s="77"/>
    </row>
    <row r="738">
      <c r="C738" s="2"/>
      <c r="D738" s="2"/>
      <c r="E738" s="77"/>
    </row>
    <row r="739">
      <c r="C739" s="2"/>
      <c r="D739" s="2"/>
      <c r="E739" s="77"/>
    </row>
    <row r="740">
      <c r="C740" s="2"/>
      <c r="D740" s="2"/>
      <c r="E740" s="77"/>
    </row>
    <row r="741">
      <c r="C741" s="2"/>
      <c r="D741" s="2"/>
      <c r="E741" s="77"/>
    </row>
    <row r="742">
      <c r="C742" s="2"/>
      <c r="D742" s="2"/>
      <c r="E742" s="77"/>
    </row>
    <row r="743">
      <c r="C743" s="2"/>
      <c r="D743" s="2"/>
      <c r="E743" s="77"/>
    </row>
    <row r="744">
      <c r="C744" s="2"/>
      <c r="D744" s="2"/>
      <c r="E744" s="77"/>
    </row>
    <row r="745">
      <c r="C745" s="2"/>
      <c r="D745" s="2"/>
      <c r="E745" s="77"/>
    </row>
    <row r="746">
      <c r="C746" s="2"/>
      <c r="D746" s="2"/>
      <c r="E746" s="77"/>
    </row>
    <row r="747">
      <c r="C747" s="2"/>
      <c r="D747" s="2"/>
      <c r="E747" s="77"/>
    </row>
    <row r="748">
      <c r="C748" s="2"/>
      <c r="D748" s="2"/>
      <c r="E748" s="77"/>
    </row>
    <row r="749">
      <c r="C749" s="2"/>
      <c r="D749" s="2"/>
      <c r="E749" s="77"/>
    </row>
    <row r="750">
      <c r="C750" s="2"/>
      <c r="D750" s="2"/>
      <c r="E750" s="77"/>
    </row>
    <row r="751">
      <c r="C751" s="2"/>
      <c r="D751" s="2"/>
      <c r="E751" s="77"/>
    </row>
    <row r="752">
      <c r="C752" s="2"/>
      <c r="D752" s="2"/>
      <c r="E752" s="77"/>
    </row>
    <row r="753">
      <c r="C753" s="2"/>
      <c r="D753" s="2"/>
      <c r="E753" s="77"/>
    </row>
    <row r="754">
      <c r="C754" s="2"/>
      <c r="D754" s="2"/>
      <c r="E754" s="77"/>
    </row>
    <row r="755">
      <c r="C755" s="2"/>
      <c r="D755" s="2"/>
      <c r="E755" s="77"/>
    </row>
    <row r="756">
      <c r="C756" s="2"/>
      <c r="D756" s="2"/>
      <c r="E756" s="77"/>
    </row>
    <row r="757">
      <c r="C757" s="2"/>
      <c r="D757" s="2"/>
      <c r="E757" s="77"/>
    </row>
    <row r="758">
      <c r="C758" s="2"/>
      <c r="D758" s="2"/>
      <c r="E758" s="77"/>
    </row>
    <row r="759">
      <c r="C759" s="2"/>
      <c r="D759" s="2"/>
      <c r="E759" s="77"/>
    </row>
    <row r="760">
      <c r="C760" s="2"/>
      <c r="D760" s="2"/>
      <c r="E760" s="77"/>
    </row>
    <row r="761">
      <c r="C761" s="2"/>
      <c r="D761" s="2"/>
      <c r="E761" s="77"/>
    </row>
    <row r="762">
      <c r="C762" s="2"/>
      <c r="D762" s="2"/>
      <c r="E762" s="77"/>
    </row>
    <row r="763">
      <c r="C763" s="2"/>
      <c r="D763" s="2"/>
      <c r="E763" s="77"/>
    </row>
    <row r="764">
      <c r="C764" s="2"/>
      <c r="D764" s="2"/>
      <c r="E764" s="77"/>
    </row>
    <row r="765">
      <c r="C765" s="2"/>
      <c r="D765" s="2"/>
      <c r="E765" s="77"/>
    </row>
    <row r="766">
      <c r="C766" s="2"/>
      <c r="D766" s="2"/>
      <c r="E766" s="77"/>
    </row>
    <row r="767">
      <c r="C767" s="2"/>
      <c r="D767" s="2"/>
      <c r="E767" s="77"/>
    </row>
    <row r="768">
      <c r="C768" s="2"/>
      <c r="D768" s="2"/>
      <c r="E768" s="77"/>
    </row>
    <row r="769">
      <c r="C769" s="2"/>
      <c r="D769" s="2"/>
      <c r="E769" s="77"/>
    </row>
    <row r="770">
      <c r="C770" s="2"/>
      <c r="D770" s="2"/>
      <c r="E770" s="77"/>
    </row>
    <row r="771">
      <c r="C771" s="2"/>
      <c r="D771" s="2"/>
      <c r="E771" s="77"/>
    </row>
    <row r="772">
      <c r="C772" s="2"/>
      <c r="D772" s="2"/>
      <c r="E772" s="77"/>
    </row>
    <row r="773">
      <c r="C773" s="2"/>
      <c r="D773" s="2"/>
      <c r="E773" s="77"/>
    </row>
    <row r="774">
      <c r="C774" s="2"/>
      <c r="D774" s="2"/>
      <c r="E774" s="77"/>
    </row>
    <row r="775">
      <c r="C775" s="2"/>
      <c r="D775" s="2"/>
      <c r="E775" s="77"/>
    </row>
    <row r="776">
      <c r="C776" s="2"/>
      <c r="D776" s="2"/>
      <c r="E776" s="77"/>
    </row>
    <row r="777">
      <c r="C777" s="2"/>
      <c r="D777" s="2"/>
      <c r="E777" s="77"/>
    </row>
    <row r="778">
      <c r="C778" s="2"/>
      <c r="D778" s="2"/>
      <c r="E778" s="77"/>
    </row>
    <row r="779">
      <c r="C779" s="2"/>
      <c r="D779" s="2"/>
      <c r="E779" s="77"/>
    </row>
    <row r="780">
      <c r="C780" s="2"/>
      <c r="D780" s="2"/>
      <c r="E780" s="77"/>
    </row>
    <row r="781">
      <c r="C781" s="2"/>
      <c r="D781" s="2"/>
      <c r="E781" s="77"/>
    </row>
    <row r="782">
      <c r="C782" s="2"/>
      <c r="D782" s="2"/>
      <c r="E782" s="77"/>
    </row>
    <row r="783">
      <c r="C783" s="2"/>
      <c r="D783" s="2"/>
      <c r="E783" s="77"/>
    </row>
    <row r="784">
      <c r="C784" s="2"/>
      <c r="D784" s="2"/>
      <c r="E784" s="77"/>
    </row>
    <row r="785">
      <c r="C785" s="2"/>
      <c r="D785" s="2"/>
      <c r="E785" s="77"/>
    </row>
    <row r="786">
      <c r="C786" s="2"/>
      <c r="D786" s="2"/>
      <c r="E786" s="77"/>
    </row>
    <row r="787">
      <c r="C787" s="2"/>
      <c r="D787" s="2"/>
      <c r="E787" s="77"/>
    </row>
    <row r="788">
      <c r="C788" s="2"/>
      <c r="D788" s="2"/>
      <c r="E788" s="77"/>
    </row>
    <row r="789">
      <c r="C789" s="2"/>
      <c r="D789" s="2"/>
      <c r="E789" s="77"/>
    </row>
    <row r="790">
      <c r="C790" s="2"/>
      <c r="D790" s="2"/>
      <c r="E790" s="77"/>
    </row>
    <row r="791">
      <c r="C791" s="2"/>
      <c r="D791" s="2"/>
      <c r="E791" s="77"/>
    </row>
    <row r="792">
      <c r="C792" s="2"/>
      <c r="D792" s="2"/>
      <c r="E792" s="77"/>
    </row>
    <row r="793">
      <c r="C793" s="2"/>
      <c r="D793" s="2"/>
      <c r="E793" s="77"/>
    </row>
    <row r="794">
      <c r="C794" s="2"/>
      <c r="D794" s="2"/>
      <c r="E794" s="77"/>
    </row>
    <row r="795">
      <c r="C795" s="2"/>
      <c r="D795" s="2"/>
      <c r="E795" s="77"/>
    </row>
    <row r="796">
      <c r="C796" s="2"/>
      <c r="D796" s="2"/>
      <c r="E796" s="77"/>
    </row>
    <row r="797">
      <c r="C797" s="2"/>
      <c r="D797" s="2"/>
      <c r="E797" s="77"/>
    </row>
    <row r="798">
      <c r="C798" s="2"/>
      <c r="D798" s="2"/>
      <c r="E798" s="77"/>
    </row>
    <row r="799">
      <c r="C799" s="2"/>
      <c r="D799" s="2"/>
      <c r="E799" s="77"/>
    </row>
    <row r="800">
      <c r="C800" s="2"/>
      <c r="D800" s="2"/>
      <c r="E800" s="77"/>
    </row>
    <row r="801">
      <c r="C801" s="2"/>
      <c r="D801" s="2"/>
      <c r="E801" s="77"/>
    </row>
    <row r="802">
      <c r="C802" s="2"/>
      <c r="D802" s="2"/>
      <c r="E802" s="77"/>
    </row>
    <row r="803">
      <c r="C803" s="2"/>
      <c r="D803" s="2"/>
      <c r="E803" s="77"/>
    </row>
    <row r="804">
      <c r="C804" s="2"/>
      <c r="D804" s="2"/>
      <c r="E804" s="77"/>
    </row>
    <row r="805">
      <c r="C805" s="2"/>
      <c r="D805" s="2"/>
      <c r="E805" s="77"/>
    </row>
    <row r="806">
      <c r="C806" s="2"/>
      <c r="D806" s="2"/>
      <c r="E806" s="77"/>
    </row>
    <row r="807">
      <c r="C807" s="2"/>
      <c r="D807" s="2"/>
      <c r="E807" s="77"/>
    </row>
    <row r="808">
      <c r="C808" s="2"/>
      <c r="D808" s="2"/>
      <c r="E808" s="77"/>
    </row>
    <row r="809">
      <c r="C809" s="2"/>
      <c r="D809" s="2"/>
      <c r="E809" s="77"/>
    </row>
    <row r="810">
      <c r="C810" s="2"/>
      <c r="D810" s="2"/>
      <c r="E810" s="77"/>
    </row>
    <row r="811">
      <c r="C811" s="2"/>
      <c r="D811" s="2"/>
      <c r="E811" s="77"/>
    </row>
    <row r="812">
      <c r="C812" s="2"/>
      <c r="D812" s="2"/>
      <c r="E812" s="77"/>
    </row>
    <row r="813">
      <c r="C813" s="2"/>
      <c r="D813" s="2"/>
      <c r="E813" s="77"/>
    </row>
    <row r="814">
      <c r="C814" s="2"/>
      <c r="D814" s="2"/>
      <c r="E814" s="77"/>
    </row>
    <row r="815">
      <c r="C815" s="2"/>
      <c r="D815" s="2"/>
      <c r="E815" s="77"/>
    </row>
    <row r="816">
      <c r="C816" s="2"/>
      <c r="D816" s="2"/>
      <c r="E816" s="77"/>
    </row>
    <row r="817">
      <c r="C817" s="2"/>
      <c r="D817" s="2"/>
      <c r="E817" s="77"/>
    </row>
    <row r="818">
      <c r="C818" s="2"/>
      <c r="D818" s="2"/>
      <c r="E818" s="77"/>
    </row>
    <row r="819">
      <c r="C819" s="2"/>
      <c r="D819" s="2"/>
      <c r="E819" s="77"/>
    </row>
    <row r="820">
      <c r="C820" s="2"/>
      <c r="D820" s="2"/>
      <c r="E820" s="77"/>
    </row>
    <row r="821">
      <c r="C821" s="2"/>
      <c r="D821" s="2"/>
      <c r="E821" s="77"/>
    </row>
    <row r="822">
      <c r="C822" s="2"/>
      <c r="D822" s="2"/>
      <c r="E822" s="77"/>
    </row>
    <row r="823">
      <c r="C823" s="2"/>
      <c r="D823" s="2"/>
      <c r="E823" s="77"/>
    </row>
    <row r="824">
      <c r="C824" s="2"/>
      <c r="D824" s="2"/>
      <c r="E824" s="77"/>
    </row>
    <row r="825">
      <c r="C825" s="2"/>
      <c r="D825" s="2"/>
      <c r="E825" s="77"/>
    </row>
    <row r="826">
      <c r="C826" s="2"/>
      <c r="D826" s="2"/>
      <c r="E826" s="77"/>
    </row>
    <row r="827">
      <c r="C827" s="2"/>
      <c r="D827" s="2"/>
      <c r="E827" s="77"/>
    </row>
    <row r="828">
      <c r="C828" s="2"/>
      <c r="D828" s="2"/>
      <c r="E828" s="77"/>
    </row>
    <row r="829">
      <c r="C829" s="2"/>
      <c r="D829" s="2"/>
      <c r="E829" s="77"/>
    </row>
    <row r="830">
      <c r="C830" s="2"/>
      <c r="D830" s="2"/>
      <c r="E830" s="77"/>
    </row>
    <row r="831">
      <c r="C831" s="2"/>
      <c r="D831" s="2"/>
      <c r="E831" s="77"/>
    </row>
    <row r="832">
      <c r="C832" s="2"/>
      <c r="D832" s="2"/>
      <c r="E832" s="77"/>
    </row>
    <row r="833">
      <c r="C833" s="2"/>
      <c r="D833" s="2"/>
      <c r="E833" s="77"/>
    </row>
    <row r="834">
      <c r="C834" s="2"/>
      <c r="D834" s="2"/>
      <c r="E834" s="77"/>
    </row>
    <row r="835">
      <c r="C835" s="2"/>
      <c r="D835" s="2"/>
      <c r="E835" s="77"/>
    </row>
    <row r="836">
      <c r="C836" s="2"/>
      <c r="D836" s="2"/>
      <c r="E836" s="77"/>
    </row>
    <row r="837">
      <c r="C837" s="2"/>
      <c r="D837" s="2"/>
      <c r="E837" s="77"/>
    </row>
    <row r="838">
      <c r="C838" s="2"/>
      <c r="D838" s="2"/>
      <c r="E838" s="77"/>
    </row>
    <row r="839">
      <c r="C839" s="2"/>
      <c r="D839" s="2"/>
      <c r="E839" s="77"/>
    </row>
    <row r="840">
      <c r="C840" s="2"/>
      <c r="D840" s="2"/>
      <c r="E840" s="77"/>
    </row>
    <row r="841">
      <c r="C841" s="2"/>
      <c r="D841" s="2"/>
      <c r="E841" s="77"/>
    </row>
    <row r="842">
      <c r="C842" s="2"/>
      <c r="D842" s="2"/>
      <c r="E842" s="77"/>
    </row>
    <row r="843">
      <c r="C843" s="2"/>
      <c r="D843" s="2"/>
      <c r="E843" s="77"/>
    </row>
    <row r="844">
      <c r="C844" s="2"/>
      <c r="D844" s="2"/>
      <c r="E844" s="77"/>
    </row>
    <row r="845">
      <c r="C845" s="2"/>
      <c r="D845" s="2"/>
      <c r="E845" s="77"/>
    </row>
    <row r="846">
      <c r="C846" s="2"/>
      <c r="D846" s="2"/>
      <c r="E846" s="77"/>
    </row>
    <row r="847">
      <c r="C847" s="2"/>
      <c r="D847" s="2"/>
      <c r="E847" s="77"/>
    </row>
    <row r="848">
      <c r="C848" s="2"/>
      <c r="D848" s="2"/>
      <c r="E848" s="77"/>
    </row>
    <row r="849">
      <c r="C849" s="2"/>
      <c r="D849" s="2"/>
      <c r="E849" s="77"/>
    </row>
    <row r="850">
      <c r="C850" s="2"/>
      <c r="D850" s="2"/>
      <c r="E850" s="77"/>
    </row>
    <row r="851">
      <c r="C851" s="2"/>
      <c r="D851" s="2"/>
      <c r="E851" s="77"/>
    </row>
    <row r="852">
      <c r="C852" s="2"/>
      <c r="D852" s="2"/>
      <c r="E852" s="77"/>
    </row>
    <row r="853">
      <c r="C853" s="2"/>
      <c r="D853" s="2"/>
      <c r="E853" s="77"/>
    </row>
    <row r="854">
      <c r="C854" s="2"/>
      <c r="D854" s="2"/>
      <c r="E854" s="77"/>
    </row>
    <row r="855">
      <c r="C855" s="2"/>
      <c r="D855" s="2"/>
      <c r="E855" s="77"/>
    </row>
    <row r="856">
      <c r="C856" s="2"/>
      <c r="D856" s="2"/>
      <c r="E856" s="77"/>
    </row>
    <row r="857">
      <c r="C857" s="2"/>
      <c r="D857" s="2"/>
      <c r="E857" s="77"/>
    </row>
    <row r="858">
      <c r="C858" s="2"/>
      <c r="D858" s="2"/>
      <c r="E858" s="77"/>
    </row>
    <row r="859">
      <c r="C859" s="2"/>
      <c r="D859" s="2"/>
      <c r="E859" s="77"/>
    </row>
    <row r="860">
      <c r="C860" s="2"/>
      <c r="D860" s="2"/>
      <c r="E860" s="77"/>
    </row>
    <row r="861">
      <c r="C861" s="2"/>
      <c r="D861" s="2"/>
      <c r="E861" s="77"/>
    </row>
    <row r="862">
      <c r="C862" s="2"/>
      <c r="D862" s="2"/>
      <c r="E862" s="77"/>
    </row>
    <row r="863">
      <c r="C863" s="2"/>
      <c r="D863" s="2"/>
      <c r="E863" s="77"/>
    </row>
    <row r="864">
      <c r="C864" s="2"/>
      <c r="D864" s="2"/>
      <c r="E864" s="77"/>
    </row>
    <row r="865">
      <c r="C865" s="2"/>
      <c r="D865" s="2"/>
      <c r="E865" s="77"/>
    </row>
    <row r="866">
      <c r="C866" s="2"/>
      <c r="D866" s="2"/>
      <c r="E866" s="77"/>
    </row>
    <row r="867">
      <c r="C867" s="2"/>
      <c r="D867" s="2"/>
      <c r="E867" s="77"/>
    </row>
    <row r="868">
      <c r="C868" s="2"/>
      <c r="D868" s="2"/>
      <c r="E868" s="77"/>
    </row>
    <row r="869">
      <c r="C869" s="2"/>
      <c r="D869" s="2"/>
      <c r="E869" s="77"/>
    </row>
    <row r="870">
      <c r="C870" s="2"/>
      <c r="D870" s="2"/>
      <c r="E870" s="77"/>
    </row>
    <row r="871">
      <c r="C871" s="2"/>
      <c r="D871" s="2"/>
      <c r="E871" s="77"/>
    </row>
    <row r="872">
      <c r="C872" s="2"/>
      <c r="D872" s="2"/>
      <c r="E872" s="77"/>
    </row>
    <row r="873">
      <c r="C873" s="2"/>
      <c r="D873" s="2"/>
      <c r="E873" s="77"/>
    </row>
    <row r="874">
      <c r="C874" s="2"/>
      <c r="D874" s="2"/>
      <c r="E874" s="77"/>
    </row>
    <row r="875">
      <c r="C875" s="2"/>
      <c r="D875" s="2"/>
      <c r="E875" s="77"/>
    </row>
    <row r="876">
      <c r="C876" s="2"/>
      <c r="D876" s="2"/>
      <c r="E876" s="77"/>
    </row>
    <row r="877">
      <c r="C877" s="2"/>
      <c r="D877" s="2"/>
      <c r="E877" s="77"/>
    </row>
    <row r="878">
      <c r="C878" s="2"/>
      <c r="D878" s="2"/>
      <c r="E878" s="77"/>
    </row>
    <row r="879">
      <c r="C879" s="2"/>
      <c r="D879" s="2"/>
      <c r="E879" s="77"/>
    </row>
    <row r="880">
      <c r="C880" s="2"/>
      <c r="D880" s="2"/>
      <c r="E880" s="77"/>
    </row>
    <row r="881">
      <c r="C881" s="2"/>
      <c r="D881" s="2"/>
      <c r="E881" s="77"/>
    </row>
    <row r="882">
      <c r="C882" s="2"/>
      <c r="D882" s="2"/>
      <c r="E882" s="77"/>
    </row>
    <row r="883">
      <c r="C883" s="2"/>
      <c r="D883" s="2"/>
      <c r="E883" s="77"/>
    </row>
    <row r="884">
      <c r="C884" s="2"/>
      <c r="D884" s="2"/>
      <c r="E884" s="77"/>
    </row>
    <row r="885">
      <c r="C885" s="2"/>
      <c r="D885" s="2"/>
      <c r="E885" s="77"/>
    </row>
    <row r="886">
      <c r="C886" s="2"/>
      <c r="D886" s="2"/>
      <c r="E886" s="77"/>
    </row>
    <row r="887">
      <c r="C887" s="2"/>
      <c r="D887" s="2"/>
      <c r="E887" s="77"/>
    </row>
    <row r="888">
      <c r="C888" s="2"/>
      <c r="D888" s="2"/>
      <c r="E888" s="77"/>
    </row>
    <row r="889">
      <c r="C889" s="2"/>
      <c r="D889" s="2"/>
      <c r="E889" s="77"/>
    </row>
    <row r="890">
      <c r="C890" s="2"/>
      <c r="D890" s="2"/>
      <c r="E890" s="77"/>
    </row>
    <row r="891">
      <c r="C891" s="2"/>
      <c r="D891" s="2"/>
      <c r="E891" s="77"/>
    </row>
    <row r="892">
      <c r="C892" s="2"/>
      <c r="D892" s="2"/>
      <c r="E892" s="77"/>
    </row>
    <row r="893">
      <c r="C893" s="2"/>
      <c r="D893" s="2"/>
      <c r="E893" s="77"/>
    </row>
    <row r="894">
      <c r="C894" s="2"/>
      <c r="D894" s="2"/>
      <c r="E894" s="77"/>
    </row>
    <row r="895">
      <c r="C895" s="2"/>
      <c r="D895" s="2"/>
      <c r="E895" s="77"/>
    </row>
    <row r="896">
      <c r="C896" s="2"/>
      <c r="D896" s="2"/>
      <c r="E896" s="77"/>
    </row>
    <row r="897">
      <c r="C897" s="2"/>
      <c r="D897" s="2"/>
      <c r="E897" s="77"/>
    </row>
    <row r="898">
      <c r="C898" s="2"/>
      <c r="D898" s="2"/>
      <c r="E898" s="77"/>
    </row>
    <row r="899">
      <c r="C899" s="2"/>
      <c r="D899" s="2"/>
      <c r="E899" s="77"/>
    </row>
    <row r="900">
      <c r="C900" s="2"/>
      <c r="D900" s="2"/>
      <c r="E900" s="77"/>
    </row>
    <row r="901">
      <c r="C901" s="2"/>
      <c r="D901" s="2"/>
      <c r="E901" s="77"/>
    </row>
    <row r="902">
      <c r="C902" s="2"/>
      <c r="D902" s="2"/>
      <c r="E902" s="77"/>
    </row>
    <row r="903">
      <c r="C903" s="2"/>
      <c r="D903" s="2"/>
      <c r="E903" s="77"/>
    </row>
    <row r="904">
      <c r="C904" s="2"/>
      <c r="D904" s="2"/>
      <c r="E904" s="77"/>
    </row>
    <row r="905">
      <c r="C905" s="2"/>
      <c r="D905" s="2"/>
      <c r="E905" s="77"/>
    </row>
    <row r="906">
      <c r="C906" s="2"/>
      <c r="D906" s="2"/>
      <c r="E906" s="77"/>
    </row>
    <row r="907">
      <c r="C907" s="2"/>
      <c r="D907" s="2"/>
      <c r="E907" s="77"/>
    </row>
    <row r="908">
      <c r="C908" s="2"/>
      <c r="D908" s="2"/>
      <c r="E908" s="77"/>
    </row>
    <row r="909">
      <c r="C909" s="2"/>
      <c r="D909" s="2"/>
      <c r="E909" s="77"/>
    </row>
    <row r="910">
      <c r="C910" s="2"/>
      <c r="D910" s="2"/>
      <c r="E910" s="77"/>
    </row>
    <row r="911">
      <c r="C911" s="2"/>
      <c r="D911" s="2"/>
      <c r="E911" s="77"/>
    </row>
    <row r="912">
      <c r="C912" s="2"/>
      <c r="D912" s="2"/>
      <c r="E912" s="77"/>
    </row>
    <row r="913">
      <c r="C913" s="2"/>
      <c r="D913" s="2"/>
      <c r="E913" s="77"/>
    </row>
    <row r="914">
      <c r="C914" s="2"/>
      <c r="D914" s="2"/>
      <c r="E914" s="77"/>
    </row>
    <row r="915">
      <c r="C915" s="2"/>
      <c r="D915" s="2"/>
      <c r="E915" s="77"/>
    </row>
    <row r="916">
      <c r="C916" s="2"/>
      <c r="D916" s="2"/>
      <c r="E916" s="77"/>
    </row>
    <row r="917">
      <c r="C917" s="2"/>
      <c r="D917" s="2"/>
      <c r="E917" s="77"/>
    </row>
    <row r="918">
      <c r="C918" s="2"/>
      <c r="D918" s="2"/>
      <c r="E918" s="77"/>
    </row>
    <row r="919">
      <c r="C919" s="2"/>
      <c r="D919" s="2"/>
      <c r="E919" s="77"/>
    </row>
    <row r="920">
      <c r="C920" s="2"/>
      <c r="D920" s="2"/>
      <c r="E920" s="77"/>
    </row>
    <row r="921">
      <c r="C921" s="2"/>
      <c r="D921" s="2"/>
      <c r="E921" s="77"/>
    </row>
    <row r="922">
      <c r="C922" s="2"/>
      <c r="D922" s="2"/>
      <c r="E922" s="77"/>
    </row>
    <row r="923">
      <c r="C923" s="2"/>
      <c r="D923" s="2"/>
      <c r="E923" s="77"/>
    </row>
    <row r="924">
      <c r="C924" s="2"/>
      <c r="D924" s="2"/>
      <c r="E924" s="77"/>
    </row>
    <row r="925">
      <c r="C925" s="2"/>
      <c r="D925" s="2"/>
      <c r="E925" s="77"/>
    </row>
    <row r="926">
      <c r="C926" s="2"/>
      <c r="D926" s="2"/>
      <c r="E926" s="77"/>
    </row>
    <row r="927">
      <c r="C927" s="2"/>
      <c r="D927" s="2"/>
      <c r="E927" s="77"/>
    </row>
    <row r="928">
      <c r="C928" s="2"/>
      <c r="D928" s="2"/>
      <c r="E928" s="77"/>
    </row>
    <row r="929">
      <c r="C929" s="2"/>
      <c r="D929" s="2"/>
      <c r="E929" s="77"/>
    </row>
    <row r="930">
      <c r="C930" s="2"/>
      <c r="D930" s="2"/>
      <c r="E930" s="77"/>
    </row>
    <row r="931">
      <c r="C931" s="2"/>
      <c r="D931" s="2"/>
      <c r="E931" s="77"/>
    </row>
    <row r="932">
      <c r="C932" s="2"/>
      <c r="D932" s="2"/>
      <c r="E932" s="77"/>
    </row>
    <row r="933">
      <c r="C933" s="2"/>
      <c r="D933" s="2"/>
      <c r="E933" s="77"/>
    </row>
    <row r="934">
      <c r="C934" s="2"/>
      <c r="D934" s="2"/>
      <c r="E934" s="77"/>
    </row>
    <row r="935">
      <c r="C935" s="2"/>
      <c r="D935" s="2"/>
      <c r="E935" s="77"/>
    </row>
    <row r="936">
      <c r="C936" s="2"/>
      <c r="D936" s="2"/>
      <c r="E936" s="77"/>
    </row>
    <row r="937">
      <c r="C937" s="2"/>
      <c r="D937" s="2"/>
      <c r="E937" s="77"/>
    </row>
    <row r="938">
      <c r="C938" s="2"/>
      <c r="D938" s="2"/>
      <c r="E938" s="77"/>
    </row>
    <row r="939">
      <c r="C939" s="2"/>
      <c r="D939" s="2"/>
      <c r="E939" s="77"/>
    </row>
    <row r="940">
      <c r="C940" s="2"/>
      <c r="D940" s="2"/>
      <c r="E940" s="77"/>
    </row>
    <row r="941">
      <c r="C941" s="2"/>
      <c r="D941" s="2"/>
      <c r="E941" s="77"/>
    </row>
    <row r="942">
      <c r="C942" s="2"/>
      <c r="D942" s="2"/>
      <c r="E942" s="77"/>
    </row>
    <row r="943">
      <c r="C943" s="2"/>
      <c r="D943" s="2"/>
      <c r="E943" s="77"/>
    </row>
    <row r="944">
      <c r="C944" s="2"/>
      <c r="D944" s="2"/>
      <c r="E944" s="77"/>
    </row>
    <row r="945">
      <c r="C945" s="2"/>
      <c r="D945" s="2"/>
      <c r="E945" s="77"/>
    </row>
    <row r="946">
      <c r="C946" s="2"/>
      <c r="D946" s="2"/>
      <c r="E946" s="77"/>
    </row>
    <row r="947">
      <c r="C947" s="2"/>
      <c r="D947" s="2"/>
      <c r="E947" s="77"/>
    </row>
    <row r="948">
      <c r="C948" s="2"/>
      <c r="D948" s="2"/>
      <c r="E948" s="77"/>
    </row>
    <row r="949">
      <c r="C949" s="2"/>
      <c r="D949" s="2"/>
      <c r="E949" s="77"/>
    </row>
    <row r="950">
      <c r="C950" s="2"/>
      <c r="D950" s="2"/>
      <c r="E950" s="77"/>
    </row>
    <row r="951">
      <c r="C951" s="2"/>
      <c r="D951" s="2"/>
      <c r="E951" s="77"/>
    </row>
    <row r="952">
      <c r="C952" s="2"/>
      <c r="D952" s="2"/>
      <c r="E952" s="77"/>
    </row>
    <row r="953">
      <c r="C953" s="2"/>
      <c r="D953" s="2"/>
      <c r="E953" s="77"/>
    </row>
    <row r="954">
      <c r="C954" s="2"/>
      <c r="D954" s="2"/>
      <c r="E954" s="77"/>
    </row>
    <row r="955">
      <c r="C955" s="2"/>
      <c r="D955" s="2"/>
      <c r="E955" s="77"/>
    </row>
    <row r="956">
      <c r="C956" s="2"/>
      <c r="D956" s="2"/>
      <c r="E956" s="77"/>
    </row>
    <row r="957">
      <c r="C957" s="2"/>
      <c r="D957" s="2"/>
      <c r="E957" s="77"/>
    </row>
    <row r="958">
      <c r="C958" s="2"/>
      <c r="D958" s="2"/>
      <c r="E958" s="77"/>
    </row>
    <row r="959">
      <c r="C959" s="2"/>
      <c r="D959" s="2"/>
      <c r="E959" s="77"/>
    </row>
    <row r="960">
      <c r="C960" s="2"/>
      <c r="D960" s="2"/>
      <c r="E960" s="77"/>
    </row>
    <row r="961">
      <c r="C961" s="2"/>
      <c r="D961" s="2"/>
      <c r="E961" s="77"/>
    </row>
    <row r="962">
      <c r="C962" s="2"/>
      <c r="D962" s="2"/>
      <c r="E962" s="77"/>
    </row>
    <row r="963">
      <c r="C963" s="2"/>
      <c r="D963" s="2"/>
      <c r="E963" s="77"/>
    </row>
    <row r="964">
      <c r="C964" s="2"/>
      <c r="D964" s="2"/>
      <c r="E964" s="77"/>
    </row>
    <row r="965">
      <c r="C965" s="2"/>
      <c r="D965" s="2"/>
      <c r="E965" s="77"/>
    </row>
    <row r="966">
      <c r="C966" s="2"/>
      <c r="D966" s="2"/>
      <c r="E966" s="77"/>
    </row>
    <row r="967">
      <c r="C967" s="2"/>
      <c r="D967" s="2"/>
      <c r="E967" s="77"/>
    </row>
    <row r="968">
      <c r="C968" s="2"/>
      <c r="D968" s="2"/>
      <c r="E968" s="77"/>
    </row>
    <row r="969">
      <c r="C969" s="2"/>
      <c r="D969" s="2"/>
      <c r="E969" s="77"/>
    </row>
    <row r="970">
      <c r="C970" s="2"/>
      <c r="D970" s="2"/>
      <c r="E970" s="77"/>
    </row>
    <row r="971">
      <c r="C971" s="2"/>
      <c r="D971" s="2"/>
      <c r="E971" s="77"/>
    </row>
    <row r="972">
      <c r="C972" s="2"/>
      <c r="D972" s="2"/>
      <c r="E972" s="77"/>
    </row>
    <row r="973">
      <c r="C973" s="2"/>
      <c r="D973" s="2"/>
      <c r="E973" s="77"/>
    </row>
    <row r="974">
      <c r="C974" s="2"/>
      <c r="D974" s="2"/>
      <c r="E974" s="77"/>
    </row>
    <row r="975">
      <c r="C975" s="2"/>
      <c r="D975" s="2"/>
      <c r="E975" s="77"/>
    </row>
    <row r="976">
      <c r="C976" s="2"/>
      <c r="D976" s="2"/>
      <c r="E976" s="77"/>
    </row>
    <row r="977">
      <c r="C977" s="2"/>
      <c r="D977" s="2"/>
      <c r="E977" s="77"/>
    </row>
    <row r="978">
      <c r="C978" s="2"/>
      <c r="D978" s="2"/>
      <c r="E978" s="77"/>
    </row>
    <row r="979">
      <c r="C979" s="2"/>
      <c r="D979" s="2"/>
      <c r="E979" s="77"/>
    </row>
    <row r="980">
      <c r="C980" s="2"/>
      <c r="D980" s="2"/>
      <c r="E980" s="77"/>
    </row>
    <row r="981">
      <c r="C981" s="2"/>
      <c r="D981" s="2"/>
      <c r="E981" s="77"/>
    </row>
    <row r="982">
      <c r="C982" s="2"/>
      <c r="D982" s="2"/>
      <c r="E982" s="77"/>
    </row>
    <row r="983">
      <c r="C983" s="2"/>
      <c r="D983" s="2"/>
      <c r="E983" s="77"/>
    </row>
    <row r="984">
      <c r="C984" s="2"/>
      <c r="D984" s="2"/>
      <c r="E984" s="77"/>
    </row>
    <row r="985">
      <c r="C985" s="2"/>
      <c r="D985" s="2"/>
      <c r="E985" s="77"/>
    </row>
    <row r="986">
      <c r="C986" s="2"/>
      <c r="D986" s="2"/>
      <c r="E986" s="77"/>
    </row>
    <row r="987">
      <c r="C987" s="2"/>
      <c r="D987" s="2"/>
      <c r="E987" s="77"/>
    </row>
    <row r="988">
      <c r="C988" s="2"/>
      <c r="D988" s="2"/>
      <c r="E988" s="77"/>
    </row>
    <row r="989">
      <c r="C989" s="2"/>
      <c r="D989" s="2"/>
      <c r="E989" s="77"/>
    </row>
    <row r="990">
      <c r="C990" s="2"/>
      <c r="D990" s="2"/>
      <c r="E990" s="77"/>
    </row>
    <row r="991">
      <c r="C991" s="2"/>
      <c r="D991" s="2"/>
      <c r="E991" s="77"/>
    </row>
    <row r="992">
      <c r="C992" s="2"/>
      <c r="D992" s="2"/>
      <c r="E992" s="77"/>
    </row>
    <row r="993">
      <c r="C993" s="2"/>
      <c r="D993" s="2"/>
      <c r="E993" s="77"/>
    </row>
    <row r="994">
      <c r="C994" s="2"/>
      <c r="D994" s="2"/>
      <c r="E994" s="77"/>
    </row>
    <row r="995">
      <c r="C995" s="2"/>
      <c r="D995" s="2"/>
      <c r="E995" s="77"/>
    </row>
    <row r="996">
      <c r="C996" s="2"/>
      <c r="D996" s="2"/>
      <c r="E996" s="77"/>
    </row>
    <row r="997">
      <c r="C997" s="2"/>
      <c r="D997" s="2"/>
      <c r="E997" s="77"/>
    </row>
    <row r="998">
      <c r="C998" s="2"/>
      <c r="D998" s="2"/>
      <c r="E998" s="77"/>
    </row>
    <row r="999">
      <c r="C999" s="2"/>
      <c r="D999" s="2"/>
      <c r="E999" s="77"/>
    </row>
    <row r="1000">
      <c r="C1000" s="2"/>
      <c r="D1000" s="2"/>
      <c r="E1000" s="7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2" t="s">
        <v>233</v>
      </c>
      <c r="B1" s="70" t="s">
        <v>76</v>
      </c>
      <c r="C1" s="66" t="s">
        <v>234</v>
      </c>
      <c r="D1" s="65" t="s">
        <v>235</v>
      </c>
      <c r="E1" s="66" t="s">
        <v>236</v>
      </c>
      <c r="F1" s="66" t="s">
        <v>81</v>
      </c>
      <c r="G1" s="64" t="s">
        <v>228</v>
      </c>
      <c r="H1" s="64" t="s">
        <v>237</v>
      </c>
      <c r="I1" s="63" t="s">
        <v>238</v>
      </c>
      <c r="J1" s="64" t="s">
        <v>239</v>
      </c>
    </row>
    <row r="2">
      <c r="A2" s="64" t="s">
        <v>111</v>
      </c>
      <c r="B2" s="69" t="s">
        <v>112</v>
      </c>
      <c r="C2" s="69">
        <v>169.55</v>
      </c>
      <c r="D2" s="70">
        <v>1.65</v>
      </c>
      <c r="E2" s="69">
        <v>282.33</v>
      </c>
      <c r="F2" s="5">
        <f>sum(E2:E50)</f>
        <v>10747.50409</v>
      </c>
      <c r="G2" s="5">
        <f>IFERROR(__xludf.DUMMYFUNCTION("GOOGLEFINANCE(B2)"),73.02)</f>
        <v>73.02</v>
      </c>
      <c r="H2" s="5">
        <f t="shared" ref="H2:H43" si="1">G2*D2</f>
        <v>120.483</v>
      </c>
      <c r="I2" s="71">
        <f t="shared" ref="I2:I43" si="2">(H2-E2)/E2</f>
        <v>-0.5732547019</v>
      </c>
      <c r="J2" s="5">
        <f>sum(H2:H50)</f>
        <v>7619.676237</v>
      </c>
    </row>
    <row r="3">
      <c r="A3" s="64" t="s">
        <v>88</v>
      </c>
      <c r="B3" s="69" t="s">
        <v>89</v>
      </c>
      <c r="C3" s="69">
        <v>921.91</v>
      </c>
      <c r="D3" s="70">
        <v>0.34</v>
      </c>
      <c r="E3" s="5">
        <f t="shared" ref="E3:E43" si="3">C3*D3</f>
        <v>313.4494</v>
      </c>
      <c r="F3" s="66"/>
      <c r="G3" s="5">
        <f>IFERROR(__xludf.DUMMYFUNCTION("GOOGLEFINANCE(B3)"),933.1)</f>
        <v>933.1</v>
      </c>
      <c r="H3" s="5">
        <f t="shared" si="1"/>
        <v>317.254</v>
      </c>
      <c r="I3" s="71">
        <f t="shared" si="2"/>
        <v>0.01213784426</v>
      </c>
      <c r="J3" s="66"/>
    </row>
    <row r="4">
      <c r="A4" s="64" t="s">
        <v>204</v>
      </c>
      <c r="B4" s="69" t="s">
        <v>205</v>
      </c>
      <c r="C4" s="69">
        <v>27.55</v>
      </c>
      <c r="D4" s="41">
        <v>1.0</v>
      </c>
      <c r="E4" s="5">
        <f t="shared" si="3"/>
        <v>27.55</v>
      </c>
      <c r="F4" s="66"/>
      <c r="G4" s="5">
        <f>IFERROR(__xludf.DUMMYFUNCTION("GOOGLEFINANCE(B4)"),9.38)</f>
        <v>9.38</v>
      </c>
      <c r="H4" s="5">
        <f t="shared" si="1"/>
        <v>9.38</v>
      </c>
      <c r="I4" s="71">
        <f t="shared" si="2"/>
        <v>-0.6595281307</v>
      </c>
      <c r="J4" s="61" t="s">
        <v>240</v>
      </c>
    </row>
    <row r="5">
      <c r="A5" s="63" t="s">
        <v>241</v>
      </c>
      <c r="B5" s="69" t="s">
        <v>242</v>
      </c>
      <c r="C5" s="69">
        <v>73.71</v>
      </c>
      <c r="D5" s="70">
        <v>2.03373</v>
      </c>
      <c r="E5" s="5">
        <f t="shared" si="3"/>
        <v>149.9062383</v>
      </c>
      <c r="F5" s="66"/>
      <c r="G5" s="5">
        <f>IFERROR(__xludf.DUMMYFUNCTION("GOOGLEFINANCE(B5)"),92.14)</f>
        <v>92.14</v>
      </c>
      <c r="H5" s="5">
        <f t="shared" si="1"/>
        <v>187.3878822</v>
      </c>
      <c r="I5" s="71">
        <f t="shared" si="2"/>
        <v>0.2500339167</v>
      </c>
      <c r="J5" s="74">
        <f>(sum(H2:H50)-F2)/F2</f>
        <v>-0.2910283006</v>
      </c>
    </row>
    <row r="6">
      <c r="A6" s="64" t="s">
        <v>117</v>
      </c>
      <c r="B6" s="69" t="s">
        <v>118</v>
      </c>
      <c r="C6" s="69">
        <v>98.36</v>
      </c>
      <c r="D6" s="70">
        <v>2.5</v>
      </c>
      <c r="E6" s="5">
        <f t="shared" si="3"/>
        <v>245.9</v>
      </c>
      <c r="F6" s="66"/>
      <c r="G6" s="5">
        <f>IFERROR(__xludf.DUMMYFUNCTION("GOOGLEFINANCE(B6)"),63.71)</f>
        <v>63.71</v>
      </c>
      <c r="H6" s="5">
        <f t="shared" si="1"/>
        <v>159.275</v>
      </c>
      <c r="I6" s="71">
        <f t="shared" si="2"/>
        <v>-0.3522773485</v>
      </c>
      <c r="J6" s="66"/>
    </row>
    <row r="7">
      <c r="A7" s="63" t="s">
        <v>243</v>
      </c>
      <c r="B7" s="69" t="s">
        <v>244</v>
      </c>
      <c r="C7" s="69">
        <v>84.37</v>
      </c>
      <c r="D7" s="70">
        <v>1.0</v>
      </c>
      <c r="E7" s="5">
        <f t="shared" si="3"/>
        <v>84.37</v>
      </c>
      <c r="F7" s="66"/>
      <c r="G7" s="5">
        <f>IFERROR(__xludf.DUMMYFUNCTION("GOOGLEFINANCE(B7)"),155.36)</f>
        <v>155.36</v>
      </c>
      <c r="H7" s="5">
        <f t="shared" si="1"/>
        <v>155.36</v>
      </c>
      <c r="I7" s="71">
        <f t="shared" si="2"/>
        <v>0.8414128245</v>
      </c>
      <c r="J7" s="66"/>
    </row>
    <row r="8">
      <c r="A8" s="63" t="s">
        <v>245</v>
      </c>
      <c r="B8" s="69" t="s">
        <v>246</v>
      </c>
      <c r="C8" s="69">
        <v>23.31</v>
      </c>
      <c r="D8" s="70">
        <v>3.078313</v>
      </c>
      <c r="E8" s="5">
        <f t="shared" si="3"/>
        <v>71.75547603</v>
      </c>
      <c r="F8" s="66"/>
      <c r="G8" s="5">
        <f>IFERROR(__xludf.DUMMYFUNCTION("GOOGLEFINANCE(B8)"),34.69)</f>
        <v>34.69</v>
      </c>
      <c r="H8" s="5">
        <f t="shared" si="1"/>
        <v>106.786678</v>
      </c>
      <c r="I8" s="71">
        <f t="shared" si="2"/>
        <v>0.4882024882</v>
      </c>
      <c r="J8" s="66"/>
    </row>
    <row r="9">
      <c r="A9" s="63" t="s">
        <v>153</v>
      </c>
      <c r="B9" s="69" t="s">
        <v>154</v>
      </c>
      <c r="C9" s="75">
        <v>266.61</v>
      </c>
      <c r="D9" s="63">
        <v>0.75</v>
      </c>
      <c r="E9" s="5">
        <f t="shared" si="3"/>
        <v>199.9575</v>
      </c>
      <c r="F9" s="66"/>
      <c r="G9" s="5">
        <f>IFERROR(__xludf.DUMMYFUNCTION("GOOGLEFINANCE(B9)"),314.03)</f>
        <v>314.03</v>
      </c>
      <c r="H9" s="5">
        <f t="shared" si="1"/>
        <v>235.5225</v>
      </c>
      <c r="I9" s="71">
        <f t="shared" si="2"/>
        <v>0.1778627958</v>
      </c>
      <c r="J9" s="66"/>
    </row>
    <row r="10">
      <c r="A10" s="63" t="s">
        <v>103</v>
      </c>
      <c r="B10" s="69" t="s">
        <v>104</v>
      </c>
      <c r="C10" s="75">
        <v>887.91</v>
      </c>
      <c r="D10" s="63">
        <v>0.35</v>
      </c>
      <c r="E10" s="5">
        <f t="shared" si="3"/>
        <v>310.7685</v>
      </c>
      <c r="F10" s="66"/>
      <c r="G10" s="5">
        <f>IFERROR(__xludf.DUMMYFUNCTION("GOOGLEFINANCE(B10)"),32.94)</f>
        <v>32.94</v>
      </c>
      <c r="H10" s="5">
        <f t="shared" si="1"/>
        <v>11.529</v>
      </c>
      <c r="I10" s="71">
        <f t="shared" si="2"/>
        <v>-0.9629016454</v>
      </c>
      <c r="J10" s="66"/>
    </row>
    <row r="11">
      <c r="A11" s="63" t="s">
        <v>192</v>
      </c>
      <c r="B11" s="69" t="s">
        <v>193</v>
      </c>
      <c r="C11" s="75">
        <v>122.75</v>
      </c>
      <c r="D11" s="63">
        <v>1.5</v>
      </c>
      <c r="E11" s="5">
        <f t="shared" si="3"/>
        <v>184.125</v>
      </c>
      <c r="F11" s="66"/>
      <c r="G11" s="5">
        <f>IFERROR(__xludf.DUMMYFUNCTION("GOOGLEFINANCE(B11)"),65.32)</f>
        <v>65.32</v>
      </c>
      <c r="H11" s="5">
        <f t="shared" si="1"/>
        <v>97.98</v>
      </c>
      <c r="I11" s="71">
        <f t="shared" si="2"/>
        <v>-0.4678615071</v>
      </c>
      <c r="J11" s="66"/>
    </row>
    <row r="12">
      <c r="A12" s="63" t="s">
        <v>247</v>
      </c>
      <c r="B12" s="69" t="s">
        <v>248</v>
      </c>
      <c r="C12" s="75">
        <v>23.71</v>
      </c>
      <c r="D12" s="63">
        <v>3.0</v>
      </c>
      <c r="E12" s="5">
        <f t="shared" si="3"/>
        <v>71.13</v>
      </c>
      <c r="F12" s="66"/>
      <c r="G12" s="5">
        <f>IFERROR(__xludf.DUMMYFUNCTION("GOOGLEFINANCE(B12)"),32.94)</f>
        <v>32.94</v>
      </c>
      <c r="H12" s="5">
        <f t="shared" si="1"/>
        <v>98.82</v>
      </c>
      <c r="I12" s="71">
        <f t="shared" si="2"/>
        <v>0.3892872206</v>
      </c>
      <c r="J12" s="66"/>
    </row>
    <row r="13">
      <c r="A13" s="63" t="s">
        <v>249</v>
      </c>
      <c r="B13" s="69" t="s">
        <v>250</v>
      </c>
      <c r="C13" s="75">
        <v>187.27</v>
      </c>
      <c r="D13" s="63">
        <v>0.75</v>
      </c>
      <c r="E13" s="5">
        <f t="shared" si="3"/>
        <v>140.4525</v>
      </c>
      <c r="F13" s="5"/>
      <c r="G13" s="5">
        <f>IFERROR(__xludf.DUMMYFUNCTION("GOOGLEFINANCE(B13)"),278.95)</f>
        <v>278.95</v>
      </c>
      <c r="H13" s="5">
        <f t="shared" si="1"/>
        <v>209.2125</v>
      </c>
      <c r="I13" s="71">
        <f t="shared" si="2"/>
        <v>0.4895605276</v>
      </c>
      <c r="J13" s="64"/>
    </row>
    <row r="14">
      <c r="A14" s="27" t="s">
        <v>123</v>
      </c>
      <c r="B14" s="78" t="s">
        <v>124</v>
      </c>
      <c r="C14" s="3">
        <v>182.26</v>
      </c>
      <c r="D14" s="27">
        <v>2.0</v>
      </c>
      <c r="E14" s="5">
        <f t="shared" si="3"/>
        <v>364.52</v>
      </c>
      <c r="G14" s="5">
        <f>IFERROR(__xludf.DUMMYFUNCTION("GOOGLEFINANCE(B14)"),95.03)</f>
        <v>95.03</v>
      </c>
      <c r="H14" s="5">
        <f t="shared" si="1"/>
        <v>190.06</v>
      </c>
      <c r="I14" s="71">
        <f t="shared" si="2"/>
        <v>-0.4786019971</v>
      </c>
    </row>
    <row r="15">
      <c r="A15" s="27" t="s">
        <v>134</v>
      </c>
      <c r="B15" s="78" t="s">
        <v>135</v>
      </c>
      <c r="C15" s="3">
        <v>184.52</v>
      </c>
      <c r="D15" s="27">
        <v>2.0</v>
      </c>
      <c r="E15" s="5">
        <f t="shared" si="3"/>
        <v>369.04</v>
      </c>
      <c r="G15" s="5">
        <f>IFERROR(__xludf.DUMMYFUNCTION("GOOGLEFINANCE(B15)"),241.62)</f>
        <v>241.62</v>
      </c>
      <c r="H15" s="5">
        <f t="shared" si="1"/>
        <v>483.24</v>
      </c>
      <c r="I15" s="71">
        <f t="shared" si="2"/>
        <v>0.30945155</v>
      </c>
    </row>
    <row r="16">
      <c r="A16" s="27" t="s">
        <v>198</v>
      </c>
      <c r="B16" s="78" t="s">
        <v>199</v>
      </c>
      <c r="C16" s="3">
        <v>88.95</v>
      </c>
      <c r="D16" s="27">
        <v>1.0</v>
      </c>
      <c r="E16" s="5">
        <f t="shared" si="3"/>
        <v>88.95</v>
      </c>
      <c r="G16" s="5">
        <f>IFERROR(__xludf.DUMMYFUNCTION("GOOGLEFINANCE(B16)"),82.49)</f>
        <v>82.49</v>
      </c>
      <c r="H16" s="5">
        <f t="shared" si="1"/>
        <v>82.49</v>
      </c>
      <c r="I16" s="71">
        <f t="shared" si="2"/>
        <v>-0.07262507026</v>
      </c>
    </row>
    <row r="17">
      <c r="A17" s="27" t="s">
        <v>190</v>
      </c>
      <c r="B17" s="78" t="s">
        <v>191</v>
      </c>
      <c r="C17" s="3">
        <v>204.23</v>
      </c>
      <c r="D17" s="27">
        <v>2.0</v>
      </c>
      <c r="E17" s="5">
        <f t="shared" si="3"/>
        <v>408.46</v>
      </c>
      <c r="G17" s="5">
        <f>IFERROR(__xludf.DUMMYFUNCTION("GOOGLEFINANCE(B17)"),56.48)</f>
        <v>56.48</v>
      </c>
      <c r="H17" s="5">
        <f t="shared" si="1"/>
        <v>112.96</v>
      </c>
      <c r="I17" s="71">
        <f t="shared" si="2"/>
        <v>-0.7234490525</v>
      </c>
    </row>
    <row r="18">
      <c r="A18" s="27" t="s">
        <v>251</v>
      </c>
      <c r="B18" s="78" t="s">
        <v>252</v>
      </c>
      <c r="C18" s="3">
        <v>9.84</v>
      </c>
      <c r="D18" s="27">
        <v>10.0</v>
      </c>
      <c r="E18" s="5">
        <f t="shared" si="3"/>
        <v>98.4</v>
      </c>
      <c r="G18" s="5">
        <f>IFERROR(__xludf.DUMMYFUNCTION("GOOGLEFINANCE(B18)"),0.0)</f>
        <v>0</v>
      </c>
      <c r="H18" s="5">
        <f t="shared" si="1"/>
        <v>0</v>
      </c>
      <c r="I18" s="71">
        <f t="shared" si="2"/>
        <v>-1</v>
      </c>
    </row>
    <row r="19">
      <c r="A19" s="27" t="s">
        <v>253</v>
      </c>
      <c r="B19" s="78" t="s">
        <v>137</v>
      </c>
      <c r="C19" s="3">
        <v>365.02</v>
      </c>
      <c r="D19" s="27">
        <v>1.0</v>
      </c>
      <c r="E19" s="5">
        <f t="shared" si="3"/>
        <v>365.02</v>
      </c>
      <c r="G19" s="5">
        <f>IFERROR(__xludf.DUMMYFUNCTION("GOOGLEFINANCE(B19)"),471.11)</f>
        <v>471.11</v>
      </c>
      <c r="H19" s="5">
        <f t="shared" si="1"/>
        <v>471.11</v>
      </c>
      <c r="I19" s="71">
        <f t="shared" si="2"/>
        <v>0.2906416087</v>
      </c>
    </row>
    <row r="20">
      <c r="A20" s="27" t="s">
        <v>163</v>
      </c>
      <c r="B20" s="78" t="s">
        <v>164</v>
      </c>
      <c r="C20" s="3">
        <v>250.38</v>
      </c>
      <c r="D20" s="27">
        <v>1.008235</v>
      </c>
      <c r="E20" s="5">
        <f t="shared" si="3"/>
        <v>252.4418793</v>
      </c>
      <c r="G20" s="5">
        <f>IFERROR(__xludf.DUMMYFUNCTION("GOOGLEFINANCE(B20)"),247.5)</f>
        <v>247.5</v>
      </c>
      <c r="H20" s="5">
        <f t="shared" si="1"/>
        <v>249.5381625</v>
      </c>
      <c r="I20" s="71">
        <f t="shared" si="2"/>
        <v>-0.01150251618</v>
      </c>
    </row>
    <row r="21">
      <c r="A21" s="27" t="s">
        <v>178</v>
      </c>
      <c r="B21" s="78" t="s">
        <v>179</v>
      </c>
      <c r="C21" s="3">
        <v>29.0</v>
      </c>
      <c r="D21" s="27">
        <v>2.0</v>
      </c>
      <c r="E21" s="5">
        <f t="shared" si="3"/>
        <v>58</v>
      </c>
      <c r="G21" s="5">
        <f>IFERROR(__xludf.DUMMYFUNCTION("GOOGLEFINANCE(B21)"),92.0)</f>
        <v>92</v>
      </c>
      <c r="H21" s="5">
        <f t="shared" si="1"/>
        <v>184</v>
      </c>
      <c r="I21" s="71">
        <f t="shared" si="2"/>
        <v>2.172413793</v>
      </c>
    </row>
    <row r="22">
      <c r="A22" s="27" t="s">
        <v>156</v>
      </c>
      <c r="B22" s="78" t="s">
        <v>157</v>
      </c>
      <c r="C22" s="3">
        <v>210.45</v>
      </c>
      <c r="D22" s="27">
        <v>1.0</v>
      </c>
      <c r="E22" s="5">
        <f t="shared" si="3"/>
        <v>210.45</v>
      </c>
      <c r="G22" s="5">
        <f>IFERROR(__xludf.DUMMYFUNCTION("GOOGLEFINANCE(B22)"),30.13)</f>
        <v>30.13</v>
      </c>
      <c r="H22" s="5">
        <f t="shared" si="1"/>
        <v>30.13</v>
      </c>
      <c r="I22" s="71">
        <f t="shared" si="2"/>
        <v>-0.8568306011</v>
      </c>
    </row>
    <row r="23">
      <c r="A23" s="27" t="s">
        <v>202</v>
      </c>
      <c r="B23" s="78" t="s">
        <v>203</v>
      </c>
      <c r="C23" s="3">
        <v>307.3</v>
      </c>
      <c r="D23" s="27">
        <v>0.5</v>
      </c>
      <c r="E23" s="5">
        <f t="shared" si="3"/>
        <v>153.65</v>
      </c>
      <c r="G23" s="5">
        <f>IFERROR(__xludf.DUMMYFUNCTION("GOOGLEFINANCE(B23)"),85.26)</f>
        <v>85.26</v>
      </c>
      <c r="H23" s="5">
        <f t="shared" si="1"/>
        <v>42.63</v>
      </c>
      <c r="I23" s="71">
        <f t="shared" si="2"/>
        <v>-0.7225512528</v>
      </c>
    </row>
    <row r="24">
      <c r="A24" s="27" t="s">
        <v>196</v>
      </c>
      <c r="B24" s="78" t="s">
        <v>197</v>
      </c>
      <c r="C24" s="3">
        <v>87.25</v>
      </c>
      <c r="D24" s="27">
        <v>3.0</v>
      </c>
      <c r="E24" s="5">
        <f t="shared" si="3"/>
        <v>261.75</v>
      </c>
      <c r="G24" s="5">
        <f>IFERROR(__xludf.DUMMYFUNCTION("GOOGLEFINANCE(B24)"),9.32)</f>
        <v>9.32</v>
      </c>
      <c r="H24" s="5">
        <f t="shared" si="1"/>
        <v>27.96</v>
      </c>
      <c r="I24" s="71">
        <f t="shared" si="2"/>
        <v>-0.8931805158</v>
      </c>
    </row>
    <row r="25">
      <c r="A25" s="27" t="s">
        <v>254</v>
      </c>
      <c r="B25" s="78" t="s">
        <v>182</v>
      </c>
      <c r="C25" s="3">
        <v>106.41</v>
      </c>
      <c r="D25" s="27">
        <v>4.0</v>
      </c>
      <c r="E25" s="5">
        <f t="shared" si="3"/>
        <v>425.64</v>
      </c>
      <c r="G25" s="5">
        <f>IFERROR(__xludf.DUMMYFUNCTION("GOOGLEFINANCE(B25)"),38.03)</f>
        <v>38.03</v>
      </c>
      <c r="H25" s="5">
        <f t="shared" si="1"/>
        <v>152.12</v>
      </c>
      <c r="I25" s="71">
        <f t="shared" si="2"/>
        <v>-0.6426087774</v>
      </c>
    </row>
    <row r="26">
      <c r="A26" s="27" t="s">
        <v>129</v>
      </c>
      <c r="B26" s="78" t="s">
        <v>130</v>
      </c>
      <c r="C26" s="3">
        <v>301.17</v>
      </c>
      <c r="D26" s="27">
        <v>0.75</v>
      </c>
      <c r="E26" s="5">
        <f t="shared" si="3"/>
        <v>225.8775</v>
      </c>
      <c r="G26" s="5">
        <f>IFERROR(__xludf.DUMMYFUNCTION("GOOGLEFINANCE(B26)"),221.34)</f>
        <v>221.34</v>
      </c>
      <c r="H26" s="5">
        <f t="shared" si="1"/>
        <v>166.005</v>
      </c>
      <c r="I26" s="71">
        <f t="shared" si="2"/>
        <v>-0.2650662417</v>
      </c>
    </row>
    <row r="27">
      <c r="A27" s="27" t="s">
        <v>255</v>
      </c>
      <c r="B27" s="78" t="s">
        <v>152</v>
      </c>
      <c r="C27" s="3">
        <v>66.67</v>
      </c>
      <c r="D27" s="27">
        <v>5.0</v>
      </c>
      <c r="E27" s="5">
        <f t="shared" si="3"/>
        <v>333.35</v>
      </c>
      <c r="G27" s="5">
        <f>IFERROR(__xludf.DUMMYFUNCTION("GOOGLEFINANCE(B27)"),25.42)</f>
        <v>25.42</v>
      </c>
      <c r="H27" s="5">
        <f t="shared" si="1"/>
        <v>127.1</v>
      </c>
      <c r="I27" s="71">
        <f t="shared" si="2"/>
        <v>-0.618719064</v>
      </c>
    </row>
    <row r="28">
      <c r="A28" s="27" t="s">
        <v>99</v>
      </c>
      <c r="B28" s="78" t="s">
        <v>100</v>
      </c>
      <c r="C28" s="3">
        <v>548.8</v>
      </c>
      <c r="D28" s="27">
        <v>0.5</v>
      </c>
      <c r="E28" s="5">
        <f t="shared" si="3"/>
        <v>274.4</v>
      </c>
      <c r="G28" s="5">
        <f>IFERROR(__xludf.DUMMYFUNCTION("GOOGLEFINANCE(B28)"),133.82)</f>
        <v>133.82</v>
      </c>
      <c r="H28" s="5">
        <f t="shared" si="1"/>
        <v>66.91</v>
      </c>
      <c r="I28" s="71">
        <f t="shared" si="2"/>
        <v>-0.7561588921</v>
      </c>
    </row>
    <row r="29">
      <c r="A29" s="27" t="s">
        <v>256</v>
      </c>
      <c r="B29" s="78" t="s">
        <v>115</v>
      </c>
      <c r="C29" s="3">
        <v>65.69</v>
      </c>
      <c r="D29" s="27">
        <v>3.0</v>
      </c>
      <c r="E29" s="5">
        <f t="shared" si="3"/>
        <v>197.07</v>
      </c>
      <c r="G29" s="5">
        <f>IFERROR(__xludf.DUMMYFUNCTION("GOOGLEFINANCE(B29)"),293.49)</f>
        <v>293.49</v>
      </c>
      <c r="H29" s="5">
        <f t="shared" si="1"/>
        <v>880.47</v>
      </c>
      <c r="I29" s="71">
        <f t="shared" si="2"/>
        <v>3.467803319</v>
      </c>
    </row>
    <row r="30">
      <c r="A30" s="27" t="s">
        <v>126</v>
      </c>
      <c r="B30" s="78" t="s">
        <v>127</v>
      </c>
      <c r="C30" s="3">
        <v>99.87</v>
      </c>
      <c r="D30" s="27">
        <v>6.0</v>
      </c>
      <c r="E30" s="5">
        <f t="shared" si="3"/>
        <v>599.22</v>
      </c>
      <c r="G30" s="5">
        <f>IFERROR(__xludf.DUMMYFUNCTION("GOOGLEFINANCE(B30)"),22.65)</f>
        <v>22.65</v>
      </c>
      <c r="H30" s="5">
        <f t="shared" si="1"/>
        <v>135.9</v>
      </c>
      <c r="I30" s="71">
        <f t="shared" si="2"/>
        <v>-0.7732051667</v>
      </c>
    </row>
    <row r="31">
      <c r="A31" s="27" t="s">
        <v>257</v>
      </c>
      <c r="B31" s="78" t="s">
        <v>258</v>
      </c>
      <c r="C31" s="3">
        <v>93.51</v>
      </c>
      <c r="D31" s="27">
        <v>1.0</v>
      </c>
      <c r="E31" s="5">
        <f t="shared" si="3"/>
        <v>93.51</v>
      </c>
      <c r="G31" s="5">
        <f>IFERROR(__xludf.DUMMYFUNCTION("GOOGLEFINANCE(B31)"),16.35)</f>
        <v>16.35</v>
      </c>
      <c r="H31" s="5">
        <f t="shared" si="1"/>
        <v>16.35</v>
      </c>
      <c r="I31" s="71">
        <f t="shared" si="2"/>
        <v>-0.8251523901</v>
      </c>
    </row>
    <row r="32">
      <c r="A32" s="27" t="s">
        <v>208</v>
      </c>
      <c r="B32" s="78" t="s">
        <v>209</v>
      </c>
      <c r="C32" s="3">
        <v>80.1</v>
      </c>
      <c r="D32" s="27">
        <v>2.0</v>
      </c>
      <c r="E32" s="5">
        <f t="shared" si="3"/>
        <v>160.2</v>
      </c>
      <c r="G32" s="5">
        <f>IFERROR(__xludf.DUMMYFUNCTION("GOOGLEFINANCE(B32)"),35.59)</f>
        <v>35.59</v>
      </c>
      <c r="H32" s="5">
        <f t="shared" si="1"/>
        <v>71.18</v>
      </c>
      <c r="I32" s="71">
        <f t="shared" si="2"/>
        <v>-0.5556803995</v>
      </c>
    </row>
    <row r="33">
      <c r="A33" s="27" t="s">
        <v>148</v>
      </c>
      <c r="B33" s="78" t="s">
        <v>149</v>
      </c>
      <c r="C33" s="3">
        <v>14.67</v>
      </c>
      <c r="D33" s="27">
        <v>25.0</v>
      </c>
      <c r="E33" s="5">
        <f t="shared" si="3"/>
        <v>366.75</v>
      </c>
      <c r="G33" s="5">
        <f>IFERROR(__xludf.DUMMYFUNCTION("GOOGLEFINANCE(B33)"),7.37)</f>
        <v>7.37</v>
      </c>
      <c r="H33" s="5">
        <f t="shared" si="1"/>
        <v>184.25</v>
      </c>
      <c r="I33" s="71">
        <f t="shared" si="2"/>
        <v>-0.4976141786</v>
      </c>
    </row>
    <row r="34">
      <c r="A34" s="27" t="s">
        <v>259</v>
      </c>
      <c r="B34" s="78" t="s">
        <v>260</v>
      </c>
      <c r="C34" s="3">
        <v>117.0</v>
      </c>
      <c r="D34" s="27">
        <v>1.0</v>
      </c>
      <c r="E34" s="5">
        <f t="shared" si="3"/>
        <v>117</v>
      </c>
      <c r="G34" s="69">
        <v>172.33</v>
      </c>
      <c r="H34" s="5">
        <f t="shared" si="1"/>
        <v>172.33</v>
      </c>
      <c r="I34" s="71">
        <f t="shared" si="2"/>
        <v>0.4729059829</v>
      </c>
    </row>
    <row r="35">
      <c r="A35" s="27" t="s">
        <v>160</v>
      </c>
      <c r="B35" s="78" t="s">
        <v>161</v>
      </c>
      <c r="C35" s="3">
        <v>99.04</v>
      </c>
      <c r="D35" s="27">
        <v>5.0</v>
      </c>
      <c r="E35" s="5">
        <f t="shared" si="3"/>
        <v>495.2</v>
      </c>
      <c r="G35" s="5">
        <f>IFERROR(__xludf.DUMMYFUNCTION("GOOGLEFINANCE(B35)"),41.45)</f>
        <v>41.45</v>
      </c>
      <c r="H35" s="5">
        <f t="shared" si="1"/>
        <v>207.25</v>
      </c>
      <c r="I35" s="71">
        <f t="shared" si="2"/>
        <v>-0.5814822294</v>
      </c>
    </row>
    <row r="36">
      <c r="A36" s="27" t="s">
        <v>261</v>
      </c>
      <c r="B36" s="78" t="s">
        <v>215</v>
      </c>
      <c r="C36" s="3">
        <v>35.7</v>
      </c>
      <c r="D36" s="27">
        <v>2.0</v>
      </c>
      <c r="E36" s="5">
        <f t="shared" si="3"/>
        <v>71.4</v>
      </c>
      <c r="G36" s="5">
        <f>IFERROR(__xludf.DUMMYFUNCTION("GOOGLEFINANCE(B36)"),7.22)</f>
        <v>7.22</v>
      </c>
      <c r="H36" s="5">
        <f t="shared" si="1"/>
        <v>14.44</v>
      </c>
      <c r="I36" s="71">
        <f t="shared" si="2"/>
        <v>-0.7977591036</v>
      </c>
    </row>
    <row r="37">
      <c r="A37" s="27" t="s">
        <v>262</v>
      </c>
      <c r="B37" s="78" t="s">
        <v>263</v>
      </c>
      <c r="C37" s="3">
        <v>37170.59</v>
      </c>
      <c r="D37" s="27">
        <v>0.02690084</v>
      </c>
      <c r="E37" s="5">
        <f t="shared" si="3"/>
        <v>999.9200943</v>
      </c>
      <c r="G37" s="5">
        <f>53941.16</f>
        <v>53941.16</v>
      </c>
      <c r="H37" s="5">
        <f t="shared" si="1"/>
        <v>1451.062515</v>
      </c>
      <c r="I37" s="71">
        <f t="shared" si="2"/>
        <v>0.451178472</v>
      </c>
    </row>
    <row r="38">
      <c r="A38" s="27" t="s">
        <v>166</v>
      </c>
      <c r="B38" s="78" t="s">
        <v>167</v>
      </c>
      <c r="C38" s="3">
        <v>14.49</v>
      </c>
      <c r="D38" s="27">
        <v>20.0</v>
      </c>
      <c r="E38" s="5">
        <f t="shared" si="3"/>
        <v>289.8</v>
      </c>
      <c r="G38" s="5">
        <f>IFERROR(__xludf.DUMMYFUNCTION("GOOGLEFINANCE(B38)"),1.19)</f>
        <v>1.19</v>
      </c>
      <c r="H38" s="5">
        <f t="shared" si="1"/>
        <v>23.8</v>
      </c>
      <c r="I38" s="71">
        <f t="shared" si="2"/>
        <v>-0.9178743961</v>
      </c>
    </row>
    <row r="39">
      <c r="A39" s="27" t="s">
        <v>264</v>
      </c>
      <c r="B39" s="78" t="s">
        <v>177</v>
      </c>
      <c r="C39" s="3">
        <v>298.18</v>
      </c>
      <c r="D39" s="27">
        <v>1.0</v>
      </c>
      <c r="E39" s="5">
        <f t="shared" si="3"/>
        <v>298.18</v>
      </c>
      <c r="G39" s="5">
        <f>IFERROR(__xludf.DUMMYFUNCTION("GOOGLEFINANCE(B39)"),32.32)</f>
        <v>32.32</v>
      </c>
      <c r="H39" s="5">
        <f t="shared" si="1"/>
        <v>32.32</v>
      </c>
      <c r="I39" s="71">
        <f t="shared" si="2"/>
        <v>-0.8916090952</v>
      </c>
    </row>
    <row r="40">
      <c r="A40" s="27" t="s">
        <v>265</v>
      </c>
      <c r="B40" s="78" t="s">
        <v>266</v>
      </c>
      <c r="C40" s="3">
        <v>120.96</v>
      </c>
      <c r="D40" s="27">
        <v>2.0</v>
      </c>
      <c r="E40" s="5">
        <f t="shared" si="3"/>
        <v>241.92</v>
      </c>
      <c r="G40" s="5">
        <f>IFERROR(__xludf.DUMMYFUNCTION("GOOGLEFINANCE(B40)"),9.92)</f>
        <v>9.92</v>
      </c>
      <c r="H40" s="5">
        <f t="shared" si="1"/>
        <v>19.84</v>
      </c>
      <c r="I40" s="71">
        <f t="shared" si="2"/>
        <v>-0.917989418</v>
      </c>
    </row>
    <row r="41">
      <c r="A41" s="27" t="s">
        <v>267</v>
      </c>
      <c r="B41" s="78" t="s">
        <v>145</v>
      </c>
      <c r="C41" s="3">
        <v>101.26</v>
      </c>
      <c r="D41" s="27">
        <v>3.0</v>
      </c>
      <c r="E41" s="5">
        <f t="shared" si="3"/>
        <v>303.78</v>
      </c>
      <c r="G41" s="5">
        <f>IFERROR(__xludf.DUMMYFUNCTION("GOOGLEFINANCE(B41)"),36.86)</f>
        <v>36.86</v>
      </c>
      <c r="H41" s="5">
        <f t="shared" si="1"/>
        <v>110.58</v>
      </c>
      <c r="I41" s="71">
        <f t="shared" si="2"/>
        <v>-0.6359865692</v>
      </c>
    </row>
    <row r="42">
      <c r="A42" s="27" t="s">
        <v>216</v>
      </c>
      <c r="B42" s="78" t="s">
        <v>217</v>
      </c>
      <c r="C42" s="3">
        <v>27.52</v>
      </c>
      <c r="D42" s="27">
        <v>5.0</v>
      </c>
      <c r="E42" s="5">
        <f t="shared" si="3"/>
        <v>137.6</v>
      </c>
      <c r="G42" s="5">
        <f>IFERROR(__xludf.DUMMYFUNCTION("GOOGLEFINANCE(B42)"),1.17)</f>
        <v>1.17</v>
      </c>
      <c r="H42" s="5">
        <f t="shared" si="1"/>
        <v>5.85</v>
      </c>
      <c r="I42" s="71">
        <f t="shared" si="2"/>
        <v>-0.9574854651</v>
      </c>
    </row>
    <row r="43">
      <c r="A43" s="27" t="s">
        <v>174</v>
      </c>
      <c r="B43" s="78" t="s">
        <v>175</v>
      </c>
      <c r="C43" s="3">
        <v>404.31</v>
      </c>
      <c r="D43" s="27">
        <v>1.0</v>
      </c>
      <c r="E43" s="5">
        <f t="shared" si="3"/>
        <v>404.31</v>
      </c>
      <c r="G43" s="5">
        <f>IFERROR(__xludf.DUMMYFUNCTION("GOOGLEFINANCE(B43)"),198.81)</f>
        <v>198.81</v>
      </c>
      <c r="H43" s="5">
        <f t="shared" si="1"/>
        <v>198.81</v>
      </c>
      <c r="I43" s="71">
        <f t="shared" si="2"/>
        <v>-0.5082733546</v>
      </c>
    </row>
    <row r="44">
      <c r="B44" s="79"/>
      <c r="C44" s="2"/>
    </row>
    <row r="45">
      <c r="B45" s="79"/>
      <c r="C45" s="2"/>
    </row>
    <row r="46">
      <c r="B46" s="79"/>
      <c r="C46" s="2"/>
    </row>
    <row r="47">
      <c r="B47" s="79"/>
      <c r="C47" s="2"/>
    </row>
    <row r="48">
      <c r="B48" s="79"/>
      <c r="C48" s="2"/>
    </row>
    <row r="49">
      <c r="B49" s="79"/>
      <c r="C49" s="2"/>
    </row>
    <row r="50">
      <c r="B50" s="79"/>
      <c r="C50" s="2"/>
    </row>
    <row r="51">
      <c r="B51" s="79"/>
      <c r="C51" s="2"/>
    </row>
    <row r="52">
      <c r="B52" s="79"/>
      <c r="C52" s="2"/>
    </row>
    <row r="53">
      <c r="B53" s="79"/>
      <c r="C53" s="2"/>
    </row>
    <row r="54">
      <c r="B54" s="79"/>
      <c r="C54" s="2"/>
    </row>
    <row r="55">
      <c r="B55" s="79"/>
      <c r="C55" s="2"/>
    </row>
    <row r="56">
      <c r="B56" s="79"/>
      <c r="C56" s="2"/>
    </row>
    <row r="57">
      <c r="B57" s="79"/>
      <c r="C57" s="2"/>
    </row>
    <row r="58">
      <c r="B58" s="79"/>
      <c r="C58" s="2"/>
    </row>
    <row r="59">
      <c r="B59" s="79"/>
      <c r="C59" s="2"/>
    </row>
    <row r="60">
      <c r="B60" s="79"/>
      <c r="C60" s="2"/>
    </row>
    <row r="61">
      <c r="B61" s="79"/>
      <c r="C61" s="2"/>
    </row>
    <row r="62">
      <c r="B62" s="79"/>
      <c r="C62" s="2"/>
    </row>
    <row r="63">
      <c r="B63" s="79"/>
      <c r="C63" s="2"/>
    </row>
    <row r="64">
      <c r="B64" s="79"/>
      <c r="C64" s="2"/>
    </row>
    <row r="65">
      <c r="B65" s="79"/>
      <c r="C65" s="2"/>
    </row>
    <row r="66">
      <c r="B66" s="79"/>
      <c r="C66" s="2"/>
    </row>
    <row r="67">
      <c r="B67" s="79"/>
      <c r="C67" s="2"/>
    </row>
    <row r="68">
      <c r="B68" s="79"/>
      <c r="C68" s="2"/>
    </row>
    <row r="69">
      <c r="B69" s="79"/>
      <c r="C69" s="2"/>
    </row>
    <row r="70">
      <c r="B70" s="79"/>
      <c r="C70" s="2"/>
    </row>
    <row r="71">
      <c r="B71" s="79"/>
      <c r="C71" s="2"/>
    </row>
    <row r="72">
      <c r="B72" s="79"/>
      <c r="C72" s="2"/>
    </row>
    <row r="73">
      <c r="B73" s="79"/>
      <c r="C73" s="2"/>
    </row>
    <row r="74">
      <c r="B74" s="79"/>
      <c r="C74" s="2"/>
    </row>
    <row r="75">
      <c r="B75" s="79"/>
      <c r="C75" s="2"/>
    </row>
    <row r="76">
      <c r="B76" s="79"/>
      <c r="C76" s="2"/>
    </row>
    <row r="77">
      <c r="B77" s="79"/>
      <c r="C77" s="2"/>
    </row>
    <row r="78">
      <c r="B78" s="79"/>
      <c r="C78" s="2"/>
    </row>
    <row r="79">
      <c r="B79" s="79"/>
      <c r="C79" s="2"/>
    </row>
    <row r="80">
      <c r="B80" s="79"/>
      <c r="C80" s="2"/>
    </row>
    <row r="81">
      <c r="B81" s="79"/>
      <c r="C81" s="2"/>
    </row>
    <row r="82">
      <c r="B82" s="79"/>
      <c r="C82" s="2"/>
    </row>
    <row r="83">
      <c r="B83" s="79"/>
      <c r="C83" s="2"/>
    </row>
    <row r="84">
      <c r="B84" s="79"/>
      <c r="C84" s="2"/>
    </row>
    <row r="85">
      <c r="B85" s="79"/>
      <c r="C85" s="2"/>
    </row>
    <row r="86">
      <c r="B86" s="79"/>
      <c r="C86" s="2"/>
    </row>
    <row r="87">
      <c r="B87" s="79"/>
      <c r="C87" s="2"/>
    </row>
    <row r="88">
      <c r="B88" s="79"/>
      <c r="C88" s="2"/>
    </row>
    <row r="89">
      <c r="B89" s="79"/>
      <c r="C89" s="2"/>
    </row>
    <row r="90">
      <c r="B90" s="79"/>
      <c r="C90" s="2"/>
    </row>
    <row r="91">
      <c r="B91" s="79"/>
      <c r="C91" s="2"/>
    </row>
    <row r="92">
      <c r="B92" s="79"/>
      <c r="C92" s="2"/>
    </row>
    <row r="93">
      <c r="B93" s="79"/>
      <c r="C93" s="2"/>
    </row>
    <row r="94">
      <c r="B94" s="79"/>
      <c r="C94" s="2"/>
    </row>
    <row r="95">
      <c r="B95" s="79"/>
      <c r="C95" s="2"/>
    </row>
    <row r="96">
      <c r="B96" s="79"/>
      <c r="C96" s="2"/>
    </row>
    <row r="97">
      <c r="B97" s="79"/>
      <c r="C97" s="2"/>
    </row>
    <row r="98">
      <c r="B98" s="79"/>
      <c r="C98" s="2"/>
    </row>
    <row r="99">
      <c r="B99" s="79"/>
      <c r="C99" s="2"/>
    </row>
    <row r="100">
      <c r="B100" s="79"/>
      <c r="C100" s="2"/>
    </row>
    <row r="101">
      <c r="B101" s="79"/>
      <c r="C101" s="2"/>
    </row>
    <row r="102">
      <c r="B102" s="79"/>
      <c r="C102" s="2"/>
    </row>
    <row r="103">
      <c r="B103" s="79"/>
      <c r="C103" s="2"/>
    </row>
    <row r="104">
      <c r="B104" s="79"/>
      <c r="C104" s="2"/>
    </row>
    <row r="105">
      <c r="B105" s="79"/>
      <c r="C105" s="2"/>
    </row>
    <row r="106">
      <c r="B106" s="79"/>
      <c r="C106" s="2"/>
    </row>
    <row r="107">
      <c r="B107" s="79"/>
      <c r="C107" s="2"/>
    </row>
    <row r="108">
      <c r="B108" s="79"/>
      <c r="C108" s="2"/>
    </row>
    <row r="109">
      <c r="B109" s="79"/>
      <c r="C109" s="2"/>
    </row>
    <row r="110">
      <c r="B110" s="79"/>
      <c r="C110" s="2"/>
    </row>
    <row r="111">
      <c r="B111" s="79"/>
      <c r="C111" s="2"/>
    </row>
    <row r="112">
      <c r="B112" s="79"/>
      <c r="C112" s="2"/>
    </row>
    <row r="113">
      <c r="B113" s="79"/>
      <c r="C113" s="2"/>
    </row>
    <row r="114">
      <c r="B114" s="79"/>
      <c r="C114" s="2"/>
    </row>
    <row r="115">
      <c r="B115" s="79"/>
      <c r="C115" s="2"/>
    </row>
    <row r="116">
      <c r="B116" s="79"/>
      <c r="C116" s="2"/>
    </row>
    <row r="117">
      <c r="B117" s="79"/>
      <c r="C117" s="2"/>
    </row>
    <row r="118">
      <c r="B118" s="79"/>
      <c r="C118" s="2"/>
    </row>
    <row r="119">
      <c r="B119" s="79"/>
      <c r="C119" s="2"/>
    </row>
    <row r="120">
      <c r="B120" s="79"/>
      <c r="C120" s="2"/>
    </row>
    <row r="121">
      <c r="B121" s="79"/>
      <c r="C121" s="2"/>
    </row>
    <row r="122">
      <c r="B122" s="79"/>
      <c r="C122" s="2"/>
    </row>
    <row r="123">
      <c r="B123" s="79"/>
      <c r="C123" s="2"/>
    </row>
    <row r="124">
      <c r="B124" s="79"/>
      <c r="C124" s="2"/>
    </row>
    <row r="125">
      <c r="B125" s="79"/>
      <c r="C125" s="2"/>
    </row>
    <row r="126">
      <c r="B126" s="79"/>
      <c r="C126" s="2"/>
    </row>
    <row r="127">
      <c r="B127" s="79"/>
      <c r="C127" s="2"/>
    </row>
    <row r="128">
      <c r="B128" s="79"/>
      <c r="C128" s="2"/>
    </row>
    <row r="129">
      <c r="B129" s="79"/>
      <c r="C129" s="2"/>
    </row>
    <row r="130">
      <c r="B130" s="79"/>
      <c r="C130" s="2"/>
    </row>
    <row r="131">
      <c r="B131" s="79"/>
      <c r="C131" s="2"/>
    </row>
    <row r="132">
      <c r="B132" s="79"/>
      <c r="C132" s="2"/>
    </row>
    <row r="133">
      <c r="B133" s="79"/>
      <c r="C133" s="2"/>
    </row>
    <row r="134">
      <c r="B134" s="79"/>
      <c r="C134" s="2"/>
    </row>
    <row r="135">
      <c r="B135" s="79"/>
      <c r="C135" s="2"/>
    </row>
    <row r="136">
      <c r="B136" s="79"/>
      <c r="C136" s="2"/>
    </row>
    <row r="137">
      <c r="B137" s="79"/>
      <c r="C137" s="2"/>
    </row>
    <row r="138">
      <c r="B138" s="79"/>
      <c r="C138" s="2"/>
    </row>
    <row r="139">
      <c r="B139" s="79"/>
      <c r="C139" s="2"/>
    </row>
    <row r="140">
      <c r="B140" s="79"/>
      <c r="C140" s="2"/>
    </row>
    <row r="141">
      <c r="B141" s="79"/>
      <c r="C141" s="2"/>
    </row>
    <row r="142">
      <c r="B142" s="79"/>
      <c r="C142" s="2"/>
    </row>
    <row r="143">
      <c r="B143" s="79"/>
      <c r="C143" s="2"/>
    </row>
    <row r="144">
      <c r="B144" s="79"/>
      <c r="C144" s="2"/>
    </row>
    <row r="145">
      <c r="B145" s="79"/>
      <c r="C145" s="2"/>
    </row>
    <row r="146">
      <c r="B146" s="79"/>
      <c r="C146" s="2"/>
    </row>
    <row r="147">
      <c r="B147" s="79"/>
      <c r="C147" s="2"/>
    </row>
    <row r="148">
      <c r="B148" s="79"/>
      <c r="C148" s="2"/>
    </row>
    <row r="149">
      <c r="B149" s="79"/>
      <c r="C149" s="2"/>
    </row>
    <row r="150">
      <c r="B150" s="79"/>
      <c r="C150" s="2"/>
    </row>
    <row r="151">
      <c r="B151" s="79"/>
      <c r="C151" s="2"/>
    </row>
    <row r="152">
      <c r="B152" s="79"/>
      <c r="C152" s="2"/>
    </row>
    <row r="153">
      <c r="B153" s="79"/>
      <c r="C153" s="2"/>
    </row>
    <row r="154">
      <c r="B154" s="79"/>
      <c r="C154" s="2"/>
    </row>
    <row r="155">
      <c r="B155" s="79"/>
      <c r="C155" s="2"/>
    </row>
    <row r="156">
      <c r="B156" s="79"/>
      <c r="C156" s="2"/>
    </row>
    <row r="157">
      <c r="B157" s="79"/>
      <c r="C157" s="2"/>
    </row>
    <row r="158">
      <c r="B158" s="79"/>
      <c r="C158" s="2"/>
    </row>
    <row r="159">
      <c r="B159" s="79"/>
      <c r="C159" s="2"/>
    </row>
    <row r="160">
      <c r="B160" s="79"/>
      <c r="C160" s="2"/>
    </row>
    <row r="161">
      <c r="B161" s="79"/>
      <c r="C161" s="2"/>
    </row>
    <row r="162">
      <c r="B162" s="79"/>
      <c r="C162" s="2"/>
    </row>
    <row r="163">
      <c r="B163" s="79"/>
      <c r="C163" s="2"/>
    </row>
    <row r="164">
      <c r="B164" s="79"/>
      <c r="C164" s="2"/>
    </row>
    <row r="165">
      <c r="B165" s="79"/>
      <c r="C165" s="2"/>
    </row>
    <row r="166">
      <c r="B166" s="79"/>
      <c r="C166" s="2"/>
    </row>
    <row r="167">
      <c r="B167" s="79"/>
      <c r="C167" s="2"/>
    </row>
    <row r="168">
      <c r="B168" s="79"/>
      <c r="C168" s="2"/>
    </row>
    <row r="169">
      <c r="B169" s="79"/>
      <c r="C169" s="2"/>
    </row>
    <row r="170">
      <c r="B170" s="79"/>
      <c r="C170" s="2"/>
    </row>
    <row r="171">
      <c r="B171" s="79"/>
      <c r="C171" s="2"/>
    </row>
    <row r="172">
      <c r="B172" s="79"/>
      <c r="C172" s="2"/>
    </row>
    <row r="173">
      <c r="B173" s="79"/>
      <c r="C173" s="2"/>
    </row>
    <row r="174">
      <c r="B174" s="79"/>
      <c r="C174" s="2"/>
    </row>
    <row r="175">
      <c r="B175" s="79"/>
      <c r="C175" s="2"/>
    </row>
    <row r="176">
      <c r="B176" s="79"/>
      <c r="C176" s="2"/>
    </row>
    <row r="177">
      <c r="B177" s="79"/>
      <c r="C177" s="2"/>
    </row>
    <row r="178">
      <c r="B178" s="79"/>
      <c r="C178" s="2"/>
    </row>
    <row r="179">
      <c r="B179" s="79"/>
      <c r="C179" s="2"/>
    </row>
    <row r="180">
      <c r="B180" s="79"/>
      <c r="C180" s="2"/>
    </row>
    <row r="181">
      <c r="B181" s="79"/>
      <c r="C181" s="2"/>
    </row>
    <row r="182">
      <c r="B182" s="79"/>
      <c r="C182" s="2"/>
    </row>
    <row r="183">
      <c r="B183" s="79"/>
      <c r="C183" s="2"/>
    </row>
    <row r="184">
      <c r="B184" s="79"/>
      <c r="C184" s="2"/>
    </row>
    <row r="185">
      <c r="B185" s="79"/>
      <c r="C185" s="2"/>
    </row>
    <row r="186">
      <c r="B186" s="79"/>
      <c r="C186" s="2"/>
    </row>
    <row r="187">
      <c r="B187" s="79"/>
      <c r="C187" s="2"/>
    </row>
    <row r="188">
      <c r="B188" s="79"/>
      <c r="C188" s="2"/>
    </row>
    <row r="189">
      <c r="B189" s="79"/>
      <c r="C189" s="2"/>
    </row>
    <row r="190">
      <c r="B190" s="79"/>
      <c r="C190" s="2"/>
    </row>
    <row r="191">
      <c r="B191" s="79"/>
      <c r="C191" s="2"/>
    </row>
    <row r="192">
      <c r="B192" s="79"/>
      <c r="C192" s="2"/>
    </row>
    <row r="193">
      <c r="B193" s="79"/>
      <c r="C193" s="2"/>
    </row>
    <row r="194">
      <c r="B194" s="79"/>
      <c r="C194" s="2"/>
    </row>
    <row r="195">
      <c r="B195" s="79"/>
      <c r="C195" s="2"/>
    </row>
    <row r="196">
      <c r="B196" s="79"/>
      <c r="C196" s="2"/>
    </row>
    <row r="197">
      <c r="B197" s="79"/>
      <c r="C197" s="2"/>
    </row>
    <row r="198">
      <c r="B198" s="79"/>
      <c r="C198" s="2"/>
    </row>
    <row r="199">
      <c r="B199" s="79"/>
      <c r="C199" s="2"/>
    </row>
    <row r="200">
      <c r="B200" s="79"/>
      <c r="C200" s="2"/>
    </row>
    <row r="201">
      <c r="B201" s="79"/>
      <c r="C201" s="2"/>
    </row>
    <row r="202">
      <c r="B202" s="79"/>
      <c r="C202" s="2"/>
    </row>
    <row r="203">
      <c r="B203" s="79"/>
      <c r="C203" s="2"/>
    </row>
    <row r="204">
      <c r="B204" s="79"/>
      <c r="C204" s="2"/>
    </row>
    <row r="205">
      <c r="B205" s="79"/>
      <c r="C205" s="2"/>
    </row>
    <row r="206">
      <c r="B206" s="79"/>
      <c r="C206" s="2"/>
    </row>
    <row r="207">
      <c r="B207" s="79"/>
      <c r="C207" s="2"/>
    </row>
    <row r="208">
      <c r="B208" s="79"/>
      <c r="C208" s="2"/>
    </row>
    <row r="209">
      <c r="B209" s="79"/>
      <c r="C209" s="2"/>
    </row>
    <row r="210">
      <c r="B210" s="79"/>
      <c r="C210" s="2"/>
    </row>
    <row r="211">
      <c r="B211" s="79"/>
      <c r="C211" s="2"/>
    </row>
    <row r="212">
      <c r="B212" s="79"/>
      <c r="C212" s="2"/>
    </row>
    <row r="213">
      <c r="B213" s="79"/>
      <c r="C213" s="2"/>
    </row>
    <row r="214">
      <c r="B214" s="79"/>
      <c r="C214" s="2"/>
    </row>
    <row r="215">
      <c r="B215" s="79"/>
      <c r="C215" s="2"/>
    </row>
    <row r="216">
      <c r="B216" s="79"/>
      <c r="C216" s="2"/>
    </row>
    <row r="217">
      <c r="B217" s="79"/>
      <c r="C217" s="2"/>
    </row>
    <row r="218">
      <c r="B218" s="79"/>
      <c r="C218" s="2"/>
    </row>
    <row r="219">
      <c r="B219" s="79"/>
      <c r="C219" s="2"/>
    </row>
    <row r="220">
      <c r="B220" s="79"/>
      <c r="C220" s="2"/>
    </row>
    <row r="221">
      <c r="B221" s="79"/>
      <c r="C221" s="2"/>
    </row>
    <row r="222">
      <c r="B222" s="79"/>
      <c r="C222" s="2"/>
    </row>
    <row r="223">
      <c r="B223" s="79"/>
      <c r="C223" s="2"/>
    </row>
    <row r="224">
      <c r="B224" s="79"/>
      <c r="C224" s="2"/>
    </row>
    <row r="225">
      <c r="B225" s="79"/>
      <c r="C225" s="2"/>
    </row>
    <row r="226">
      <c r="B226" s="79"/>
      <c r="C226" s="2"/>
    </row>
    <row r="227">
      <c r="B227" s="79"/>
      <c r="C227" s="2"/>
    </row>
    <row r="228">
      <c r="B228" s="79"/>
      <c r="C228" s="2"/>
    </row>
    <row r="229">
      <c r="B229" s="79"/>
      <c r="C229" s="2"/>
    </row>
    <row r="230">
      <c r="B230" s="79"/>
      <c r="C230" s="2"/>
    </row>
    <row r="231">
      <c r="B231" s="79"/>
      <c r="C231" s="2"/>
    </row>
    <row r="232">
      <c r="B232" s="79"/>
      <c r="C232" s="2"/>
    </row>
    <row r="233">
      <c r="B233" s="79"/>
      <c r="C233" s="2"/>
    </row>
    <row r="234">
      <c r="B234" s="79"/>
      <c r="C234" s="2"/>
    </row>
    <row r="235">
      <c r="B235" s="79"/>
      <c r="C235" s="2"/>
    </row>
    <row r="236">
      <c r="B236" s="79"/>
      <c r="C236" s="2"/>
    </row>
    <row r="237">
      <c r="B237" s="79"/>
      <c r="C237" s="2"/>
    </row>
    <row r="238">
      <c r="B238" s="79"/>
      <c r="C238" s="2"/>
    </row>
    <row r="239">
      <c r="B239" s="79"/>
      <c r="C239" s="2"/>
    </row>
    <row r="240">
      <c r="B240" s="79"/>
      <c r="C240" s="2"/>
    </row>
    <row r="241">
      <c r="B241" s="79"/>
      <c r="C241" s="2"/>
    </row>
    <row r="242">
      <c r="B242" s="79"/>
      <c r="C242" s="2"/>
    </row>
    <row r="243">
      <c r="B243" s="79"/>
      <c r="C243" s="2"/>
    </row>
    <row r="244">
      <c r="B244" s="79"/>
      <c r="C244" s="2"/>
    </row>
    <row r="245">
      <c r="B245" s="79"/>
      <c r="C245" s="2"/>
    </row>
    <row r="246">
      <c r="B246" s="79"/>
      <c r="C246" s="2"/>
    </row>
    <row r="247">
      <c r="B247" s="79"/>
      <c r="C247" s="2"/>
    </row>
    <row r="248">
      <c r="B248" s="79"/>
      <c r="C248" s="2"/>
    </row>
    <row r="249">
      <c r="B249" s="79"/>
      <c r="C249" s="2"/>
    </row>
    <row r="250">
      <c r="B250" s="79"/>
      <c r="C250" s="2"/>
    </row>
    <row r="251">
      <c r="B251" s="79"/>
      <c r="C251" s="2"/>
    </row>
    <row r="252">
      <c r="B252" s="79"/>
      <c r="C252" s="2"/>
    </row>
    <row r="253">
      <c r="B253" s="79"/>
      <c r="C253" s="2"/>
    </row>
    <row r="254">
      <c r="B254" s="79"/>
      <c r="C254" s="2"/>
    </row>
    <row r="255">
      <c r="B255" s="79"/>
      <c r="C255" s="2"/>
    </row>
    <row r="256">
      <c r="B256" s="79"/>
      <c r="C256" s="2"/>
    </row>
    <row r="257">
      <c r="B257" s="79"/>
      <c r="C257" s="2"/>
    </row>
    <row r="258">
      <c r="B258" s="79"/>
      <c r="C258" s="2"/>
    </row>
    <row r="259">
      <c r="B259" s="79"/>
      <c r="C259" s="2"/>
    </row>
    <row r="260">
      <c r="B260" s="79"/>
      <c r="C260" s="2"/>
    </row>
    <row r="261">
      <c r="B261" s="79"/>
      <c r="C261" s="2"/>
    </row>
    <row r="262">
      <c r="B262" s="79"/>
      <c r="C262" s="2"/>
    </row>
    <row r="263">
      <c r="B263" s="79"/>
      <c r="C263" s="2"/>
    </row>
    <row r="264">
      <c r="B264" s="79"/>
      <c r="C264" s="2"/>
    </row>
    <row r="265">
      <c r="B265" s="79"/>
      <c r="C265" s="2"/>
    </row>
    <row r="266">
      <c r="B266" s="79"/>
      <c r="C266" s="2"/>
    </row>
    <row r="267">
      <c r="B267" s="79"/>
      <c r="C267" s="2"/>
    </row>
    <row r="268">
      <c r="B268" s="79"/>
      <c r="C268" s="2"/>
    </row>
    <row r="269">
      <c r="B269" s="79"/>
      <c r="C269" s="2"/>
    </row>
    <row r="270">
      <c r="B270" s="79"/>
      <c r="C270" s="2"/>
    </row>
    <row r="271">
      <c r="B271" s="79"/>
      <c r="C271" s="2"/>
    </row>
    <row r="272">
      <c r="B272" s="79"/>
      <c r="C272" s="2"/>
    </row>
    <row r="273">
      <c r="B273" s="79"/>
      <c r="C273" s="2"/>
    </row>
    <row r="274">
      <c r="B274" s="79"/>
      <c r="C274" s="2"/>
    </row>
    <row r="275">
      <c r="B275" s="79"/>
      <c r="C275" s="2"/>
    </row>
    <row r="276">
      <c r="B276" s="79"/>
      <c r="C276" s="2"/>
    </row>
    <row r="277">
      <c r="B277" s="79"/>
      <c r="C277" s="2"/>
    </row>
    <row r="278">
      <c r="B278" s="79"/>
      <c r="C278" s="2"/>
    </row>
    <row r="279">
      <c r="B279" s="79"/>
      <c r="C279" s="2"/>
    </row>
    <row r="280">
      <c r="B280" s="79"/>
      <c r="C280" s="2"/>
    </row>
    <row r="281">
      <c r="B281" s="79"/>
      <c r="C281" s="2"/>
    </row>
    <row r="282">
      <c r="B282" s="79"/>
      <c r="C282" s="2"/>
    </row>
    <row r="283">
      <c r="B283" s="79"/>
      <c r="C283" s="2"/>
    </row>
    <row r="284">
      <c r="B284" s="79"/>
      <c r="C284" s="2"/>
    </row>
    <row r="285">
      <c r="B285" s="79"/>
      <c r="C285" s="2"/>
    </row>
    <row r="286">
      <c r="B286" s="79"/>
      <c r="C286" s="2"/>
    </row>
    <row r="287">
      <c r="B287" s="79"/>
      <c r="C287" s="2"/>
    </row>
    <row r="288">
      <c r="B288" s="79"/>
      <c r="C288" s="2"/>
    </row>
    <row r="289">
      <c r="B289" s="79"/>
      <c r="C289" s="2"/>
    </row>
    <row r="290">
      <c r="B290" s="79"/>
      <c r="C290" s="2"/>
    </row>
    <row r="291">
      <c r="B291" s="79"/>
      <c r="C291" s="2"/>
    </row>
    <row r="292">
      <c r="B292" s="79"/>
      <c r="C292" s="2"/>
    </row>
    <row r="293">
      <c r="B293" s="79"/>
      <c r="C293" s="2"/>
    </row>
    <row r="294">
      <c r="B294" s="79"/>
      <c r="C294" s="2"/>
    </row>
    <row r="295">
      <c r="B295" s="79"/>
      <c r="C295" s="2"/>
    </row>
    <row r="296">
      <c r="B296" s="79"/>
      <c r="C296" s="2"/>
    </row>
    <row r="297">
      <c r="B297" s="79"/>
      <c r="C297" s="2"/>
    </row>
    <row r="298">
      <c r="B298" s="79"/>
      <c r="C298" s="2"/>
    </row>
    <row r="299">
      <c r="B299" s="79"/>
      <c r="C299" s="2"/>
    </row>
    <row r="300">
      <c r="B300" s="79"/>
      <c r="C300" s="2"/>
    </row>
    <row r="301">
      <c r="B301" s="79"/>
      <c r="C301" s="2"/>
    </row>
    <row r="302">
      <c r="B302" s="79"/>
      <c r="C302" s="2"/>
    </row>
    <row r="303">
      <c r="B303" s="79"/>
      <c r="C303" s="2"/>
    </row>
    <row r="304">
      <c r="B304" s="79"/>
      <c r="C304" s="2"/>
    </row>
    <row r="305">
      <c r="B305" s="79"/>
      <c r="C305" s="2"/>
    </row>
    <row r="306">
      <c r="B306" s="79"/>
      <c r="C306" s="2"/>
    </row>
    <row r="307">
      <c r="B307" s="79"/>
      <c r="C307" s="2"/>
    </row>
    <row r="308">
      <c r="B308" s="79"/>
      <c r="C308" s="2"/>
    </row>
    <row r="309">
      <c r="B309" s="79"/>
      <c r="C309" s="2"/>
    </row>
    <row r="310">
      <c r="B310" s="79"/>
      <c r="C310" s="2"/>
    </row>
    <row r="311">
      <c r="B311" s="79"/>
      <c r="C311" s="2"/>
    </row>
    <row r="312">
      <c r="B312" s="79"/>
      <c r="C312" s="2"/>
    </row>
    <row r="313">
      <c r="B313" s="79"/>
      <c r="C313" s="2"/>
    </row>
    <row r="314">
      <c r="B314" s="79"/>
      <c r="C314" s="2"/>
    </row>
    <row r="315">
      <c r="B315" s="79"/>
      <c r="C315" s="2"/>
    </row>
    <row r="316">
      <c r="B316" s="79"/>
      <c r="C316" s="2"/>
    </row>
    <row r="317">
      <c r="B317" s="79"/>
      <c r="C317" s="2"/>
    </row>
    <row r="318">
      <c r="B318" s="79"/>
      <c r="C318" s="2"/>
    </row>
    <row r="319">
      <c r="B319" s="79"/>
      <c r="C319" s="2"/>
    </row>
    <row r="320">
      <c r="B320" s="79"/>
      <c r="C320" s="2"/>
    </row>
    <row r="321">
      <c r="B321" s="79"/>
      <c r="C321" s="2"/>
    </row>
    <row r="322">
      <c r="B322" s="79"/>
      <c r="C322" s="2"/>
    </row>
    <row r="323">
      <c r="B323" s="79"/>
      <c r="C323" s="2"/>
    </row>
    <row r="324">
      <c r="B324" s="79"/>
      <c r="C324" s="2"/>
    </row>
    <row r="325">
      <c r="B325" s="79"/>
      <c r="C325" s="2"/>
    </row>
    <row r="326">
      <c r="B326" s="79"/>
      <c r="C326" s="2"/>
    </row>
    <row r="327">
      <c r="B327" s="79"/>
      <c r="C327" s="2"/>
    </row>
    <row r="328">
      <c r="B328" s="79"/>
      <c r="C328" s="2"/>
    </row>
    <row r="329">
      <c r="B329" s="79"/>
      <c r="C329" s="2"/>
    </row>
    <row r="330">
      <c r="B330" s="79"/>
      <c r="C330" s="2"/>
    </row>
    <row r="331">
      <c r="B331" s="79"/>
      <c r="C331" s="2"/>
    </row>
    <row r="332">
      <c r="B332" s="79"/>
      <c r="C332" s="2"/>
    </row>
    <row r="333">
      <c r="B333" s="79"/>
      <c r="C333" s="2"/>
    </row>
    <row r="334">
      <c r="B334" s="79"/>
      <c r="C334" s="2"/>
    </row>
    <row r="335">
      <c r="B335" s="79"/>
      <c r="C335" s="2"/>
    </row>
    <row r="336">
      <c r="B336" s="79"/>
      <c r="C336" s="2"/>
    </row>
    <row r="337">
      <c r="B337" s="79"/>
      <c r="C337" s="2"/>
    </row>
    <row r="338">
      <c r="B338" s="79"/>
      <c r="C338" s="2"/>
    </row>
    <row r="339">
      <c r="B339" s="79"/>
      <c r="C339" s="2"/>
    </row>
    <row r="340">
      <c r="B340" s="79"/>
      <c r="C340" s="2"/>
    </row>
    <row r="341">
      <c r="B341" s="79"/>
      <c r="C341" s="2"/>
    </row>
    <row r="342">
      <c r="B342" s="79"/>
      <c r="C342" s="2"/>
    </row>
    <row r="343">
      <c r="B343" s="79"/>
      <c r="C343" s="2"/>
    </row>
    <row r="344">
      <c r="B344" s="79"/>
      <c r="C344" s="2"/>
    </row>
    <row r="345">
      <c r="B345" s="79"/>
      <c r="C345" s="2"/>
    </row>
    <row r="346">
      <c r="B346" s="79"/>
      <c r="C346" s="2"/>
    </row>
    <row r="347">
      <c r="B347" s="79"/>
      <c r="C347" s="2"/>
    </row>
    <row r="348">
      <c r="B348" s="79"/>
      <c r="C348" s="2"/>
    </row>
    <row r="349">
      <c r="B349" s="79"/>
      <c r="C349" s="2"/>
    </row>
    <row r="350">
      <c r="B350" s="79"/>
      <c r="C350" s="2"/>
    </row>
    <row r="351">
      <c r="B351" s="79"/>
      <c r="C351" s="2"/>
    </row>
    <row r="352">
      <c r="B352" s="79"/>
      <c r="C352" s="2"/>
    </row>
    <row r="353">
      <c r="B353" s="79"/>
      <c r="C353" s="2"/>
    </row>
    <row r="354">
      <c r="B354" s="79"/>
      <c r="C354" s="2"/>
    </row>
    <row r="355">
      <c r="B355" s="79"/>
      <c r="C355" s="2"/>
    </row>
    <row r="356">
      <c r="B356" s="79"/>
      <c r="C356" s="2"/>
    </row>
    <row r="357">
      <c r="B357" s="79"/>
      <c r="C357" s="2"/>
    </row>
    <row r="358">
      <c r="B358" s="79"/>
      <c r="C358" s="2"/>
    </row>
    <row r="359">
      <c r="B359" s="79"/>
      <c r="C359" s="2"/>
    </row>
    <row r="360">
      <c r="B360" s="79"/>
      <c r="C360" s="2"/>
    </row>
    <row r="361">
      <c r="B361" s="79"/>
      <c r="C361" s="2"/>
    </row>
    <row r="362">
      <c r="B362" s="79"/>
      <c r="C362" s="2"/>
    </row>
    <row r="363">
      <c r="B363" s="79"/>
      <c r="C363" s="2"/>
    </row>
    <row r="364">
      <c r="B364" s="79"/>
      <c r="C364" s="2"/>
    </row>
    <row r="365">
      <c r="B365" s="79"/>
      <c r="C365" s="2"/>
    </row>
    <row r="366">
      <c r="B366" s="79"/>
      <c r="C366" s="2"/>
    </row>
    <row r="367">
      <c r="B367" s="79"/>
      <c r="C367" s="2"/>
    </row>
    <row r="368">
      <c r="B368" s="79"/>
      <c r="C368" s="2"/>
    </row>
    <row r="369">
      <c r="B369" s="79"/>
      <c r="C369" s="2"/>
    </row>
    <row r="370">
      <c r="B370" s="79"/>
      <c r="C370" s="2"/>
    </row>
    <row r="371">
      <c r="B371" s="79"/>
      <c r="C371" s="2"/>
    </row>
    <row r="372">
      <c r="B372" s="79"/>
      <c r="C372" s="2"/>
    </row>
    <row r="373">
      <c r="B373" s="79"/>
      <c r="C373" s="2"/>
    </row>
    <row r="374">
      <c r="B374" s="79"/>
      <c r="C374" s="2"/>
    </row>
    <row r="375">
      <c r="B375" s="79"/>
      <c r="C375" s="2"/>
    </row>
    <row r="376">
      <c r="B376" s="79"/>
      <c r="C376" s="2"/>
    </row>
    <row r="377">
      <c r="B377" s="79"/>
      <c r="C377" s="2"/>
    </row>
    <row r="378">
      <c r="B378" s="79"/>
      <c r="C378" s="2"/>
    </row>
    <row r="379">
      <c r="B379" s="79"/>
      <c r="C379" s="2"/>
    </row>
    <row r="380">
      <c r="B380" s="79"/>
      <c r="C380" s="2"/>
    </row>
    <row r="381">
      <c r="B381" s="79"/>
      <c r="C381" s="2"/>
    </row>
    <row r="382">
      <c r="B382" s="79"/>
      <c r="C382" s="2"/>
    </row>
    <row r="383">
      <c r="B383" s="79"/>
      <c r="C383" s="2"/>
    </row>
    <row r="384">
      <c r="B384" s="79"/>
      <c r="C384" s="2"/>
    </row>
    <row r="385">
      <c r="B385" s="79"/>
      <c r="C385" s="2"/>
    </row>
    <row r="386">
      <c r="B386" s="79"/>
      <c r="C386" s="2"/>
    </row>
    <row r="387">
      <c r="B387" s="79"/>
      <c r="C387" s="2"/>
    </row>
    <row r="388">
      <c r="B388" s="79"/>
      <c r="C388" s="2"/>
    </row>
    <row r="389">
      <c r="B389" s="79"/>
      <c r="C389" s="2"/>
    </row>
    <row r="390">
      <c r="B390" s="79"/>
      <c r="C390" s="2"/>
    </row>
    <row r="391">
      <c r="B391" s="79"/>
      <c r="C391" s="2"/>
    </row>
    <row r="392">
      <c r="B392" s="79"/>
      <c r="C392" s="2"/>
    </row>
    <row r="393">
      <c r="B393" s="79"/>
      <c r="C393" s="2"/>
    </row>
    <row r="394">
      <c r="B394" s="79"/>
      <c r="C394" s="2"/>
    </row>
    <row r="395">
      <c r="B395" s="79"/>
      <c r="C395" s="2"/>
    </row>
    <row r="396">
      <c r="B396" s="79"/>
      <c r="C396" s="2"/>
    </row>
    <row r="397">
      <c r="B397" s="79"/>
      <c r="C397" s="2"/>
    </row>
    <row r="398">
      <c r="B398" s="79"/>
      <c r="C398" s="2"/>
    </row>
    <row r="399">
      <c r="B399" s="79"/>
      <c r="C399" s="2"/>
    </row>
    <row r="400">
      <c r="B400" s="79"/>
      <c r="C400" s="2"/>
    </row>
    <row r="401">
      <c r="B401" s="79"/>
      <c r="C401" s="2"/>
    </row>
    <row r="402">
      <c r="B402" s="79"/>
      <c r="C402" s="2"/>
    </row>
    <row r="403">
      <c r="B403" s="79"/>
      <c r="C403" s="2"/>
    </row>
    <row r="404">
      <c r="B404" s="79"/>
      <c r="C404" s="2"/>
    </row>
    <row r="405">
      <c r="B405" s="79"/>
      <c r="C405" s="2"/>
    </row>
    <row r="406">
      <c r="B406" s="79"/>
      <c r="C406" s="2"/>
    </row>
    <row r="407">
      <c r="B407" s="79"/>
      <c r="C407" s="2"/>
    </row>
    <row r="408">
      <c r="B408" s="79"/>
      <c r="C408" s="2"/>
    </row>
    <row r="409">
      <c r="B409" s="79"/>
      <c r="C409" s="2"/>
    </row>
    <row r="410">
      <c r="B410" s="79"/>
      <c r="C410" s="2"/>
    </row>
    <row r="411">
      <c r="B411" s="79"/>
      <c r="C411" s="2"/>
    </row>
    <row r="412">
      <c r="B412" s="79"/>
      <c r="C412" s="2"/>
    </row>
    <row r="413">
      <c r="B413" s="79"/>
      <c r="C413" s="2"/>
    </row>
    <row r="414">
      <c r="B414" s="79"/>
      <c r="C414" s="2"/>
    </row>
    <row r="415">
      <c r="B415" s="79"/>
      <c r="C415" s="2"/>
    </row>
    <row r="416">
      <c r="B416" s="79"/>
      <c r="C416" s="2"/>
    </row>
    <row r="417">
      <c r="B417" s="79"/>
      <c r="C417" s="2"/>
    </row>
    <row r="418">
      <c r="B418" s="79"/>
      <c r="C418" s="2"/>
    </row>
    <row r="419">
      <c r="B419" s="79"/>
      <c r="C419" s="2"/>
    </row>
    <row r="420">
      <c r="B420" s="79"/>
      <c r="C420" s="2"/>
    </row>
    <row r="421">
      <c r="B421" s="79"/>
      <c r="C421" s="2"/>
    </row>
    <row r="422">
      <c r="B422" s="79"/>
      <c r="C422" s="2"/>
    </row>
    <row r="423">
      <c r="B423" s="79"/>
      <c r="C423" s="2"/>
    </row>
    <row r="424">
      <c r="B424" s="79"/>
      <c r="C424" s="2"/>
    </row>
    <row r="425">
      <c r="B425" s="79"/>
      <c r="C425" s="2"/>
    </row>
    <row r="426">
      <c r="B426" s="79"/>
      <c r="C426" s="2"/>
    </row>
    <row r="427">
      <c r="B427" s="79"/>
      <c r="C427" s="2"/>
    </row>
    <row r="428">
      <c r="B428" s="79"/>
      <c r="C428" s="2"/>
    </row>
    <row r="429">
      <c r="B429" s="79"/>
      <c r="C429" s="2"/>
    </row>
    <row r="430">
      <c r="B430" s="79"/>
      <c r="C430" s="2"/>
    </row>
    <row r="431">
      <c r="B431" s="79"/>
      <c r="C431" s="2"/>
    </row>
    <row r="432">
      <c r="B432" s="79"/>
      <c r="C432" s="2"/>
    </row>
    <row r="433">
      <c r="B433" s="79"/>
      <c r="C433" s="2"/>
    </row>
    <row r="434">
      <c r="B434" s="79"/>
      <c r="C434" s="2"/>
    </row>
    <row r="435">
      <c r="B435" s="79"/>
      <c r="C435" s="2"/>
    </row>
    <row r="436">
      <c r="B436" s="79"/>
      <c r="C436" s="2"/>
    </row>
    <row r="437">
      <c r="B437" s="79"/>
      <c r="C437" s="2"/>
    </row>
    <row r="438">
      <c r="B438" s="79"/>
      <c r="C438" s="2"/>
    </row>
    <row r="439">
      <c r="B439" s="79"/>
      <c r="C439" s="2"/>
    </row>
    <row r="440">
      <c r="B440" s="79"/>
      <c r="C440" s="2"/>
    </row>
    <row r="441">
      <c r="B441" s="79"/>
      <c r="C441" s="2"/>
    </row>
    <row r="442">
      <c r="B442" s="79"/>
      <c r="C442" s="2"/>
    </row>
    <row r="443">
      <c r="B443" s="79"/>
      <c r="C443" s="2"/>
    </row>
    <row r="444">
      <c r="B444" s="79"/>
      <c r="C444" s="2"/>
    </row>
    <row r="445">
      <c r="B445" s="79"/>
      <c r="C445" s="2"/>
    </row>
    <row r="446">
      <c r="B446" s="79"/>
      <c r="C446" s="2"/>
    </row>
    <row r="447">
      <c r="B447" s="79"/>
      <c r="C447" s="2"/>
    </row>
    <row r="448">
      <c r="B448" s="79"/>
      <c r="C448" s="2"/>
    </row>
    <row r="449">
      <c r="B449" s="79"/>
      <c r="C449" s="2"/>
    </row>
    <row r="450">
      <c r="B450" s="79"/>
      <c r="C450" s="2"/>
    </row>
    <row r="451">
      <c r="B451" s="79"/>
      <c r="C451" s="2"/>
    </row>
    <row r="452">
      <c r="B452" s="79"/>
      <c r="C452" s="2"/>
    </row>
    <row r="453">
      <c r="B453" s="79"/>
      <c r="C453" s="2"/>
    </row>
    <row r="454">
      <c r="B454" s="79"/>
      <c r="C454" s="2"/>
    </row>
    <row r="455">
      <c r="B455" s="79"/>
      <c r="C455" s="2"/>
    </row>
    <row r="456">
      <c r="B456" s="79"/>
      <c r="C456" s="2"/>
    </row>
    <row r="457">
      <c r="B457" s="79"/>
      <c r="C457" s="2"/>
    </row>
    <row r="458">
      <c r="B458" s="79"/>
      <c r="C458" s="2"/>
    </row>
    <row r="459">
      <c r="B459" s="79"/>
      <c r="C459" s="2"/>
    </row>
    <row r="460">
      <c r="B460" s="79"/>
      <c r="C460" s="2"/>
    </row>
    <row r="461">
      <c r="B461" s="79"/>
      <c r="C461" s="2"/>
    </row>
    <row r="462">
      <c r="B462" s="79"/>
      <c r="C462" s="2"/>
    </row>
    <row r="463">
      <c r="B463" s="79"/>
      <c r="C463" s="2"/>
    </row>
    <row r="464">
      <c r="B464" s="79"/>
      <c r="C464" s="2"/>
    </row>
    <row r="465">
      <c r="B465" s="79"/>
      <c r="C465" s="2"/>
    </row>
    <row r="466">
      <c r="B466" s="79"/>
      <c r="C466" s="2"/>
    </row>
    <row r="467">
      <c r="B467" s="79"/>
      <c r="C467" s="2"/>
    </row>
    <row r="468">
      <c r="B468" s="79"/>
      <c r="C468" s="2"/>
    </row>
    <row r="469">
      <c r="B469" s="79"/>
      <c r="C469" s="2"/>
    </row>
    <row r="470">
      <c r="B470" s="79"/>
      <c r="C470" s="2"/>
    </row>
    <row r="471">
      <c r="B471" s="79"/>
      <c r="C471" s="2"/>
    </row>
    <row r="472">
      <c r="B472" s="79"/>
      <c r="C472" s="2"/>
    </row>
    <row r="473">
      <c r="B473" s="79"/>
      <c r="C473" s="2"/>
    </row>
    <row r="474">
      <c r="B474" s="79"/>
      <c r="C474" s="2"/>
    </row>
    <row r="475">
      <c r="B475" s="79"/>
      <c r="C475" s="2"/>
    </row>
    <row r="476">
      <c r="B476" s="79"/>
      <c r="C476" s="2"/>
    </row>
    <row r="477">
      <c r="B477" s="79"/>
      <c r="C477" s="2"/>
    </row>
    <row r="478">
      <c r="B478" s="79"/>
      <c r="C478" s="2"/>
    </row>
    <row r="479">
      <c r="B479" s="79"/>
      <c r="C479" s="2"/>
    </row>
    <row r="480">
      <c r="B480" s="79"/>
      <c r="C480" s="2"/>
    </row>
    <row r="481">
      <c r="B481" s="79"/>
      <c r="C481" s="2"/>
    </row>
    <row r="482">
      <c r="B482" s="79"/>
      <c r="C482" s="2"/>
    </row>
    <row r="483">
      <c r="B483" s="79"/>
      <c r="C483" s="2"/>
    </row>
    <row r="484">
      <c r="B484" s="79"/>
      <c r="C484" s="2"/>
    </row>
    <row r="485">
      <c r="B485" s="79"/>
      <c r="C485" s="2"/>
    </row>
    <row r="486">
      <c r="B486" s="79"/>
      <c r="C486" s="2"/>
    </row>
    <row r="487">
      <c r="B487" s="79"/>
      <c r="C487" s="2"/>
    </row>
    <row r="488">
      <c r="B488" s="79"/>
      <c r="C488" s="2"/>
    </row>
    <row r="489">
      <c r="B489" s="79"/>
      <c r="C489" s="2"/>
    </row>
    <row r="490">
      <c r="B490" s="79"/>
      <c r="C490" s="2"/>
    </row>
    <row r="491">
      <c r="B491" s="79"/>
      <c r="C491" s="2"/>
    </row>
    <row r="492">
      <c r="B492" s="79"/>
      <c r="C492" s="2"/>
    </row>
    <row r="493">
      <c r="B493" s="79"/>
      <c r="C493" s="2"/>
    </row>
    <row r="494">
      <c r="B494" s="79"/>
      <c r="C494" s="2"/>
    </row>
    <row r="495">
      <c r="B495" s="79"/>
      <c r="C495" s="2"/>
    </row>
    <row r="496">
      <c r="B496" s="79"/>
      <c r="C496" s="2"/>
    </row>
    <row r="497">
      <c r="B497" s="79"/>
      <c r="C497" s="2"/>
    </row>
    <row r="498">
      <c r="B498" s="79"/>
      <c r="C498" s="2"/>
    </row>
    <row r="499">
      <c r="B499" s="79"/>
      <c r="C499" s="2"/>
    </row>
    <row r="500">
      <c r="B500" s="79"/>
      <c r="C500" s="2"/>
    </row>
    <row r="501">
      <c r="B501" s="79"/>
      <c r="C501" s="2"/>
    </row>
    <row r="502">
      <c r="B502" s="79"/>
      <c r="C502" s="2"/>
    </row>
    <row r="503">
      <c r="B503" s="79"/>
      <c r="C503" s="2"/>
    </row>
    <row r="504">
      <c r="B504" s="79"/>
      <c r="C504" s="2"/>
    </row>
    <row r="505">
      <c r="B505" s="79"/>
      <c r="C505" s="2"/>
    </row>
    <row r="506">
      <c r="B506" s="79"/>
      <c r="C506" s="2"/>
    </row>
    <row r="507">
      <c r="B507" s="79"/>
      <c r="C507" s="2"/>
    </row>
    <row r="508">
      <c r="B508" s="79"/>
      <c r="C508" s="2"/>
    </row>
    <row r="509">
      <c r="B509" s="79"/>
      <c r="C509" s="2"/>
    </row>
    <row r="510">
      <c r="B510" s="79"/>
      <c r="C510" s="2"/>
    </row>
    <row r="511">
      <c r="B511" s="79"/>
      <c r="C511" s="2"/>
    </row>
    <row r="512">
      <c r="B512" s="79"/>
      <c r="C512" s="2"/>
    </row>
    <row r="513">
      <c r="B513" s="79"/>
      <c r="C513" s="2"/>
    </row>
    <row r="514">
      <c r="B514" s="79"/>
      <c r="C514" s="2"/>
    </row>
    <row r="515">
      <c r="B515" s="79"/>
      <c r="C515" s="2"/>
    </row>
    <row r="516">
      <c r="B516" s="79"/>
      <c r="C516" s="2"/>
    </row>
    <row r="517">
      <c r="B517" s="79"/>
      <c r="C517" s="2"/>
    </row>
    <row r="518">
      <c r="B518" s="79"/>
      <c r="C518" s="2"/>
    </row>
    <row r="519">
      <c r="B519" s="79"/>
      <c r="C519" s="2"/>
    </row>
    <row r="520">
      <c r="B520" s="79"/>
      <c r="C520" s="2"/>
    </row>
    <row r="521">
      <c r="B521" s="79"/>
      <c r="C521" s="2"/>
    </row>
    <row r="522">
      <c r="B522" s="79"/>
      <c r="C522" s="2"/>
    </row>
    <row r="523">
      <c r="B523" s="79"/>
      <c r="C523" s="2"/>
    </row>
    <row r="524">
      <c r="B524" s="79"/>
      <c r="C524" s="2"/>
    </row>
    <row r="525">
      <c r="B525" s="79"/>
      <c r="C525" s="2"/>
    </row>
    <row r="526">
      <c r="B526" s="79"/>
      <c r="C526" s="2"/>
    </row>
    <row r="527">
      <c r="B527" s="79"/>
      <c r="C527" s="2"/>
    </row>
    <row r="528">
      <c r="B528" s="79"/>
      <c r="C528" s="2"/>
    </row>
    <row r="529">
      <c r="B529" s="79"/>
      <c r="C529" s="2"/>
    </row>
    <row r="530">
      <c r="B530" s="79"/>
      <c r="C530" s="2"/>
    </row>
    <row r="531">
      <c r="B531" s="79"/>
      <c r="C531" s="2"/>
    </row>
    <row r="532">
      <c r="B532" s="79"/>
      <c r="C532" s="2"/>
    </row>
    <row r="533">
      <c r="B533" s="79"/>
      <c r="C533" s="2"/>
    </row>
    <row r="534">
      <c r="B534" s="79"/>
      <c r="C534" s="2"/>
    </row>
    <row r="535">
      <c r="B535" s="79"/>
      <c r="C535" s="2"/>
    </row>
    <row r="536">
      <c r="B536" s="79"/>
      <c r="C536" s="2"/>
    </row>
    <row r="537">
      <c r="B537" s="79"/>
      <c r="C537" s="2"/>
    </row>
    <row r="538">
      <c r="B538" s="79"/>
      <c r="C538" s="2"/>
    </row>
    <row r="539">
      <c r="B539" s="79"/>
      <c r="C539" s="2"/>
    </row>
    <row r="540">
      <c r="B540" s="79"/>
      <c r="C540" s="2"/>
    </row>
    <row r="541">
      <c r="B541" s="79"/>
      <c r="C541" s="2"/>
    </row>
    <row r="542">
      <c r="B542" s="79"/>
      <c r="C542" s="2"/>
    </row>
    <row r="543">
      <c r="B543" s="79"/>
      <c r="C543" s="2"/>
    </row>
    <row r="544">
      <c r="B544" s="79"/>
      <c r="C544" s="2"/>
    </row>
    <row r="545">
      <c r="B545" s="79"/>
      <c r="C545" s="2"/>
    </row>
    <row r="546">
      <c r="B546" s="79"/>
      <c r="C546" s="2"/>
    </row>
    <row r="547">
      <c r="B547" s="79"/>
      <c r="C547" s="2"/>
    </row>
    <row r="548">
      <c r="B548" s="79"/>
      <c r="C548" s="2"/>
    </row>
    <row r="549">
      <c r="B549" s="79"/>
      <c r="C549" s="2"/>
    </row>
    <row r="550">
      <c r="B550" s="79"/>
      <c r="C550" s="2"/>
    </row>
    <row r="551">
      <c r="B551" s="79"/>
      <c r="C551" s="2"/>
    </row>
    <row r="552">
      <c r="B552" s="79"/>
      <c r="C552" s="2"/>
    </row>
    <row r="553">
      <c r="B553" s="79"/>
      <c r="C553" s="2"/>
    </row>
    <row r="554">
      <c r="B554" s="79"/>
      <c r="C554" s="2"/>
    </row>
    <row r="555">
      <c r="B555" s="79"/>
      <c r="C555" s="2"/>
    </row>
    <row r="556">
      <c r="B556" s="79"/>
      <c r="C556" s="2"/>
    </row>
    <row r="557">
      <c r="B557" s="79"/>
      <c r="C557" s="2"/>
    </row>
    <row r="558">
      <c r="B558" s="79"/>
      <c r="C558" s="2"/>
    </row>
    <row r="559">
      <c r="B559" s="79"/>
      <c r="C559" s="2"/>
    </row>
    <row r="560">
      <c r="B560" s="79"/>
      <c r="C560" s="2"/>
    </row>
    <row r="561">
      <c r="B561" s="79"/>
      <c r="C561" s="2"/>
    </row>
    <row r="562">
      <c r="B562" s="79"/>
      <c r="C562" s="2"/>
    </row>
    <row r="563">
      <c r="B563" s="79"/>
      <c r="C563" s="2"/>
    </row>
    <row r="564">
      <c r="B564" s="79"/>
      <c r="C564" s="2"/>
    </row>
    <row r="565">
      <c r="B565" s="79"/>
      <c r="C565" s="2"/>
    </row>
    <row r="566">
      <c r="B566" s="79"/>
      <c r="C566" s="2"/>
    </row>
    <row r="567">
      <c r="B567" s="79"/>
      <c r="C567" s="2"/>
    </row>
    <row r="568">
      <c r="B568" s="79"/>
      <c r="C568" s="2"/>
    </row>
    <row r="569">
      <c r="B569" s="79"/>
      <c r="C569" s="2"/>
    </row>
    <row r="570">
      <c r="B570" s="79"/>
      <c r="C570" s="2"/>
    </row>
    <row r="571">
      <c r="B571" s="79"/>
      <c r="C571" s="2"/>
    </row>
    <row r="572">
      <c r="B572" s="79"/>
      <c r="C572" s="2"/>
    </row>
    <row r="573">
      <c r="B573" s="79"/>
      <c r="C573" s="2"/>
    </row>
    <row r="574">
      <c r="B574" s="79"/>
      <c r="C574" s="2"/>
    </row>
    <row r="575">
      <c r="B575" s="79"/>
      <c r="C575" s="2"/>
    </row>
    <row r="576">
      <c r="B576" s="79"/>
      <c r="C576" s="2"/>
    </row>
    <row r="577">
      <c r="B577" s="79"/>
      <c r="C577" s="2"/>
    </row>
    <row r="578">
      <c r="B578" s="79"/>
      <c r="C578" s="2"/>
    </row>
    <row r="579">
      <c r="B579" s="79"/>
      <c r="C579" s="2"/>
    </row>
    <row r="580">
      <c r="B580" s="79"/>
      <c r="C580" s="2"/>
    </row>
    <row r="581">
      <c r="B581" s="79"/>
      <c r="C581" s="2"/>
    </row>
    <row r="582">
      <c r="B582" s="79"/>
      <c r="C582" s="2"/>
    </row>
    <row r="583">
      <c r="B583" s="79"/>
      <c r="C583" s="2"/>
    </row>
    <row r="584">
      <c r="B584" s="79"/>
      <c r="C584" s="2"/>
    </row>
    <row r="585">
      <c r="B585" s="79"/>
      <c r="C585" s="2"/>
    </row>
    <row r="586">
      <c r="B586" s="79"/>
      <c r="C586" s="2"/>
    </row>
    <row r="587">
      <c r="B587" s="79"/>
      <c r="C587" s="2"/>
    </row>
    <row r="588">
      <c r="B588" s="79"/>
      <c r="C588" s="2"/>
    </row>
    <row r="589">
      <c r="B589" s="79"/>
      <c r="C589" s="2"/>
    </row>
    <row r="590">
      <c r="B590" s="79"/>
      <c r="C590" s="2"/>
    </row>
    <row r="591">
      <c r="B591" s="79"/>
      <c r="C591" s="2"/>
    </row>
    <row r="592">
      <c r="B592" s="79"/>
      <c r="C592" s="2"/>
    </row>
    <row r="593">
      <c r="B593" s="79"/>
      <c r="C593" s="2"/>
    </row>
    <row r="594">
      <c r="B594" s="79"/>
      <c r="C594" s="2"/>
    </row>
    <row r="595">
      <c r="B595" s="79"/>
      <c r="C595" s="2"/>
    </row>
    <row r="596">
      <c r="B596" s="79"/>
      <c r="C596" s="2"/>
    </row>
    <row r="597">
      <c r="B597" s="79"/>
      <c r="C597" s="2"/>
    </row>
    <row r="598">
      <c r="B598" s="79"/>
      <c r="C598" s="2"/>
    </row>
    <row r="599">
      <c r="B599" s="79"/>
      <c r="C599" s="2"/>
    </row>
    <row r="600">
      <c r="B600" s="79"/>
      <c r="C600" s="2"/>
    </row>
    <row r="601">
      <c r="B601" s="79"/>
      <c r="C601" s="2"/>
    </row>
    <row r="602">
      <c r="B602" s="79"/>
      <c r="C602" s="2"/>
    </row>
    <row r="603">
      <c r="B603" s="79"/>
      <c r="C603" s="2"/>
    </row>
    <row r="604">
      <c r="B604" s="79"/>
      <c r="C604" s="2"/>
    </row>
    <row r="605">
      <c r="B605" s="79"/>
      <c r="C605" s="2"/>
    </row>
    <row r="606">
      <c r="B606" s="79"/>
      <c r="C606" s="2"/>
    </row>
    <row r="607">
      <c r="B607" s="79"/>
      <c r="C607" s="2"/>
    </row>
    <row r="608">
      <c r="B608" s="79"/>
      <c r="C608" s="2"/>
    </row>
    <row r="609">
      <c r="B609" s="79"/>
      <c r="C609" s="2"/>
    </row>
    <row r="610">
      <c r="B610" s="79"/>
      <c r="C610" s="2"/>
    </row>
    <row r="611">
      <c r="B611" s="79"/>
      <c r="C611" s="2"/>
    </row>
    <row r="612">
      <c r="B612" s="79"/>
      <c r="C612" s="2"/>
    </row>
    <row r="613">
      <c r="B613" s="79"/>
      <c r="C613" s="2"/>
    </row>
    <row r="614">
      <c r="B614" s="79"/>
      <c r="C614" s="2"/>
    </row>
    <row r="615">
      <c r="B615" s="79"/>
      <c r="C615" s="2"/>
    </row>
    <row r="616">
      <c r="B616" s="79"/>
      <c r="C616" s="2"/>
    </row>
    <row r="617">
      <c r="B617" s="79"/>
      <c r="C617" s="2"/>
    </row>
    <row r="618">
      <c r="B618" s="79"/>
      <c r="C618" s="2"/>
    </row>
    <row r="619">
      <c r="B619" s="79"/>
      <c r="C619" s="2"/>
    </row>
    <row r="620">
      <c r="B620" s="79"/>
      <c r="C620" s="2"/>
    </row>
    <row r="621">
      <c r="B621" s="79"/>
      <c r="C621" s="2"/>
    </row>
    <row r="622">
      <c r="B622" s="79"/>
      <c r="C622" s="2"/>
    </row>
    <row r="623">
      <c r="B623" s="79"/>
      <c r="C623" s="2"/>
    </row>
    <row r="624">
      <c r="B624" s="79"/>
      <c r="C624" s="2"/>
    </row>
    <row r="625">
      <c r="B625" s="79"/>
      <c r="C625" s="2"/>
    </row>
    <row r="626">
      <c r="B626" s="79"/>
      <c r="C626" s="2"/>
    </row>
    <row r="627">
      <c r="B627" s="79"/>
      <c r="C627" s="2"/>
    </row>
    <row r="628">
      <c r="B628" s="79"/>
      <c r="C628" s="2"/>
    </row>
    <row r="629">
      <c r="B629" s="79"/>
      <c r="C629" s="2"/>
    </row>
    <row r="630">
      <c r="B630" s="79"/>
      <c r="C630" s="2"/>
    </row>
    <row r="631">
      <c r="B631" s="79"/>
      <c r="C631" s="2"/>
    </row>
    <row r="632">
      <c r="B632" s="79"/>
      <c r="C632" s="2"/>
    </row>
    <row r="633">
      <c r="B633" s="79"/>
      <c r="C633" s="2"/>
    </row>
    <row r="634">
      <c r="B634" s="79"/>
      <c r="C634" s="2"/>
    </row>
    <row r="635">
      <c r="B635" s="79"/>
      <c r="C635" s="2"/>
    </row>
    <row r="636">
      <c r="B636" s="79"/>
      <c r="C636" s="2"/>
    </row>
    <row r="637">
      <c r="B637" s="79"/>
      <c r="C637" s="2"/>
    </row>
    <row r="638">
      <c r="B638" s="79"/>
      <c r="C638" s="2"/>
    </row>
    <row r="639">
      <c r="B639" s="79"/>
      <c r="C639" s="2"/>
    </row>
    <row r="640">
      <c r="B640" s="79"/>
      <c r="C640" s="2"/>
    </row>
    <row r="641">
      <c r="B641" s="79"/>
      <c r="C641" s="2"/>
    </row>
    <row r="642">
      <c r="B642" s="79"/>
      <c r="C642" s="2"/>
    </row>
    <row r="643">
      <c r="B643" s="79"/>
      <c r="C643" s="2"/>
    </row>
    <row r="644">
      <c r="B644" s="79"/>
      <c r="C644" s="2"/>
    </row>
    <row r="645">
      <c r="B645" s="79"/>
      <c r="C645" s="2"/>
    </row>
    <row r="646">
      <c r="B646" s="79"/>
      <c r="C646" s="2"/>
    </row>
    <row r="647">
      <c r="B647" s="79"/>
      <c r="C647" s="2"/>
    </row>
    <row r="648">
      <c r="B648" s="79"/>
      <c r="C648" s="2"/>
    </row>
    <row r="649">
      <c r="B649" s="79"/>
      <c r="C649" s="2"/>
    </row>
    <row r="650">
      <c r="B650" s="79"/>
      <c r="C650" s="2"/>
    </row>
    <row r="651">
      <c r="B651" s="79"/>
      <c r="C651" s="2"/>
    </row>
    <row r="652">
      <c r="B652" s="79"/>
      <c r="C652" s="2"/>
    </row>
    <row r="653">
      <c r="B653" s="79"/>
      <c r="C653" s="2"/>
    </row>
    <row r="654">
      <c r="B654" s="79"/>
      <c r="C654" s="2"/>
    </row>
    <row r="655">
      <c r="B655" s="79"/>
      <c r="C655" s="2"/>
    </row>
    <row r="656">
      <c r="B656" s="79"/>
      <c r="C656" s="2"/>
    </row>
    <row r="657">
      <c r="B657" s="79"/>
      <c r="C657" s="2"/>
    </row>
    <row r="658">
      <c r="B658" s="79"/>
      <c r="C658" s="2"/>
    </row>
    <row r="659">
      <c r="B659" s="79"/>
      <c r="C659" s="2"/>
    </row>
    <row r="660">
      <c r="B660" s="79"/>
      <c r="C660" s="2"/>
    </row>
    <row r="661">
      <c r="B661" s="79"/>
      <c r="C661" s="2"/>
    </row>
    <row r="662">
      <c r="B662" s="79"/>
      <c r="C662" s="2"/>
    </row>
    <row r="663">
      <c r="B663" s="79"/>
      <c r="C663" s="2"/>
    </row>
    <row r="664">
      <c r="B664" s="79"/>
      <c r="C664" s="2"/>
    </row>
    <row r="665">
      <c r="B665" s="79"/>
      <c r="C665" s="2"/>
    </row>
    <row r="666">
      <c r="B666" s="79"/>
      <c r="C666" s="2"/>
    </row>
    <row r="667">
      <c r="B667" s="79"/>
      <c r="C667" s="2"/>
    </row>
    <row r="668">
      <c r="B668" s="79"/>
      <c r="C668" s="2"/>
    </row>
    <row r="669">
      <c r="B669" s="79"/>
      <c r="C669" s="2"/>
    </row>
    <row r="670">
      <c r="B670" s="79"/>
      <c r="C670" s="2"/>
    </row>
    <row r="671">
      <c r="B671" s="79"/>
      <c r="C671" s="2"/>
    </row>
    <row r="672">
      <c r="B672" s="79"/>
      <c r="C672" s="2"/>
    </row>
    <row r="673">
      <c r="B673" s="79"/>
      <c r="C673" s="2"/>
    </row>
    <row r="674">
      <c r="B674" s="79"/>
      <c r="C674" s="2"/>
    </row>
    <row r="675">
      <c r="B675" s="79"/>
      <c r="C675" s="2"/>
    </row>
    <row r="676">
      <c r="B676" s="79"/>
      <c r="C676" s="2"/>
    </row>
    <row r="677">
      <c r="B677" s="79"/>
      <c r="C677" s="2"/>
    </row>
    <row r="678">
      <c r="B678" s="79"/>
      <c r="C678" s="2"/>
    </row>
    <row r="679">
      <c r="B679" s="79"/>
      <c r="C679" s="2"/>
    </row>
    <row r="680">
      <c r="B680" s="79"/>
      <c r="C680" s="2"/>
    </row>
    <row r="681">
      <c r="B681" s="79"/>
      <c r="C681" s="2"/>
    </row>
    <row r="682">
      <c r="B682" s="79"/>
      <c r="C682" s="2"/>
    </row>
    <row r="683">
      <c r="B683" s="79"/>
      <c r="C683" s="2"/>
    </row>
    <row r="684">
      <c r="B684" s="79"/>
      <c r="C684" s="2"/>
    </row>
    <row r="685">
      <c r="B685" s="79"/>
      <c r="C685" s="2"/>
    </row>
    <row r="686">
      <c r="B686" s="79"/>
      <c r="C686" s="2"/>
    </row>
    <row r="687">
      <c r="B687" s="79"/>
      <c r="C687" s="2"/>
    </row>
    <row r="688">
      <c r="B688" s="79"/>
      <c r="C688" s="2"/>
    </row>
    <row r="689">
      <c r="B689" s="79"/>
      <c r="C689" s="2"/>
    </row>
    <row r="690">
      <c r="B690" s="79"/>
      <c r="C690" s="2"/>
    </row>
    <row r="691">
      <c r="B691" s="79"/>
      <c r="C691" s="2"/>
    </row>
    <row r="692">
      <c r="B692" s="79"/>
      <c r="C692" s="2"/>
    </row>
    <row r="693">
      <c r="B693" s="79"/>
      <c r="C693" s="2"/>
    </row>
    <row r="694">
      <c r="B694" s="79"/>
      <c r="C694" s="2"/>
    </row>
    <row r="695">
      <c r="B695" s="79"/>
      <c r="C695" s="2"/>
    </row>
    <row r="696">
      <c r="B696" s="79"/>
      <c r="C696" s="2"/>
    </row>
    <row r="697">
      <c r="B697" s="79"/>
      <c r="C697" s="2"/>
    </row>
    <row r="698">
      <c r="B698" s="79"/>
      <c r="C698" s="2"/>
    </row>
    <row r="699">
      <c r="B699" s="79"/>
      <c r="C699" s="2"/>
    </row>
    <row r="700">
      <c r="B700" s="79"/>
      <c r="C700" s="2"/>
    </row>
    <row r="701">
      <c r="B701" s="79"/>
      <c r="C701" s="2"/>
    </row>
    <row r="702">
      <c r="B702" s="79"/>
      <c r="C702" s="2"/>
    </row>
    <row r="703">
      <c r="B703" s="79"/>
      <c r="C703" s="2"/>
    </row>
    <row r="704">
      <c r="B704" s="79"/>
      <c r="C704" s="2"/>
    </row>
    <row r="705">
      <c r="B705" s="79"/>
      <c r="C705" s="2"/>
    </row>
    <row r="706">
      <c r="B706" s="79"/>
      <c r="C706" s="2"/>
    </row>
    <row r="707">
      <c r="B707" s="79"/>
      <c r="C707" s="2"/>
    </row>
    <row r="708">
      <c r="B708" s="79"/>
      <c r="C708" s="2"/>
    </row>
    <row r="709">
      <c r="B709" s="79"/>
      <c r="C709" s="2"/>
    </row>
    <row r="710">
      <c r="B710" s="79"/>
      <c r="C710" s="2"/>
    </row>
    <row r="711">
      <c r="B711" s="79"/>
      <c r="C711" s="2"/>
    </row>
    <row r="712">
      <c r="B712" s="79"/>
      <c r="C712" s="2"/>
    </row>
    <row r="713">
      <c r="B713" s="79"/>
      <c r="C713" s="2"/>
    </row>
    <row r="714">
      <c r="B714" s="79"/>
      <c r="C714" s="2"/>
    </row>
    <row r="715">
      <c r="B715" s="79"/>
      <c r="C715" s="2"/>
    </row>
    <row r="716">
      <c r="B716" s="79"/>
      <c r="C716" s="2"/>
    </row>
    <row r="717">
      <c r="B717" s="79"/>
      <c r="C717" s="2"/>
    </row>
    <row r="718">
      <c r="B718" s="79"/>
      <c r="C718" s="2"/>
    </row>
    <row r="719">
      <c r="B719" s="79"/>
      <c r="C719" s="2"/>
    </row>
    <row r="720">
      <c r="B720" s="79"/>
      <c r="C720" s="2"/>
    </row>
    <row r="721">
      <c r="B721" s="79"/>
      <c r="C721" s="2"/>
    </row>
    <row r="722">
      <c r="B722" s="79"/>
      <c r="C722" s="2"/>
    </row>
    <row r="723">
      <c r="B723" s="79"/>
      <c r="C723" s="2"/>
    </row>
    <row r="724">
      <c r="B724" s="79"/>
      <c r="C724" s="2"/>
    </row>
    <row r="725">
      <c r="B725" s="79"/>
      <c r="C725" s="2"/>
    </row>
    <row r="726">
      <c r="B726" s="79"/>
      <c r="C726" s="2"/>
    </row>
    <row r="727">
      <c r="B727" s="79"/>
      <c r="C727" s="2"/>
    </row>
    <row r="728">
      <c r="B728" s="79"/>
      <c r="C728" s="2"/>
    </row>
    <row r="729">
      <c r="B729" s="79"/>
      <c r="C729" s="2"/>
    </row>
    <row r="730">
      <c r="B730" s="79"/>
      <c r="C730" s="2"/>
    </row>
    <row r="731">
      <c r="B731" s="79"/>
      <c r="C731" s="2"/>
    </row>
    <row r="732">
      <c r="B732" s="79"/>
      <c r="C732" s="2"/>
    </row>
    <row r="733">
      <c r="B733" s="79"/>
      <c r="C733" s="2"/>
    </row>
    <row r="734">
      <c r="B734" s="79"/>
      <c r="C734" s="2"/>
    </row>
    <row r="735">
      <c r="B735" s="79"/>
      <c r="C735" s="2"/>
    </row>
    <row r="736">
      <c r="B736" s="79"/>
      <c r="C736" s="2"/>
    </row>
    <row r="737">
      <c r="B737" s="79"/>
      <c r="C737" s="2"/>
    </row>
    <row r="738">
      <c r="B738" s="79"/>
      <c r="C738" s="2"/>
    </row>
    <row r="739">
      <c r="B739" s="79"/>
      <c r="C739" s="2"/>
    </row>
    <row r="740">
      <c r="B740" s="79"/>
      <c r="C740" s="2"/>
    </row>
    <row r="741">
      <c r="B741" s="79"/>
      <c r="C741" s="2"/>
    </row>
    <row r="742">
      <c r="B742" s="79"/>
      <c r="C742" s="2"/>
    </row>
    <row r="743">
      <c r="B743" s="79"/>
      <c r="C743" s="2"/>
    </row>
    <row r="744">
      <c r="B744" s="79"/>
      <c r="C744" s="2"/>
    </row>
    <row r="745">
      <c r="B745" s="79"/>
      <c r="C745" s="2"/>
    </row>
    <row r="746">
      <c r="B746" s="79"/>
      <c r="C746" s="2"/>
    </row>
    <row r="747">
      <c r="B747" s="79"/>
      <c r="C747" s="2"/>
    </row>
    <row r="748">
      <c r="B748" s="79"/>
      <c r="C748" s="2"/>
    </row>
    <row r="749">
      <c r="B749" s="79"/>
      <c r="C749" s="2"/>
    </row>
    <row r="750">
      <c r="B750" s="79"/>
      <c r="C750" s="2"/>
    </row>
    <row r="751">
      <c r="B751" s="79"/>
      <c r="C751" s="2"/>
    </row>
    <row r="752">
      <c r="B752" s="79"/>
      <c r="C752" s="2"/>
    </row>
    <row r="753">
      <c r="B753" s="79"/>
      <c r="C753" s="2"/>
    </row>
    <row r="754">
      <c r="B754" s="79"/>
      <c r="C754" s="2"/>
    </row>
    <row r="755">
      <c r="B755" s="79"/>
      <c r="C755" s="2"/>
    </row>
    <row r="756">
      <c r="B756" s="79"/>
      <c r="C756" s="2"/>
    </row>
    <row r="757">
      <c r="B757" s="79"/>
      <c r="C757" s="2"/>
    </row>
    <row r="758">
      <c r="B758" s="79"/>
      <c r="C758" s="2"/>
    </row>
    <row r="759">
      <c r="B759" s="79"/>
      <c r="C759" s="2"/>
    </row>
    <row r="760">
      <c r="B760" s="79"/>
      <c r="C760" s="2"/>
    </row>
    <row r="761">
      <c r="B761" s="79"/>
      <c r="C761" s="2"/>
    </row>
    <row r="762">
      <c r="B762" s="79"/>
      <c r="C762" s="2"/>
    </row>
    <row r="763">
      <c r="B763" s="79"/>
      <c r="C763" s="2"/>
    </row>
    <row r="764">
      <c r="B764" s="79"/>
      <c r="C764" s="2"/>
    </row>
    <row r="765">
      <c r="B765" s="79"/>
      <c r="C765" s="2"/>
    </row>
    <row r="766">
      <c r="B766" s="79"/>
      <c r="C766" s="2"/>
    </row>
    <row r="767">
      <c r="B767" s="79"/>
      <c r="C767" s="2"/>
    </row>
    <row r="768">
      <c r="B768" s="79"/>
      <c r="C768" s="2"/>
    </row>
    <row r="769">
      <c r="B769" s="79"/>
      <c r="C769" s="2"/>
    </row>
    <row r="770">
      <c r="B770" s="79"/>
      <c r="C770" s="2"/>
    </row>
    <row r="771">
      <c r="B771" s="79"/>
      <c r="C771" s="2"/>
    </row>
    <row r="772">
      <c r="B772" s="79"/>
      <c r="C772" s="2"/>
    </row>
    <row r="773">
      <c r="B773" s="79"/>
      <c r="C773" s="2"/>
    </row>
    <row r="774">
      <c r="B774" s="79"/>
      <c r="C774" s="2"/>
    </row>
    <row r="775">
      <c r="B775" s="79"/>
      <c r="C775" s="2"/>
    </row>
    <row r="776">
      <c r="B776" s="79"/>
      <c r="C776" s="2"/>
    </row>
    <row r="777">
      <c r="B777" s="79"/>
      <c r="C777" s="2"/>
    </row>
    <row r="778">
      <c r="B778" s="79"/>
      <c r="C778" s="2"/>
    </row>
    <row r="779">
      <c r="B779" s="79"/>
      <c r="C779" s="2"/>
    </row>
    <row r="780">
      <c r="B780" s="79"/>
      <c r="C780" s="2"/>
    </row>
    <row r="781">
      <c r="B781" s="79"/>
      <c r="C781" s="2"/>
    </row>
    <row r="782">
      <c r="B782" s="79"/>
      <c r="C782" s="2"/>
    </row>
    <row r="783">
      <c r="B783" s="79"/>
      <c r="C783" s="2"/>
    </row>
    <row r="784">
      <c r="B784" s="79"/>
      <c r="C784" s="2"/>
    </row>
    <row r="785">
      <c r="B785" s="79"/>
      <c r="C785" s="2"/>
    </row>
    <row r="786">
      <c r="B786" s="79"/>
      <c r="C786" s="2"/>
    </row>
    <row r="787">
      <c r="B787" s="79"/>
      <c r="C787" s="2"/>
    </row>
    <row r="788">
      <c r="B788" s="79"/>
      <c r="C788" s="2"/>
    </row>
    <row r="789">
      <c r="B789" s="79"/>
      <c r="C789" s="2"/>
    </row>
    <row r="790">
      <c r="B790" s="79"/>
      <c r="C790" s="2"/>
    </row>
    <row r="791">
      <c r="B791" s="79"/>
      <c r="C791" s="2"/>
    </row>
    <row r="792">
      <c r="B792" s="79"/>
      <c r="C792" s="2"/>
    </row>
    <row r="793">
      <c r="B793" s="79"/>
      <c r="C793" s="2"/>
    </row>
    <row r="794">
      <c r="B794" s="79"/>
      <c r="C794" s="2"/>
    </row>
    <row r="795">
      <c r="B795" s="79"/>
      <c r="C795" s="2"/>
    </row>
    <row r="796">
      <c r="B796" s="79"/>
      <c r="C796" s="2"/>
    </row>
    <row r="797">
      <c r="B797" s="79"/>
      <c r="C797" s="2"/>
    </row>
    <row r="798">
      <c r="B798" s="79"/>
      <c r="C798" s="2"/>
    </row>
    <row r="799">
      <c r="B799" s="79"/>
      <c r="C799" s="2"/>
    </row>
    <row r="800">
      <c r="B800" s="79"/>
      <c r="C800" s="2"/>
    </row>
    <row r="801">
      <c r="B801" s="79"/>
      <c r="C801" s="2"/>
    </row>
    <row r="802">
      <c r="B802" s="79"/>
      <c r="C802" s="2"/>
    </row>
    <row r="803">
      <c r="B803" s="79"/>
      <c r="C803" s="2"/>
    </row>
    <row r="804">
      <c r="B804" s="79"/>
      <c r="C804" s="2"/>
    </row>
    <row r="805">
      <c r="B805" s="79"/>
      <c r="C805" s="2"/>
    </row>
    <row r="806">
      <c r="B806" s="79"/>
      <c r="C806" s="2"/>
    </row>
    <row r="807">
      <c r="B807" s="79"/>
      <c r="C807" s="2"/>
    </row>
    <row r="808">
      <c r="B808" s="79"/>
      <c r="C808" s="2"/>
    </row>
    <row r="809">
      <c r="B809" s="79"/>
      <c r="C809" s="2"/>
    </row>
    <row r="810">
      <c r="B810" s="79"/>
      <c r="C810" s="2"/>
    </row>
    <row r="811">
      <c r="B811" s="79"/>
      <c r="C811" s="2"/>
    </row>
    <row r="812">
      <c r="B812" s="79"/>
      <c r="C812" s="2"/>
    </row>
    <row r="813">
      <c r="B813" s="79"/>
      <c r="C813" s="2"/>
    </row>
    <row r="814">
      <c r="B814" s="79"/>
      <c r="C814" s="2"/>
    </row>
    <row r="815">
      <c r="B815" s="79"/>
      <c r="C815" s="2"/>
    </row>
    <row r="816">
      <c r="B816" s="79"/>
      <c r="C816" s="2"/>
    </row>
    <row r="817">
      <c r="B817" s="79"/>
      <c r="C817" s="2"/>
    </row>
    <row r="818">
      <c r="B818" s="79"/>
      <c r="C818" s="2"/>
    </row>
    <row r="819">
      <c r="B819" s="79"/>
      <c r="C819" s="2"/>
    </row>
    <row r="820">
      <c r="B820" s="79"/>
      <c r="C820" s="2"/>
    </row>
    <row r="821">
      <c r="B821" s="79"/>
      <c r="C821" s="2"/>
    </row>
    <row r="822">
      <c r="B822" s="79"/>
      <c r="C822" s="2"/>
    </row>
    <row r="823">
      <c r="B823" s="79"/>
      <c r="C823" s="2"/>
    </row>
    <row r="824">
      <c r="B824" s="79"/>
      <c r="C824" s="2"/>
    </row>
    <row r="825">
      <c r="B825" s="79"/>
      <c r="C825" s="2"/>
    </row>
    <row r="826">
      <c r="B826" s="79"/>
      <c r="C826" s="2"/>
    </row>
    <row r="827">
      <c r="B827" s="79"/>
      <c r="C827" s="2"/>
    </row>
    <row r="828">
      <c r="B828" s="79"/>
      <c r="C828" s="2"/>
    </row>
    <row r="829">
      <c r="B829" s="79"/>
      <c r="C829" s="2"/>
    </row>
    <row r="830">
      <c r="B830" s="79"/>
      <c r="C830" s="2"/>
    </row>
    <row r="831">
      <c r="B831" s="79"/>
      <c r="C831" s="2"/>
    </row>
    <row r="832">
      <c r="B832" s="79"/>
      <c r="C832" s="2"/>
    </row>
    <row r="833">
      <c r="B833" s="79"/>
      <c r="C833" s="2"/>
    </row>
    <row r="834">
      <c r="B834" s="79"/>
      <c r="C834" s="2"/>
    </row>
    <row r="835">
      <c r="B835" s="79"/>
      <c r="C835" s="2"/>
    </row>
    <row r="836">
      <c r="B836" s="79"/>
      <c r="C836" s="2"/>
    </row>
    <row r="837">
      <c r="B837" s="79"/>
      <c r="C837" s="2"/>
    </row>
    <row r="838">
      <c r="B838" s="79"/>
      <c r="C838" s="2"/>
    </row>
    <row r="839">
      <c r="B839" s="79"/>
      <c r="C839" s="2"/>
    </row>
    <row r="840">
      <c r="B840" s="79"/>
      <c r="C840" s="2"/>
    </row>
    <row r="841">
      <c r="B841" s="79"/>
      <c r="C841" s="2"/>
    </row>
    <row r="842">
      <c r="B842" s="79"/>
      <c r="C842" s="2"/>
    </row>
    <row r="843">
      <c r="B843" s="79"/>
      <c r="C843" s="2"/>
    </row>
    <row r="844">
      <c r="B844" s="79"/>
      <c r="C844" s="2"/>
    </row>
    <row r="845">
      <c r="B845" s="79"/>
      <c r="C845" s="2"/>
    </row>
    <row r="846">
      <c r="B846" s="79"/>
      <c r="C846" s="2"/>
    </row>
    <row r="847">
      <c r="B847" s="79"/>
      <c r="C847" s="2"/>
    </row>
    <row r="848">
      <c r="B848" s="79"/>
      <c r="C848" s="2"/>
    </row>
    <row r="849">
      <c r="B849" s="79"/>
      <c r="C849" s="2"/>
    </row>
    <row r="850">
      <c r="B850" s="79"/>
      <c r="C850" s="2"/>
    </row>
    <row r="851">
      <c r="B851" s="79"/>
      <c r="C851" s="2"/>
    </row>
    <row r="852">
      <c r="B852" s="79"/>
      <c r="C852" s="2"/>
    </row>
    <row r="853">
      <c r="B853" s="79"/>
      <c r="C853" s="2"/>
    </row>
    <row r="854">
      <c r="B854" s="79"/>
      <c r="C854" s="2"/>
    </row>
    <row r="855">
      <c r="B855" s="79"/>
      <c r="C855" s="2"/>
    </row>
    <row r="856">
      <c r="B856" s="79"/>
      <c r="C856" s="2"/>
    </row>
    <row r="857">
      <c r="B857" s="79"/>
      <c r="C857" s="2"/>
    </row>
    <row r="858">
      <c r="B858" s="79"/>
      <c r="C858" s="2"/>
    </row>
    <row r="859">
      <c r="B859" s="79"/>
      <c r="C859" s="2"/>
    </row>
    <row r="860">
      <c r="B860" s="79"/>
      <c r="C860" s="2"/>
    </row>
    <row r="861">
      <c r="B861" s="79"/>
      <c r="C861" s="2"/>
    </row>
    <row r="862">
      <c r="B862" s="79"/>
      <c r="C862" s="2"/>
    </row>
    <row r="863">
      <c r="B863" s="79"/>
      <c r="C863" s="2"/>
    </row>
    <row r="864">
      <c r="B864" s="79"/>
      <c r="C864" s="2"/>
    </row>
    <row r="865">
      <c r="B865" s="79"/>
      <c r="C865" s="2"/>
    </row>
    <row r="866">
      <c r="B866" s="79"/>
      <c r="C866" s="2"/>
    </row>
    <row r="867">
      <c r="B867" s="79"/>
      <c r="C867" s="2"/>
    </row>
    <row r="868">
      <c r="B868" s="79"/>
      <c r="C868" s="2"/>
    </row>
    <row r="869">
      <c r="B869" s="79"/>
      <c r="C869" s="2"/>
    </row>
    <row r="870">
      <c r="B870" s="79"/>
      <c r="C870" s="2"/>
    </row>
    <row r="871">
      <c r="B871" s="79"/>
      <c r="C871" s="2"/>
    </row>
    <row r="872">
      <c r="B872" s="79"/>
      <c r="C872" s="2"/>
    </row>
    <row r="873">
      <c r="B873" s="79"/>
      <c r="C873" s="2"/>
    </row>
    <row r="874">
      <c r="B874" s="79"/>
      <c r="C874" s="2"/>
    </row>
    <row r="875">
      <c r="B875" s="79"/>
      <c r="C875" s="2"/>
    </row>
    <row r="876">
      <c r="B876" s="79"/>
      <c r="C876" s="2"/>
    </row>
    <row r="877">
      <c r="B877" s="79"/>
      <c r="C877" s="2"/>
    </row>
    <row r="878">
      <c r="B878" s="79"/>
      <c r="C878" s="2"/>
    </row>
    <row r="879">
      <c r="B879" s="79"/>
      <c r="C879" s="2"/>
    </row>
    <row r="880">
      <c r="B880" s="79"/>
      <c r="C880" s="2"/>
    </row>
    <row r="881">
      <c r="B881" s="79"/>
      <c r="C881" s="2"/>
    </row>
    <row r="882">
      <c r="B882" s="79"/>
      <c r="C882" s="2"/>
    </row>
    <row r="883">
      <c r="B883" s="79"/>
      <c r="C883" s="2"/>
    </row>
    <row r="884">
      <c r="B884" s="79"/>
      <c r="C884" s="2"/>
    </row>
    <row r="885">
      <c r="B885" s="79"/>
      <c r="C885" s="2"/>
    </row>
    <row r="886">
      <c r="B886" s="79"/>
      <c r="C886" s="2"/>
    </row>
    <row r="887">
      <c r="B887" s="79"/>
      <c r="C887" s="2"/>
    </row>
    <row r="888">
      <c r="B888" s="79"/>
      <c r="C888" s="2"/>
    </row>
    <row r="889">
      <c r="B889" s="79"/>
      <c r="C889" s="2"/>
    </row>
    <row r="890">
      <c r="B890" s="79"/>
      <c r="C890" s="2"/>
    </row>
    <row r="891">
      <c r="B891" s="79"/>
      <c r="C891" s="2"/>
    </row>
    <row r="892">
      <c r="B892" s="79"/>
      <c r="C892" s="2"/>
    </row>
    <row r="893">
      <c r="B893" s="79"/>
      <c r="C893" s="2"/>
    </row>
    <row r="894">
      <c r="B894" s="79"/>
      <c r="C894" s="2"/>
    </row>
    <row r="895">
      <c r="B895" s="79"/>
      <c r="C895" s="2"/>
    </row>
    <row r="896">
      <c r="B896" s="79"/>
      <c r="C896" s="2"/>
    </row>
    <row r="897">
      <c r="B897" s="79"/>
      <c r="C897" s="2"/>
    </row>
    <row r="898">
      <c r="B898" s="79"/>
      <c r="C898" s="2"/>
    </row>
    <row r="899">
      <c r="B899" s="79"/>
      <c r="C899" s="2"/>
    </row>
    <row r="900">
      <c r="B900" s="79"/>
      <c r="C900" s="2"/>
    </row>
    <row r="901">
      <c r="B901" s="79"/>
      <c r="C901" s="2"/>
    </row>
    <row r="902">
      <c r="B902" s="79"/>
      <c r="C902" s="2"/>
    </row>
    <row r="903">
      <c r="B903" s="79"/>
      <c r="C903" s="2"/>
    </row>
    <row r="904">
      <c r="B904" s="79"/>
      <c r="C904" s="2"/>
    </row>
    <row r="905">
      <c r="B905" s="79"/>
      <c r="C905" s="2"/>
    </row>
    <row r="906">
      <c r="B906" s="79"/>
      <c r="C906" s="2"/>
    </row>
    <row r="907">
      <c r="B907" s="79"/>
      <c r="C907" s="2"/>
    </row>
    <row r="908">
      <c r="B908" s="79"/>
      <c r="C908" s="2"/>
    </row>
    <row r="909">
      <c r="B909" s="79"/>
      <c r="C909" s="2"/>
    </row>
    <row r="910">
      <c r="B910" s="79"/>
      <c r="C910" s="2"/>
    </row>
    <row r="911">
      <c r="B911" s="79"/>
      <c r="C911" s="2"/>
    </row>
    <row r="912">
      <c r="B912" s="79"/>
      <c r="C912" s="2"/>
    </row>
    <row r="913">
      <c r="B913" s="79"/>
      <c r="C913" s="2"/>
    </row>
    <row r="914">
      <c r="B914" s="79"/>
      <c r="C914" s="2"/>
    </row>
    <row r="915">
      <c r="B915" s="79"/>
      <c r="C915" s="2"/>
    </row>
    <row r="916">
      <c r="B916" s="79"/>
      <c r="C916" s="2"/>
    </row>
    <row r="917">
      <c r="B917" s="79"/>
      <c r="C917" s="2"/>
    </row>
    <row r="918">
      <c r="B918" s="79"/>
      <c r="C918" s="2"/>
    </row>
    <row r="919">
      <c r="B919" s="79"/>
      <c r="C919" s="2"/>
    </row>
    <row r="920">
      <c r="B920" s="79"/>
      <c r="C920" s="2"/>
    </row>
    <row r="921">
      <c r="B921" s="79"/>
      <c r="C921" s="2"/>
    </row>
    <row r="922">
      <c r="B922" s="79"/>
      <c r="C922" s="2"/>
    </row>
    <row r="923">
      <c r="B923" s="79"/>
      <c r="C923" s="2"/>
    </row>
    <row r="924">
      <c r="B924" s="79"/>
      <c r="C924" s="2"/>
    </row>
    <row r="925">
      <c r="B925" s="79"/>
      <c r="C925" s="2"/>
    </row>
    <row r="926">
      <c r="B926" s="79"/>
      <c r="C926" s="2"/>
    </row>
    <row r="927">
      <c r="B927" s="79"/>
      <c r="C927" s="2"/>
    </row>
    <row r="928">
      <c r="B928" s="79"/>
      <c r="C928" s="2"/>
    </row>
    <row r="929">
      <c r="B929" s="79"/>
      <c r="C929" s="2"/>
    </row>
    <row r="930">
      <c r="B930" s="79"/>
      <c r="C930" s="2"/>
    </row>
    <row r="931">
      <c r="B931" s="79"/>
      <c r="C931" s="2"/>
    </row>
    <row r="932">
      <c r="B932" s="79"/>
      <c r="C932" s="2"/>
    </row>
    <row r="933">
      <c r="B933" s="79"/>
      <c r="C933" s="2"/>
    </row>
    <row r="934">
      <c r="B934" s="79"/>
      <c r="C934" s="2"/>
    </row>
    <row r="935">
      <c r="B935" s="79"/>
      <c r="C935" s="2"/>
    </row>
    <row r="936">
      <c r="B936" s="79"/>
      <c r="C936" s="2"/>
    </row>
    <row r="937">
      <c r="B937" s="79"/>
      <c r="C937" s="2"/>
    </row>
    <row r="938">
      <c r="B938" s="79"/>
      <c r="C938" s="2"/>
    </row>
    <row r="939">
      <c r="B939" s="79"/>
      <c r="C939" s="2"/>
    </row>
    <row r="940">
      <c r="B940" s="79"/>
      <c r="C940" s="2"/>
    </row>
    <row r="941">
      <c r="B941" s="79"/>
      <c r="C941" s="2"/>
    </row>
    <row r="942">
      <c r="B942" s="79"/>
      <c r="C942" s="2"/>
    </row>
    <row r="943">
      <c r="B943" s="79"/>
      <c r="C943" s="2"/>
    </row>
    <row r="944">
      <c r="B944" s="79"/>
      <c r="C944" s="2"/>
    </row>
    <row r="945">
      <c r="B945" s="79"/>
      <c r="C945" s="2"/>
    </row>
    <row r="946">
      <c r="B946" s="79"/>
      <c r="C946" s="2"/>
    </row>
    <row r="947">
      <c r="B947" s="79"/>
      <c r="C947" s="2"/>
    </row>
    <row r="948">
      <c r="B948" s="79"/>
      <c r="C948" s="2"/>
    </row>
    <row r="949">
      <c r="B949" s="79"/>
      <c r="C949" s="2"/>
    </row>
    <row r="950">
      <c r="B950" s="79"/>
      <c r="C950" s="2"/>
    </row>
    <row r="951">
      <c r="B951" s="79"/>
      <c r="C951" s="2"/>
    </row>
    <row r="952">
      <c r="B952" s="79"/>
      <c r="C952" s="2"/>
    </row>
    <row r="953">
      <c r="B953" s="79"/>
      <c r="C953" s="2"/>
    </row>
    <row r="954">
      <c r="B954" s="79"/>
      <c r="C954" s="2"/>
    </row>
    <row r="955">
      <c r="B955" s="79"/>
      <c r="C955" s="2"/>
    </row>
    <row r="956">
      <c r="B956" s="79"/>
      <c r="C956" s="2"/>
    </row>
    <row r="957">
      <c r="B957" s="79"/>
      <c r="C957" s="2"/>
    </row>
    <row r="958">
      <c r="B958" s="79"/>
      <c r="C958" s="2"/>
    </row>
    <row r="959">
      <c r="B959" s="79"/>
      <c r="C959" s="2"/>
    </row>
    <row r="960">
      <c r="B960" s="79"/>
      <c r="C960" s="2"/>
    </row>
    <row r="961">
      <c r="B961" s="79"/>
      <c r="C961" s="2"/>
    </row>
    <row r="962">
      <c r="B962" s="79"/>
      <c r="C962" s="2"/>
    </row>
    <row r="963">
      <c r="B963" s="79"/>
      <c r="C963" s="2"/>
    </row>
    <row r="964">
      <c r="B964" s="79"/>
      <c r="C964" s="2"/>
    </row>
    <row r="965">
      <c r="B965" s="79"/>
      <c r="C965" s="2"/>
    </row>
    <row r="966">
      <c r="B966" s="79"/>
      <c r="C966" s="2"/>
    </row>
    <row r="967">
      <c r="B967" s="79"/>
      <c r="C967" s="2"/>
    </row>
    <row r="968">
      <c r="B968" s="79"/>
      <c r="C968" s="2"/>
    </row>
    <row r="969">
      <c r="B969" s="79"/>
      <c r="C969" s="2"/>
    </row>
    <row r="970">
      <c r="B970" s="79"/>
      <c r="C970" s="2"/>
    </row>
    <row r="971">
      <c r="B971" s="79"/>
      <c r="C971" s="2"/>
    </row>
    <row r="972">
      <c r="B972" s="79"/>
      <c r="C972" s="2"/>
    </row>
    <row r="973">
      <c r="B973" s="79"/>
      <c r="C973" s="2"/>
    </row>
    <row r="974">
      <c r="B974" s="79"/>
      <c r="C974" s="2"/>
    </row>
    <row r="975">
      <c r="B975" s="79"/>
      <c r="C975" s="2"/>
    </row>
    <row r="976">
      <c r="B976" s="79"/>
      <c r="C976" s="2"/>
    </row>
    <row r="977">
      <c r="B977" s="79"/>
      <c r="C977" s="2"/>
    </row>
    <row r="978">
      <c r="B978" s="79"/>
      <c r="C978" s="2"/>
    </row>
    <row r="979">
      <c r="B979" s="79"/>
      <c r="C979" s="2"/>
    </row>
    <row r="980">
      <c r="B980" s="79"/>
      <c r="C980" s="2"/>
    </row>
    <row r="981">
      <c r="B981" s="79"/>
      <c r="C981" s="2"/>
    </row>
    <row r="982">
      <c r="B982" s="79"/>
      <c r="C982" s="2"/>
    </row>
    <row r="983">
      <c r="B983" s="79"/>
      <c r="C983" s="2"/>
    </row>
    <row r="984">
      <c r="B984" s="79"/>
      <c r="C984" s="2"/>
    </row>
    <row r="985">
      <c r="B985" s="79"/>
      <c r="C985" s="2"/>
    </row>
    <row r="986">
      <c r="B986" s="79"/>
      <c r="C986" s="2"/>
    </row>
    <row r="987">
      <c r="B987" s="79"/>
      <c r="C987" s="2"/>
    </row>
    <row r="988">
      <c r="B988" s="79"/>
      <c r="C988" s="2"/>
    </row>
    <row r="989">
      <c r="B989" s="79"/>
      <c r="C989" s="2"/>
    </row>
    <row r="990">
      <c r="B990" s="79"/>
      <c r="C990" s="2"/>
    </row>
    <row r="991">
      <c r="B991" s="79"/>
      <c r="C991" s="2"/>
    </row>
    <row r="992">
      <c r="B992" s="79"/>
      <c r="C992" s="2"/>
    </row>
    <row r="993">
      <c r="B993" s="79"/>
      <c r="C993" s="2"/>
    </row>
    <row r="994">
      <c r="B994" s="79"/>
      <c r="C994" s="2"/>
    </row>
    <row r="995">
      <c r="B995" s="79"/>
      <c r="C995" s="2"/>
    </row>
    <row r="996">
      <c r="B996" s="79"/>
      <c r="C996" s="2"/>
    </row>
    <row r="997">
      <c r="B997" s="79"/>
      <c r="C997" s="2"/>
    </row>
    <row r="998">
      <c r="B998" s="79"/>
      <c r="C998" s="2"/>
    </row>
    <row r="999">
      <c r="B999" s="79"/>
      <c r="C999" s="2"/>
    </row>
    <row r="1000">
      <c r="B1000" s="79"/>
      <c r="C1000" s="2"/>
    </row>
  </sheetData>
  <drawing r:id="rId1"/>
</worksheet>
</file>