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ngineering\ME342NumAnalysis\"/>
    </mc:Choice>
  </mc:AlternateContent>
  <xr:revisionPtr revIDLastSave="0" documentId="13_ncr:1_{DCEE8AB5-8A1E-4E8E-A081-534B701AAE65}" xr6:coauthVersionLast="45" xr6:coauthVersionMax="45" xr10:uidLastSave="{00000000-0000-0000-0000-000000000000}"/>
  <bookViews>
    <workbookView xWindow="-23148" yWindow="-108" windowWidth="23256" windowHeight="12576" xr2:uid="{8AAD77C3-8360-42E0-8AA8-B9230A28FA7A}"/>
  </bookViews>
  <sheets>
    <sheet name="Sheet1" sheetId="1" r:id="rId1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" l="1"/>
  <c r="B91" i="1"/>
  <c r="B89" i="1"/>
  <c r="F102" i="1"/>
  <c r="F101" i="1"/>
  <c r="F93" i="1"/>
  <c r="G93" i="1" s="1"/>
  <c r="K89" i="1"/>
  <c r="J89" i="1"/>
  <c r="I89" i="1"/>
  <c r="H89" i="1"/>
  <c r="G89" i="1"/>
  <c r="C95" i="1"/>
  <c r="B96" i="1" s="1"/>
  <c r="G82" i="1"/>
  <c r="G81" i="1"/>
  <c r="B82" i="1"/>
  <c r="C81" i="1"/>
  <c r="G102" i="1" l="1"/>
  <c r="G101" i="1"/>
  <c r="H93" i="1"/>
  <c r="I93" i="1" s="1"/>
  <c r="J93" i="1" s="1"/>
  <c r="K93" i="1" s="1"/>
  <c r="F94" i="1" s="1"/>
  <c r="C96" i="1"/>
  <c r="B97" i="1" s="1"/>
  <c r="H94" i="1" l="1"/>
  <c r="I94" i="1"/>
  <c r="J94" i="1" s="1"/>
  <c r="G94" i="1"/>
  <c r="F90" i="1"/>
  <c r="G90" i="1" s="1"/>
  <c r="C97" i="1"/>
  <c r="H81" i="1"/>
  <c r="I81" i="1" s="1"/>
  <c r="J81" i="1" s="1"/>
  <c r="C82" i="1"/>
  <c r="B83" i="1" s="1"/>
  <c r="K94" i="1" l="1"/>
  <c r="F95" i="1" s="1"/>
  <c r="B98" i="1"/>
  <c r="H90" i="1"/>
  <c r="I90" i="1" s="1"/>
  <c r="J90" i="1" s="1"/>
  <c r="K81" i="1"/>
  <c r="F82" i="1" s="1"/>
  <c r="C83" i="1"/>
  <c r="B84" i="1" s="1"/>
  <c r="J76" i="1"/>
  <c r="K68" i="1"/>
  <c r="J68" i="1"/>
  <c r="L68" i="1"/>
  <c r="L71" i="1"/>
  <c r="K72" i="1"/>
  <c r="K70" i="1"/>
  <c r="B102" i="1" l="1"/>
  <c r="B99" i="1"/>
  <c r="G95" i="1"/>
  <c r="C98" i="1"/>
  <c r="K90" i="1"/>
  <c r="F91" i="1" s="1"/>
  <c r="C84" i="1"/>
  <c r="B85" i="1"/>
  <c r="H82" i="1"/>
  <c r="I82" i="1" s="1"/>
  <c r="J82" i="1" s="1"/>
  <c r="L75" i="1"/>
  <c r="L76" i="1" s="1"/>
  <c r="J75" i="1"/>
  <c r="J69" i="1"/>
  <c r="J70" i="1"/>
  <c r="J71" i="1"/>
  <c r="J72" i="1"/>
  <c r="J73" i="1"/>
  <c r="C99" i="1" l="1"/>
  <c r="B100" i="1"/>
  <c r="C100" i="1" s="1"/>
  <c r="B101" i="1" s="1"/>
  <c r="C101" i="1" s="1"/>
  <c r="H95" i="1"/>
  <c r="I95" i="1" s="1"/>
  <c r="J95" i="1" s="1"/>
  <c r="G91" i="1"/>
  <c r="K82" i="1"/>
  <c r="F83" i="1" s="1"/>
  <c r="G83" i="1" s="1"/>
  <c r="K75" i="1"/>
  <c r="K76" i="1" s="1"/>
  <c r="D69" i="1"/>
  <c r="E70" i="1"/>
  <c r="K95" i="1" l="1"/>
  <c r="H91" i="1"/>
  <c r="I91" i="1" s="1"/>
  <c r="J91" i="1" s="1"/>
  <c r="H83" i="1"/>
  <c r="I83" i="1" s="1"/>
  <c r="J83" i="1" s="1"/>
  <c r="C73" i="1"/>
  <c r="C68" i="1"/>
  <c r="K91" i="1" l="1"/>
  <c r="F92" i="1" s="1"/>
  <c r="F96" i="1" s="1"/>
  <c r="K83" i="1"/>
  <c r="F84" i="1" s="1"/>
  <c r="E73" i="1"/>
  <c r="D73" i="1"/>
  <c r="E71" i="1"/>
  <c r="E69" i="1"/>
  <c r="D70" i="1"/>
  <c r="D71" i="1"/>
  <c r="D72" i="1"/>
  <c r="C69" i="1"/>
  <c r="C70" i="1"/>
  <c r="C71" i="1"/>
  <c r="G92" i="1" l="1"/>
  <c r="F85" i="1"/>
  <c r="G84" i="1"/>
  <c r="P49" i="1"/>
  <c r="Q43" i="1"/>
  <c r="Q49" i="1"/>
  <c r="O49" i="1"/>
  <c r="P43" i="1"/>
  <c r="O43" i="1"/>
  <c r="N43" i="1"/>
  <c r="H92" i="1" l="1"/>
  <c r="I92" i="1" s="1"/>
  <c r="J92" i="1" s="1"/>
  <c r="H84" i="1"/>
  <c r="I84" i="1" s="1"/>
  <c r="J84" i="1" s="1"/>
  <c r="P44" i="1"/>
  <c r="O44" i="1"/>
  <c r="O45" i="1"/>
  <c r="N49" i="1"/>
  <c r="N44" i="1"/>
  <c r="N45" i="1"/>
  <c r="N46" i="1"/>
  <c r="F44" i="1"/>
  <c r="K92" i="1" l="1"/>
  <c r="K84" i="1"/>
  <c r="F43" i="1"/>
  <c r="D45" i="1"/>
  <c r="D46" i="1"/>
  <c r="D47" i="1"/>
  <c r="D44" i="1"/>
  <c r="C45" i="1"/>
  <c r="C46" i="1"/>
  <c r="C47" i="1"/>
  <c r="C44" i="1"/>
  <c r="K28" i="1" l="1"/>
  <c r="L28" i="1" s="1"/>
  <c r="K27" i="1"/>
  <c r="L27" i="1" s="1"/>
  <c r="L26" i="1"/>
  <c r="K26" i="1"/>
  <c r="J24" i="1" l="1"/>
  <c r="B29" i="1" l="1"/>
  <c r="B28" i="1"/>
  <c r="B38" i="1"/>
  <c r="C38" i="1"/>
  <c r="B39" i="1" s="1"/>
  <c r="C39" i="1" s="1"/>
  <c r="B40" i="1" s="1"/>
  <c r="C40" i="1" s="1"/>
  <c r="B31" i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F30" i="1" l="1"/>
  <c r="E30" i="1"/>
  <c r="C29" i="1"/>
  <c r="B30" i="1" s="1"/>
  <c r="C30" i="1" s="1"/>
  <c r="C28" i="1"/>
  <c r="J21" i="1" l="1"/>
  <c r="L19" i="1"/>
  <c r="M19" i="1" s="1"/>
  <c r="J19" i="1"/>
  <c r="L18" i="1"/>
  <c r="Q17" i="1"/>
  <c r="O17" i="1"/>
  <c r="M18" i="1"/>
  <c r="K18" i="1"/>
  <c r="K19" i="1"/>
  <c r="P17" i="1"/>
  <c r="N18" i="1"/>
  <c r="O18" i="1" s="1"/>
  <c r="N19" i="1"/>
  <c r="O19" i="1" s="1"/>
  <c r="N17" i="1"/>
  <c r="M17" i="1"/>
  <c r="K17" i="1"/>
  <c r="P19" i="1" l="1"/>
  <c r="Q19" i="1" s="1"/>
  <c r="P18" i="1"/>
  <c r="Q18" i="1" s="1"/>
  <c r="B11" i="1"/>
  <c r="E22" i="1"/>
  <c r="C22" i="1"/>
  <c r="B23" i="1"/>
  <c r="C23" i="1" s="1"/>
  <c r="G8" i="1"/>
  <c r="G9" i="1"/>
  <c r="G7" i="1"/>
  <c r="C18" i="1"/>
  <c r="C19" i="1"/>
  <c r="E18" i="1"/>
  <c r="E19" i="1"/>
  <c r="E17" i="1"/>
  <c r="C17" i="1"/>
  <c r="F19" i="1"/>
  <c r="G19" i="1" s="1"/>
  <c r="F18" i="1"/>
  <c r="G18" i="1" s="1"/>
  <c r="F17" i="1"/>
  <c r="G17" i="1" s="1"/>
  <c r="F8" i="1"/>
  <c r="F7" i="1"/>
  <c r="B8" i="1"/>
  <c r="C8" i="1"/>
  <c r="E7" i="1"/>
  <c r="C7" i="1"/>
  <c r="F22" i="1" l="1"/>
  <c r="G22" i="1" s="1"/>
  <c r="D8" i="1"/>
  <c r="L12" i="1"/>
  <c r="M12" i="1" s="1"/>
  <c r="J12" i="1"/>
  <c r="J11" i="1"/>
  <c r="L11" i="1"/>
  <c r="J10" i="1"/>
  <c r="L10" i="1"/>
  <c r="J9" i="1"/>
  <c r="L9" i="1"/>
  <c r="L8" i="1"/>
  <c r="J8" i="1"/>
  <c r="L7" i="1"/>
  <c r="M7" i="1" s="1"/>
  <c r="N5" i="1"/>
  <c r="N6" i="1"/>
  <c r="O6" i="1" s="1"/>
  <c r="N7" i="1"/>
  <c r="O7" i="1" s="1"/>
  <c r="N11" i="1"/>
  <c r="O11" i="1" s="1"/>
  <c r="N12" i="1"/>
  <c r="O12" i="1" s="1"/>
  <c r="O5" i="1"/>
  <c r="M5" i="1"/>
  <c r="M6" i="1"/>
  <c r="M8" i="1"/>
  <c r="M10" i="1"/>
  <c r="M11" i="1"/>
  <c r="K5" i="1"/>
  <c r="K6" i="1"/>
  <c r="K7" i="1"/>
  <c r="K8" i="1"/>
  <c r="K9" i="1"/>
  <c r="K10" i="1"/>
  <c r="K11" i="1"/>
  <c r="K12" i="1"/>
  <c r="K3" i="1"/>
  <c r="M3" i="1"/>
  <c r="N3" i="1"/>
  <c r="O3" i="1" s="1"/>
  <c r="K4" i="1"/>
  <c r="M4" i="1"/>
  <c r="N4" i="1"/>
  <c r="O4" i="1" s="1"/>
  <c r="N2" i="1"/>
  <c r="M2" i="1"/>
  <c r="K2" i="1"/>
  <c r="D23" i="1" l="1"/>
  <c r="E23" i="1" s="1"/>
  <c r="D9" i="1"/>
  <c r="B9" i="1"/>
  <c r="E8" i="1"/>
  <c r="N10" i="1"/>
  <c r="O10" i="1" s="1"/>
  <c r="N9" i="1"/>
  <c r="O9" i="1" s="1"/>
  <c r="M9" i="1"/>
  <c r="N8" i="1"/>
  <c r="O8" i="1" s="1"/>
  <c r="O2" i="1"/>
  <c r="G3" i="1"/>
  <c r="E3" i="1"/>
  <c r="E4" i="1"/>
  <c r="C3" i="1"/>
  <c r="C4" i="1"/>
  <c r="F3" i="1"/>
  <c r="F4" i="1"/>
  <c r="G4" i="1" s="1"/>
  <c r="F2" i="1"/>
  <c r="E2" i="1"/>
  <c r="C2" i="1"/>
  <c r="B24" i="1" l="1"/>
  <c r="C24" i="1" s="1"/>
  <c r="F23" i="1"/>
  <c r="G23" i="1" s="1"/>
  <c r="D24" i="1"/>
  <c r="E24" i="1" s="1"/>
  <c r="E9" i="1"/>
  <c r="F9" i="1"/>
  <c r="C9" i="1"/>
  <c r="G2" i="1"/>
  <c r="F24" i="1" l="1"/>
  <c r="G24" i="1" s="1"/>
</calcChain>
</file>

<file path=xl/sharedStrings.xml><?xml version="1.0" encoding="utf-8"?>
<sst xmlns="http://schemas.openxmlformats.org/spreadsheetml/2006/main" count="148" uniqueCount="86">
  <si>
    <t xml:space="preserve">Iteration </t>
  </si>
  <si>
    <t>x1</t>
  </si>
  <si>
    <t>f1</t>
  </si>
  <si>
    <t>xu</t>
  </si>
  <si>
    <t>fu</t>
  </si>
  <si>
    <t>xr</t>
  </si>
  <si>
    <t>fr</t>
  </si>
  <si>
    <t>Bisection</t>
  </si>
  <si>
    <t xml:space="preserve">Secant </t>
  </si>
  <si>
    <t>x0</t>
  </si>
  <si>
    <t>f0</t>
  </si>
  <si>
    <t>xnew</t>
  </si>
  <si>
    <t>fnew</t>
  </si>
  <si>
    <t>Error:</t>
  </si>
  <si>
    <t>Ridders'</t>
  </si>
  <si>
    <t>x2</t>
  </si>
  <si>
    <t>f2</t>
  </si>
  <si>
    <t>x3</t>
  </si>
  <si>
    <t>f3</t>
  </si>
  <si>
    <t>x4</t>
  </si>
  <si>
    <t>f4</t>
  </si>
  <si>
    <t>guassS.</t>
  </si>
  <si>
    <t>y</t>
  </si>
  <si>
    <t>x</t>
  </si>
  <si>
    <t>init guess</t>
  </si>
  <si>
    <t>-</t>
  </si>
  <si>
    <t>Errors:</t>
  </si>
  <si>
    <t>Iteration</t>
  </si>
  <si>
    <t>f</t>
  </si>
  <si>
    <t>V</t>
  </si>
  <si>
    <t>Re</t>
  </si>
  <si>
    <t>L</t>
  </si>
  <si>
    <t>D</t>
  </si>
  <si>
    <t>P1</t>
  </si>
  <si>
    <t>P2</t>
  </si>
  <si>
    <t>eps</t>
  </si>
  <si>
    <t>hp</t>
  </si>
  <si>
    <t>z1</t>
  </si>
  <si>
    <t>z2</t>
  </si>
  <si>
    <t>m</t>
  </si>
  <si>
    <t>pa</t>
  </si>
  <si>
    <t>J/N</t>
  </si>
  <si>
    <t>Km</t>
  </si>
  <si>
    <t>rho</t>
  </si>
  <si>
    <t>kg/m^3</t>
  </si>
  <si>
    <t>nu</t>
  </si>
  <si>
    <t>g</t>
  </si>
  <si>
    <t>m/s^2</t>
  </si>
  <si>
    <t>Pipe Flow Stuff</t>
  </si>
  <si>
    <t>Trendline</t>
  </si>
  <si>
    <t>b:</t>
  </si>
  <si>
    <t>a:</t>
  </si>
  <si>
    <t>x^2</t>
  </si>
  <si>
    <t>x*y</t>
  </si>
  <si>
    <t>f(x)</t>
  </si>
  <si>
    <t>1st Order</t>
  </si>
  <si>
    <t>2nd Order</t>
  </si>
  <si>
    <t>3rd Order</t>
  </si>
  <si>
    <t>4th Order</t>
  </si>
  <si>
    <t>forward</t>
  </si>
  <si>
    <t>backward</t>
  </si>
  <si>
    <t>central</t>
  </si>
  <si>
    <t>Error</t>
  </si>
  <si>
    <t>Actual</t>
  </si>
  <si>
    <t>PreClass 42</t>
  </si>
  <si>
    <t>Trapezoidal</t>
  </si>
  <si>
    <t>Simpsons 1/3</t>
  </si>
  <si>
    <t>Simpsons 3/8</t>
  </si>
  <si>
    <t>sums</t>
  </si>
  <si>
    <t>Errors</t>
  </si>
  <si>
    <t>Euler's Method</t>
  </si>
  <si>
    <t>t</t>
  </si>
  <si>
    <t>dy/dt</t>
  </si>
  <si>
    <t>step size:</t>
  </si>
  <si>
    <t>Runge-Kutta</t>
  </si>
  <si>
    <t>k1</t>
  </si>
  <si>
    <t>k2</t>
  </si>
  <si>
    <t>k3</t>
  </si>
  <si>
    <t>k4</t>
  </si>
  <si>
    <t>phi</t>
  </si>
  <si>
    <t>Error at 3</t>
  </si>
  <si>
    <t>Step Size:</t>
  </si>
  <si>
    <t>Rungekutta</t>
  </si>
  <si>
    <t>Eulers</t>
  </si>
  <si>
    <t>Approx</t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</si>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</sst>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4" xfId="0" applyFont="1" applyBorder="1"/>
    <xf numFmtId="0" fontId="0" fillId="0" borderId="13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21" xfId="0" applyNumberFormat="1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11" xfId="0" applyNumberFormat="1" applyBorder="1"/>
    <xf numFmtId="1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</a:t>
            </a:r>
            <a:r>
              <a:rPr lang="en-US" baseline="0"/>
              <a:t> fun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19971888761"/>
          <c:y val="0.25973266499582293"/>
          <c:w val="0.68921159445233282"/>
          <c:h val="0.43054815516481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908282298046077E-2"/>
                  <c:y val="-0.12229270261166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Sheet1!$A$44:$A$47</c:f>
              <c:numCache>
                <c:formatCode>General</c:formatCode>
                <c:ptCount val="4"/>
                <c:pt idx="0">
                  <c:v>0.5</c:v>
                </c:pt>
                <c:pt idx="1">
                  <c:v>0.9</c:v>
                </c:pt>
                <c:pt idx="2">
                  <c:v>1.7</c:v>
                </c:pt>
                <c:pt idx="3">
                  <c:v>2.4</c:v>
                </c:pt>
              </c:numCache>
            </c:numRef>
          </c:xVal>
          <c:yVal>
            <c:numRef>
              <c:f>Sheet1!$B$44:$B$47</c:f>
              <c:numCache>
                <c:formatCode>General</c:formatCode>
                <c:ptCount val="4"/>
                <c:pt idx="0">
                  <c:v>8.6999999999999993</c:v>
                </c:pt>
                <c:pt idx="1">
                  <c:v>9.3000000000000007</c:v>
                </c:pt>
                <c:pt idx="2">
                  <c:v>10.6</c:v>
                </c:pt>
                <c:pt idx="3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9-4EA2-A82E-1375FE1D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4032"/>
        <c:axId val="1154441808"/>
      </c:scatterChart>
      <c:valAx>
        <c:axId val="11544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1808"/>
        <c:crosses val="autoZero"/>
        <c:crossBetween val="midCat"/>
      </c:valAx>
      <c:valAx>
        <c:axId val="11544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Sheet1!$H$68:$H$74</c:f>
              <c:numCache>
                <c:formatCode>General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</c:numCache>
            </c:numRef>
          </c:xVal>
          <c:yVal>
            <c:numRef>
              <c:f>Sheet1!$I$68:$I$74</c:f>
              <c:numCache>
                <c:formatCode>General</c:formatCode>
                <c:ptCount val="7"/>
                <c:pt idx="0">
                  <c:v>-1.204</c:v>
                </c:pt>
                <c:pt idx="1">
                  <c:v>-0.69310000000000005</c:v>
                </c:pt>
                <c:pt idx="2">
                  <c:v>-0.35670000000000002</c:v>
                </c:pt>
                <c:pt idx="3">
                  <c:v>-0.10539999999999999</c:v>
                </c:pt>
                <c:pt idx="4">
                  <c:v>9.5310000000000006E-2</c:v>
                </c:pt>
                <c:pt idx="5">
                  <c:v>0.26240000000000002</c:v>
                </c:pt>
                <c:pt idx="6">
                  <c:v>0.40550000000000003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B-4A51-8C13-03A9AAA9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21055"/>
        <c:axId val="813529807"/>
      </c:scatterChart>
      <c:valAx>
        <c:axId val="10090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29807"/>
        <c:crosses val="autoZero"/>
        <c:crossBetween val="midCat"/>
      </c:valAx>
      <c:valAx>
        <c:axId val="8135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47</xdr:row>
      <xdr:rowOff>49530</xdr:rowOff>
    </xdr:from>
    <xdr:to>
      <xdr:col>9</xdr:col>
      <xdr:colOff>281940</xdr:colOff>
      <xdr:row>63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78C37-0FD4-46E5-894E-013D7D520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78906</xdr:colOff>
      <xdr:row>64</xdr:row>
      <xdr:rowOff>159164</xdr:rowOff>
    </xdr:from>
    <xdr:to>
      <xdr:col>19</xdr:col>
      <xdr:colOff>173592</xdr:colOff>
      <xdr:row>79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AB820-7BBA-4B1C-8029-F54E80F70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CBC2-794F-4C8C-B65A-6B36D65342DB}">
  <dimension ref="A1:Q102"/>
  <sheetViews>
    <sheetView tabSelected="1" topLeftCell="A85" zoomScale="143" zoomScaleNormal="170" workbookViewId="0">
      <selection activeCell="C88" sqref="C88"/>
    </sheetView>
  </sheetViews>
  <sheetFormatPr defaultRowHeight="14.4" x14ac:dyDescent="0.3"/>
  <cols>
    <col min="1" max="1" width="14.44140625" bestFit="1" customWidth="1"/>
    <col min="5" max="5" width="12.6640625" bestFit="1" customWidth="1"/>
    <col min="9" max="9" width="13.6640625" bestFit="1" customWidth="1"/>
    <col min="10" max="10" width="12.33203125" bestFit="1" customWidth="1"/>
    <col min="11" max="11" width="12.88671875" bestFit="1" customWidth="1"/>
    <col min="12" max="12" width="12.33203125" bestFit="1" customWidth="1"/>
    <col min="14" max="14" width="12" bestFit="1" customWidth="1"/>
  </cols>
  <sheetData>
    <row r="1" spans="1:17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3">
      <c r="A2" s="1">
        <v>1</v>
      </c>
      <c r="B2" s="1">
        <v>3</v>
      </c>
      <c r="C2" s="1">
        <f>(5*(B2-1)-B2^2)*(EXP(-B2)-1)</f>
        <v>-0.95021293163213605</v>
      </c>
      <c r="D2" s="1">
        <v>4</v>
      </c>
      <c r="E2" s="1">
        <f t="shared" ref="E2:G2" si="0">(5*(D2-1)-D2^2)*(EXP(-D2)-1)</f>
        <v>0.98168436111126578</v>
      </c>
      <c r="F2" s="1">
        <f>(B2+D2)/2</f>
        <v>3.5</v>
      </c>
      <c r="G2" s="1">
        <f t="shared" si="0"/>
        <v>-0.24245065414442038</v>
      </c>
      <c r="I2" s="1">
        <v>1</v>
      </c>
      <c r="J2" s="1">
        <v>0.6</v>
      </c>
      <c r="K2" s="1">
        <f>J2*SIN(10*J2)-J2+1</f>
        <v>0.23235070108064448</v>
      </c>
      <c r="L2" s="1">
        <v>1.2</v>
      </c>
      <c r="M2" s="1">
        <f>L2*SIN(10*L2)-L2+1</f>
        <v>-0.84388750160052184</v>
      </c>
      <c r="N2" s="1">
        <f>(J2+L2)/2</f>
        <v>0.89999999999999991</v>
      </c>
      <c r="O2" s="1">
        <f>N2*SIN(10*N2)-N2+1</f>
        <v>0.47090663671758093</v>
      </c>
    </row>
    <row r="3" spans="1:17" x14ac:dyDescent="0.3">
      <c r="A3" s="1">
        <v>2</v>
      </c>
      <c r="B3" s="1">
        <v>3.5</v>
      </c>
      <c r="C3" s="1">
        <f t="shared" ref="C3:C4" si="1">(5*(B3-1)-B3^2)*(EXP(-B3)-1)</f>
        <v>-0.24245065414442038</v>
      </c>
      <c r="D3" s="1">
        <v>4</v>
      </c>
      <c r="E3" s="1">
        <f t="shared" ref="E3" si="2">(5*(D3-1)-D3^2)*(EXP(-D3)-1)</f>
        <v>0.98168436111126578</v>
      </c>
      <c r="F3" s="1">
        <f t="shared" ref="F3:F4" si="3">(B3+D3)/2</f>
        <v>3.75</v>
      </c>
      <c r="G3" s="1">
        <f t="shared" ref="G3" si="4">(5*(F3-1)-F3^2)*(EXP(-F3)-1)</f>
        <v>0.30515070441999714</v>
      </c>
      <c r="I3" s="1">
        <v>2</v>
      </c>
      <c r="J3" s="1">
        <v>0.9</v>
      </c>
      <c r="K3" s="1">
        <f t="shared" ref="K3:K12" si="5">J3*SIN(10*J3)-J3+1</f>
        <v>0.47090663671758093</v>
      </c>
      <c r="L3" s="1">
        <v>1.2</v>
      </c>
      <c r="M3" s="1">
        <f t="shared" ref="M3:M12" si="6">L3*SIN(10*L3)-L3+1</f>
        <v>-0.84388750160052184</v>
      </c>
      <c r="N3" s="1">
        <f t="shared" ref="N3:N12" si="7">(J3+L3)/2</f>
        <v>1.05</v>
      </c>
      <c r="O3" s="1">
        <f t="shared" ref="O3:O12" si="8">N3*SIN(10*N3)-N3+1</f>
        <v>-0.9736805479702535</v>
      </c>
    </row>
    <row r="4" spans="1:17" x14ac:dyDescent="0.3">
      <c r="A4" s="1">
        <v>3</v>
      </c>
      <c r="B4" s="1">
        <v>3.5</v>
      </c>
      <c r="C4" s="1">
        <f t="shared" si="1"/>
        <v>-0.24245065414442038</v>
      </c>
      <c r="D4" s="1">
        <v>3.75</v>
      </c>
      <c r="E4" s="1">
        <f t="shared" ref="E4" si="9">(5*(D4-1)-D4^2)*(EXP(-D4)-1)</f>
        <v>0.30515070441999714</v>
      </c>
      <c r="F4" s="1">
        <f t="shared" si="3"/>
        <v>3.625</v>
      </c>
      <c r="G4" s="1">
        <f t="shared" ref="G4" si="10">(5*(F4-1)-F4^2)*(EXP(-F4)-1)</f>
        <v>1.5208607854119446E-2</v>
      </c>
      <c r="I4" s="1">
        <v>3</v>
      </c>
      <c r="J4" s="1">
        <v>0.9</v>
      </c>
      <c r="K4" s="1">
        <f t="shared" si="5"/>
        <v>0.47090663671758093</v>
      </c>
      <c r="L4" s="1">
        <v>1.05</v>
      </c>
      <c r="M4" s="1">
        <f t="shared" si="6"/>
        <v>-0.9736805479702535</v>
      </c>
      <c r="N4" s="1">
        <f t="shared" si="7"/>
        <v>0.97500000000000009</v>
      </c>
      <c r="O4" s="1">
        <f t="shared" si="8"/>
        <v>-0.28653121378171686</v>
      </c>
    </row>
    <row r="5" spans="1:17" x14ac:dyDescent="0.3">
      <c r="I5" s="1">
        <v>4</v>
      </c>
      <c r="J5" s="2">
        <v>0.9</v>
      </c>
      <c r="K5" s="1">
        <f t="shared" si="5"/>
        <v>0.47090663671758093</v>
      </c>
      <c r="L5" s="2">
        <v>0.97499999999999998</v>
      </c>
      <c r="M5" s="1">
        <f t="shared" si="6"/>
        <v>-0.28653121378171686</v>
      </c>
      <c r="N5" s="1">
        <f t="shared" si="7"/>
        <v>0.9375</v>
      </c>
      <c r="O5" s="1">
        <f t="shared" si="8"/>
        <v>0.10914756840726125</v>
      </c>
    </row>
    <row r="6" spans="1:17" x14ac:dyDescent="0.3">
      <c r="A6" s="1" t="s">
        <v>8</v>
      </c>
      <c r="B6" s="1" t="s">
        <v>9</v>
      </c>
      <c r="C6" s="1" t="s">
        <v>10</v>
      </c>
      <c r="D6" s="1" t="s">
        <v>1</v>
      </c>
      <c r="E6" s="1" t="s">
        <v>2</v>
      </c>
      <c r="F6" s="1" t="s">
        <v>11</v>
      </c>
      <c r="G6" s="1" t="s">
        <v>12</v>
      </c>
      <c r="I6" s="1">
        <v>5</v>
      </c>
      <c r="J6" s="2">
        <v>0.9375</v>
      </c>
      <c r="K6" s="1">
        <f t="shared" si="5"/>
        <v>0.10914756840726125</v>
      </c>
      <c r="L6" s="2">
        <v>0.97499999999999998</v>
      </c>
      <c r="M6" s="1">
        <f t="shared" si="6"/>
        <v>-0.28653121378171686</v>
      </c>
      <c r="N6" s="1">
        <f t="shared" si="7"/>
        <v>0.95625000000000004</v>
      </c>
      <c r="O6" s="1">
        <f t="shared" si="8"/>
        <v>-8.7530771541581398E-2</v>
      </c>
    </row>
    <row r="7" spans="1:17" x14ac:dyDescent="0.3">
      <c r="A7" s="1">
        <v>1</v>
      </c>
      <c r="B7" s="1">
        <v>0.6</v>
      </c>
      <c r="C7" s="1">
        <f>B7*SIN(10*B7)-B7+1</f>
        <v>0.23235070108064448</v>
      </c>
      <c r="D7" s="1">
        <v>1.2</v>
      </c>
      <c r="E7" s="1">
        <f>D7*SIN(10*D7)-D7+1</f>
        <v>-0.84388750160052184</v>
      </c>
      <c r="F7" s="1">
        <f>D7-(E7*(D7-B7))/(E7-C7)</f>
        <v>0.72953491178912067</v>
      </c>
      <c r="G7" s="1">
        <f>F7*SIN(10*F7)-F7+1</f>
        <v>0.88909661862294853</v>
      </c>
      <c r="I7" s="1">
        <v>6</v>
      </c>
      <c r="J7" s="2">
        <v>0.9375</v>
      </c>
      <c r="K7" s="1">
        <f t="shared" si="5"/>
        <v>0.10914756840726125</v>
      </c>
      <c r="L7">
        <f>N6</f>
        <v>0.95625000000000004</v>
      </c>
      <c r="M7" s="1">
        <f t="shared" si="6"/>
        <v>-8.7530771541581398E-2</v>
      </c>
      <c r="N7" s="1">
        <f t="shared" si="7"/>
        <v>0.94687500000000002</v>
      </c>
      <c r="O7" s="1">
        <f t="shared" si="8"/>
        <v>1.15023915445438E-2</v>
      </c>
    </row>
    <row r="8" spans="1:17" x14ac:dyDescent="0.3">
      <c r="A8" s="1">
        <v>2</v>
      </c>
      <c r="B8" s="1">
        <f>D7</f>
        <v>1.2</v>
      </c>
      <c r="C8" s="1">
        <f t="shared" ref="C8:C9" si="11">B8*SIN(10*B8)-B8+1</f>
        <v>-0.84388750160052184</v>
      </c>
      <c r="D8" s="1">
        <f>F7</f>
        <v>0.72953491178912067</v>
      </c>
      <c r="E8" s="1">
        <f t="shared" ref="E8:E9" si="12">D8*SIN(10*D8)-D8+1</f>
        <v>0.88909661862294853</v>
      </c>
      <c r="F8" s="1">
        <f t="shared" ref="F8:F9" si="13">D8-(E8*(D8-B8))/(E8-C8)</f>
        <v>0.97090407047160254</v>
      </c>
      <c r="G8" s="1">
        <f t="shared" ref="G8:G9" si="14">F8*SIN(10*F8)-F8+1</f>
        <v>-0.24319397973566947</v>
      </c>
      <c r="I8" s="1">
        <v>7</v>
      </c>
      <c r="J8">
        <f>N7</f>
        <v>0.94687500000000002</v>
      </c>
      <c r="K8" s="1">
        <f t="shared" si="5"/>
        <v>1.15023915445438E-2</v>
      </c>
      <c r="L8">
        <f>L7</f>
        <v>0.95625000000000004</v>
      </c>
      <c r="M8" s="1">
        <f t="shared" si="6"/>
        <v>-8.7530771541581398E-2</v>
      </c>
      <c r="N8" s="1">
        <f t="shared" si="7"/>
        <v>0.95156250000000009</v>
      </c>
      <c r="O8" s="1">
        <f t="shared" si="8"/>
        <v>-3.7890274821291703E-2</v>
      </c>
    </row>
    <row r="9" spans="1:17" x14ac:dyDescent="0.3">
      <c r="A9" s="1">
        <v>3</v>
      </c>
      <c r="B9" s="1">
        <f>D8</f>
        <v>0.72953491178912067</v>
      </c>
      <c r="C9" s="1">
        <f t="shared" si="11"/>
        <v>0.88909661862294853</v>
      </c>
      <c r="D9" s="1">
        <f>F8</f>
        <v>0.97090407047160254</v>
      </c>
      <c r="E9" s="1">
        <f t="shared" si="12"/>
        <v>-0.24319397973566947</v>
      </c>
      <c r="F9" s="1">
        <f t="shared" si="13"/>
        <v>0.91906267359827809</v>
      </c>
      <c r="G9" s="1">
        <f t="shared" si="14"/>
        <v>0.29417590953276518</v>
      </c>
      <c r="I9" s="1">
        <v>8</v>
      </c>
      <c r="J9">
        <f>J8</f>
        <v>0.94687500000000002</v>
      </c>
      <c r="K9" s="1">
        <f t="shared" si="5"/>
        <v>1.15023915445438E-2</v>
      </c>
      <c r="L9">
        <f>N8</f>
        <v>0.95156250000000009</v>
      </c>
      <c r="M9" s="1">
        <f t="shared" si="6"/>
        <v>-3.7890274821291703E-2</v>
      </c>
      <c r="N9" s="1">
        <f t="shared" si="7"/>
        <v>0.94921875</v>
      </c>
      <c r="O9" s="1">
        <f t="shared" si="8"/>
        <v>-1.3156700052633363E-2</v>
      </c>
    </row>
    <row r="10" spans="1:17" x14ac:dyDescent="0.3">
      <c r="I10" s="1">
        <v>9</v>
      </c>
      <c r="J10">
        <f>J9</f>
        <v>0.94687500000000002</v>
      </c>
      <c r="K10" s="1">
        <f t="shared" si="5"/>
        <v>1.15023915445438E-2</v>
      </c>
      <c r="L10">
        <f>N9</f>
        <v>0.94921875</v>
      </c>
      <c r="M10" s="1">
        <f t="shared" si="6"/>
        <v>-1.3156700052633363E-2</v>
      </c>
      <c r="N10" s="1">
        <f t="shared" si="7"/>
        <v>0.94804687499999996</v>
      </c>
      <c r="O10" s="1">
        <f t="shared" si="8"/>
        <v>-8.1706634829692426E-4</v>
      </c>
    </row>
    <row r="11" spans="1:17" x14ac:dyDescent="0.3">
      <c r="A11" t="s">
        <v>13</v>
      </c>
      <c r="B11">
        <f>ABS(F9-F8)/F9</f>
        <v>5.6406813553157423E-2</v>
      </c>
      <c r="I11" s="1">
        <v>10</v>
      </c>
      <c r="J11">
        <f>J10</f>
        <v>0.94687500000000002</v>
      </c>
      <c r="K11" s="1">
        <f t="shared" si="5"/>
        <v>1.15023915445438E-2</v>
      </c>
      <c r="L11">
        <f>N10</f>
        <v>0.94804687499999996</v>
      </c>
      <c r="M11" s="1">
        <f t="shared" si="6"/>
        <v>-8.1706634829692426E-4</v>
      </c>
      <c r="N11" s="1">
        <f t="shared" si="7"/>
        <v>0.94746093750000004</v>
      </c>
      <c r="O11" s="1">
        <f t="shared" si="8"/>
        <v>5.3452814116534686E-3</v>
      </c>
    </row>
    <row r="12" spans="1:17" x14ac:dyDescent="0.3">
      <c r="I12" s="1">
        <v>11</v>
      </c>
      <c r="J12">
        <f>N11</f>
        <v>0.94746093750000004</v>
      </c>
      <c r="K12" s="1">
        <f t="shared" si="5"/>
        <v>5.3452814116534686E-3</v>
      </c>
      <c r="L12">
        <f>L11</f>
        <v>0.94804687499999996</v>
      </c>
      <c r="M12" s="1">
        <f t="shared" si="6"/>
        <v>-8.1706634829692426E-4</v>
      </c>
      <c r="N12" s="1">
        <f t="shared" si="7"/>
        <v>0.94775390625</v>
      </c>
      <c r="O12" s="1">
        <f t="shared" si="8"/>
        <v>2.2647501464618802E-3</v>
      </c>
    </row>
    <row r="16" spans="1:17" x14ac:dyDescent="0.3">
      <c r="A16" s="1" t="s">
        <v>7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I16" s="1" t="s">
        <v>14</v>
      </c>
      <c r="J16" s="1" t="s">
        <v>1</v>
      </c>
      <c r="K16" s="1" t="s">
        <v>2</v>
      </c>
      <c r="L16" s="1" t="s">
        <v>15</v>
      </c>
      <c r="M16" s="1" t="s">
        <v>16</v>
      </c>
      <c r="N16" s="1" t="s">
        <v>17</v>
      </c>
      <c r="O16" s="1" t="s">
        <v>18</v>
      </c>
      <c r="P16" s="1" t="s">
        <v>19</v>
      </c>
      <c r="Q16" s="1" t="s">
        <v>20</v>
      </c>
    </row>
    <row r="17" spans="1:17" x14ac:dyDescent="0.3">
      <c r="A17" s="1">
        <v>1</v>
      </c>
      <c r="B17" s="1">
        <v>0.6</v>
      </c>
      <c r="C17" s="1">
        <f>B17*SIN(10*B17)-B17+1</f>
        <v>0.23235070108064448</v>
      </c>
      <c r="D17" s="1">
        <v>1.2</v>
      </c>
      <c r="E17" s="1">
        <f>D17*SIN(10*D17)-D17+1</f>
        <v>-0.84388750160052184</v>
      </c>
      <c r="F17" s="1">
        <f>(B17+D17)/2</f>
        <v>0.89999999999999991</v>
      </c>
      <c r="G17" s="1">
        <f t="shared" ref="G17:G19" si="15">(5*(F17-1)-F17^2)*(EXP(-F17)-1)</f>
        <v>0.77739374573981523</v>
      </c>
      <c r="I17" s="1">
        <v>1</v>
      </c>
      <c r="J17" s="1">
        <v>0.6</v>
      </c>
      <c r="K17" s="1">
        <f>J17*SIN(10*J17)-J17+1</f>
        <v>0.23235070108064448</v>
      </c>
      <c r="L17" s="1">
        <v>1.2</v>
      </c>
      <c r="M17" s="1">
        <f>L17*SIN(10*L17)-L17+1</f>
        <v>-0.84388750160052184</v>
      </c>
      <c r="N17" s="1">
        <f>(J17+L17)/2</f>
        <v>0.89999999999999991</v>
      </c>
      <c r="O17" s="1">
        <f>N17*SIN(10*N17)-N17+1</f>
        <v>0.47090663671758093</v>
      </c>
      <c r="P17" s="1">
        <f>N17+(N17-J17)*(SIGN(K17-M17)*O17)/SQRT(O17^2-K17*M17)</f>
        <v>1.1185525016176532</v>
      </c>
      <c r="Q17" s="1">
        <f>P17*SIN(10*P17)-P17+1</f>
        <v>-1.2169862025850575</v>
      </c>
    </row>
    <row r="18" spans="1:17" x14ac:dyDescent="0.3">
      <c r="A18" s="1">
        <v>2</v>
      </c>
      <c r="B18" s="1">
        <v>0.9</v>
      </c>
      <c r="C18" s="1">
        <f t="shared" ref="C18:C19" si="16">B18*SIN(10*B18)-B18+1</f>
        <v>0.47090663671758093</v>
      </c>
      <c r="D18" s="1">
        <v>1.2</v>
      </c>
      <c r="E18" s="1">
        <f t="shared" ref="E18:E19" si="17">D18*SIN(10*D18)-D18+1</f>
        <v>-0.84388750160052184</v>
      </c>
      <c r="F18" s="1">
        <f t="shared" ref="F18:F19" si="18">(B18+D18)/2</f>
        <v>1.05</v>
      </c>
      <c r="G18" s="1">
        <f t="shared" si="15"/>
        <v>0.55417806888274002</v>
      </c>
      <c r="I18" s="1">
        <v>2</v>
      </c>
      <c r="J18" s="1">
        <v>0.9</v>
      </c>
      <c r="K18" s="1">
        <f t="shared" ref="K18:K19" si="19">J18*SIN(10*J18)-J18+1</f>
        <v>0.47090663671758093</v>
      </c>
      <c r="L18" s="1">
        <f>P17</f>
        <v>1.1185525016176532</v>
      </c>
      <c r="M18" s="1">
        <f t="shared" ref="M18:M19" si="20">L18*SIN(10*L18)-L18+1</f>
        <v>-1.2169862025850575</v>
      </c>
      <c r="N18" s="1">
        <f t="shared" ref="N18:N19" si="21">(J18+L18)/2</f>
        <v>1.0092762508088267</v>
      </c>
      <c r="O18" s="1">
        <f t="shared" ref="O18:O19" si="22">N18*SIN(10*N18)-N18+1</f>
        <v>-0.6344269780662477</v>
      </c>
      <c r="P18" s="1">
        <f t="shared" ref="P18:P19" si="23">N18+(N18-J18)*(SIGN(K18-M18)*O18)/SQRT(O18^2-K18*M18)</f>
        <v>0.9390862916822027</v>
      </c>
      <c r="Q18" s="1">
        <f t="shared" ref="Q18:Q19" si="24">P18*SIN(10*P18)-P18+1</f>
        <v>9.2756755878750319E-2</v>
      </c>
    </row>
    <row r="19" spans="1:17" x14ac:dyDescent="0.3">
      <c r="A19" s="1">
        <v>3</v>
      </c>
      <c r="B19" s="1">
        <v>3.5</v>
      </c>
      <c r="C19" s="1">
        <f t="shared" si="16"/>
        <v>-3.9986393432365288</v>
      </c>
      <c r="D19" s="1">
        <v>3.75</v>
      </c>
      <c r="E19" s="1">
        <f t="shared" si="17"/>
        <v>-3.4917454986367336</v>
      </c>
      <c r="F19" s="1">
        <f t="shared" si="18"/>
        <v>3.625</v>
      </c>
      <c r="G19" s="1">
        <f t="shared" si="15"/>
        <v>1.5208607854119446E-2</v>
      </c>
      <c r="I19" s="1">
        <v>3</v>
      </c>
      <c r="J19" s="1">
        <f>N18</f>
        <v>1.0092762508088267</v>
      </c>
      <c r="K19" s="1">
        <f t="shared" si="19"/>
        <v>-0.6344269780662477</v>
      </c>
      <c r="L19" s="1">
        <f>P18</f>
        <v>0.9390862916822027</v>
      </c>
      <c r="M19" s="1">
        <f t="shared" si="20"/>
        <v>9.2756755878750319E-2</v>
      </c>
      <c r="N19" s="1">
        <f t="shared" si="21"/>
        <v>0.97418127124551468</v>
      </c>
      <c r="O19" s="1">
        <f t="shared" si="22"/>
        <v>-0.2778827336746752</v>
      </c>
      <c r="P19" s="1">
        <f t="shared" si="23"/>
        <v>0.94774309915386556</v>
      </c>
      <c r="Q19" s="1">
        <f t="shared" si="24"/>
        <v>2.3784084450663157E-3</v>
      </c>
    </row>
    <row r="21" spans="1:17" x14ac:dyDescent="0.3">
      <c r="A21" s="1" t="s">
        <v>8</v>
      </c>
      <c r="B21" s="1" t="s">
        <v>9</v>
      </c>
      <c r="C21" s="1" t="s">
        <v>10</v>
      </c>
      <c r="D21" s="1" t="s">
        <v>1</v>
      </c>
      <c r="E21" s="1" t="s">
        <v>2</v>
      </c>
      <c r="F21" s="1" t="s">
        <v>11</v>
      </c>
      <c r="G21" s="1" t="s">
        <v>12</v>
      </c>
      <c r="I21" t="s">
        <v>13</v>
      </c>
      <c r="J21">
        <f>ABS(P19-P18)/P19</f>
        <v>9.1341287310786699E-3</v>
      </c>
    </row>
    <row r="22" spans="1:17" ht="15" thickBot="1" x14ac:dyDescent="0.35">
      <c r="A22" s="1">
        <v>1</v>
      </c>
      <c r="B22" s="1">
        <v>0</v>
      </c>
      <c r="C22" s="1">
        <f>3*B22+SIN(B22)-EXP(B22)</f>
        <v>-1</v>
      </c>
      <c r="D22" s="1">
        <v>1</v>
      </c>
      <c r="E22" s="1">
        <f>3*D22+SIN(D22)-EXP(D22)</f>
        <v>1.1231891563488516</v>
      </c>
      <c r="F22" s="1">
        <f>D22-(E22*(D22-B22))/(E22-C22)</f>
        <v>0.4709895945962973</v>
      </c>
      <c r="G22" s="1">
        <f>3*F22+SIN(F22)-EXP(F22)</f>
        <v>0.26515881591031087</v>
      </c>
    </row>
    <row r="23" spans="1:17" x14ac:dyDescent="0.3">
      <c r="A23" s="1">
        <v>2</v>
      </c>
      <c r="B23" s="1">
        <f>D22</f>
        <v>1</v>
      </c>
      <c r="C23" s="1">
        <f t="shared" ref="C23:C24" si="25">3*B23+SIN(B23)-EXP(B23)</f>
        <v>1.1231891563488516</v>
      </c>
      <c r="D23" s="1">
        <f>F22</f>
        <v>0.4709895945962973</v>
      </c>
      <c r="E23" s="1">
        <f t="shared" ref="E23:E24" si="26">3*D23+SIN(D23)-EXP(D23)</f>
        <v>0.26515881591031087</v>
      </c>
      <c r="F23" s="1">
        <f t="shared" ref="F23:F24" si="27">D23-(E23*(D23-B23))/(E23-C23)</f>
        <v>0.30750846101611856</v>
      </c>
      <c r="G23" s="1">
        <f t="shared" ref="G23:G24" si="28">3*F23+SIN(F23)-EXP(F23)</f>
        <v>-0.13482201684281825</v>
      </c>
      <c r="I23" s="13" t="s">
        <v>48</v>
      </c>
      <c r="J23" s="4"/>
      <c r="K23" s="4"/>
      <c r="L23" s="4"/>
      <c r="M23" s="4"/>
      <c r="N23" s="4"/>
      <c r="O23" s="5"/>
    </row>
    <row r="24" spans="1:17" x14ac:dyDescent="0.3">
      <c r="A24" s="1">
        <v>3</v>
      </c>
      <c r="B24" s="1">
        <f>D23</f>
        <v>0.4709895945962973</v>
      </c>
      <c r="C24" s="1">
        <f t="shared" si="25"/>
        <v>0.26515881591031087</v>
      </c>
      <c r="D24" s="1">
        <f>F23</f>
        <v>0.30750846101611856</v>
      </c>
      <c r="E24" s="1">
        <f t="shared" si="26"/>
        <v>-0.13482201684281825</v>
      </c>
      <c r="F24" s="1">
        <f t="shared" si="27"/>
        <v>0.36261324189604049</v>
      </c>
      <c r="G24" s="1">
        <f t="shared" si="28"/>
        <v>5.4785286936818167E-3</v>
      </c>
      <c r="I24" s="6"/>
      <c r="J24" s="7">
        <f>-2*LOG10((N29/N26)/3.7+2.51/(L26*SQRT(J26)))</f>
        <v>6.8640459147391208</v>
      </c>
      <c r="K24" s="7"/>
      <c r="L24" s="7"/>
      <c r="M24" s="7"/>
      <c r="N24" s="7"/>
      <c r="O24" s="8"/>
    </row>
    <row r="25" spans="1:17" x14ac:dyDescent="0.3">
      <c r="I25" s="9" t="s">
        <v>27</v>
      </c>
      <c r="J25" s="1" t="s">
        <v>28</v>
      </c>
      <c r="K25" s="1" t="s">
        <v>29</v>
      </c>
      <c r="L25" s="1" t="s">
        <v>30</v>
      </c>
      <c r="M25" s="3" t="s">
        <v>31</v>
      </c>
      <c r="N25" s="7">
        <v>225</v>
      </c>
      <c r="O25" s="8" t="s">
        <v>39</v>
      </c>
    </row>
    <row r="26" spans="1:17" x14ac:dyDescent="0.3">
      <c r="A26" s="1" t="s">
        <v>21</v>
      </c>
      <c r="B26" s="1" t="s">
        <v>22</v>
      </c>
      <c r="C26" s="1" t="s">
        <v>23</v>
      </c>
      <c r="I26" s="9">
        <v>1</v>
      </c>
      <c r="J26" s="1">
        <v>0.01</v>
      </c>
      <c r="K26" s="1">
        <f>SQRT(($N$27/($N$34*$N$36)+$N$31+$N$30-$N$28/($N$34*$N$36)-$N$32)/(J26*$N$25/$N$26+$N$33)*(PI()^2*$N$36*$N$26^4)/8)</f>
        <v>7.5216091591409993E-3</v>
      </c>
      <c r="L26" s="1">
        <f>4*K26/(PI()*$N$35*$N$26)</f>
        <v>181688.67807741446</v>
      </c>
      <c r="M26" s="7" t="s">
        <v>32</v>
      </c>
      <c r="N26" s="7">
        <v>5.2499999999999998E-2</v>
      </c>
      <c r="O26" s="8" t="s">
        <v>39</v>
      </c>
    </row>
    <row r="27" spans="1:17" x14ac:dyDescent="0.3">
      <c r="A27" s="1" t="s">
        <v>24</v>
      </c>
      <c r="B27" s="1" t="s">
        <v>25</v>
      </c>
      <c r="C27" s="1">
        <v>3</v>
      </c>
      <c r="I27" s="9">
        <v>2</v>
      </c>
      <c r="J27" s="1">
        <v>2.0593400000000001E-2</v>
      </c>
      <c r="K27" s="1">
        <f>SQRT(($N$27/($N$34*$N$36)+$N$31+$N$30-$N$28/($N$34*$N$36)-$N$32)/(J27*$N$25/$N$26+$N$33)*(PI()^2*$N$36*$N$26^4)/8)</f>
        <v>5.6555821294864495E-3</v>
      </c>
      <c r="L27" s="1">
        <f>4*K27/(PI()*$N$35*$N$26)</f>
        <v>136613.7510104278</v>
      </c>
      <c r="M27" s="7" t="s">
        <v>33</v>
      </c>
      <c r="N27" s="7">
        <v>350000</v>
      </c>
      <c r="O27" s="8" t="s">
        <v>40</v>
      </c>
    </row>
    <row r="28" spans="1:17" x14ac:dyDescent="0.3">
      <c r="A28" s="1">
        <v>1</v>
      </c>
      <c r="B28" s="1">
        <f>C27^3-1</f>
        <v>26</v>
      </c>
      <c r="C28" s="1">
        <f>SQRT((120-B28)/8)</f>
        <v>3.427827300200522</v>
      </c>
      <c r="I28" s="9">
        <v>3</v>
      </c>
      <c r="J28" s="1">
        <v>2.1055500000000001E-2</v>
      </c>
      <c r="K28" s="1">
        <f>SQRT(($N$27/($N$34*$N$36)+$N$31+$N$30-$N$28/($N$34*$N$36)-$N$32)/(J28*$N$25/$N$26+$N$33)*(PI()^2*$N$36*$N$26^4)/8)</f>
        <v>5.6027199835778571E-3</v>
      </c>
      <c r="L28" s="1">
        <f>4*K28/(PI()*$N$35*$N$26)</f>
        <v>135336.83629613489</v>
      </c>
      <c r="M28" s="7" t="s">
        <v>34</v>
      </c>
      <c r="N28" s="7">
        <v>425000</v>
      </c>
      <c r="O28" s="8" t="s">
        <v>40</v>
      </c>
    </row>
    <row r="29" spans="1:17" x14ac:dyDescent="0.3">
      <c r="A29" s="1">
        <v>2</v>
      </c>
      <c r="B29" s="1">
        <f>C28^3-1</f>
        <v>39.276970777356134</v>
      </c>
      <c r="C29" s="1">
        <f t="shared" ref="C29:C30" si="29">SQRT((120-B29)/8)</f>
        <v>3.176535636952698</v>
      </c>
      <c r="I29" s="6"/>
      <c r="J29" s="7"/>
      <c r="K29" s="7"/>
      <c r="L29" s="7"/>
      <c r="M29" s="7" t="s">
        <v>35</v>
      </c>
      <c r="N29" s="7">
        <v>4.5000000000000003E-5</v>
      </c>
      <c r="O29" s="8" t="s">
        <v>39</v>
      </c>
    </row>
    <row r="30" spans="1:17" x14ac:dyDescent="0.3">
      <c r="A30" s="1">
        <v>3</v>
      </c>
      <c r="B30" s="1">
        <f t="shared" ref="B30" si="30">C29^3-1</f>
        <v>31.052447381062784</v>
      </c>
      <c r="C30" s="1">
        <f t="shared" si="29"/>
        <v>3.3344330968497706</v>
      </c>
      <c r="D30" s="1" t="s">
        <v>26</v>
      </c>
      <c r="E30" s="1">
        <f>ABS(B30-B29)/B30</f>
        <v>0.26485910419122211</v>
      </c>
      <c r="F30" s="1">
        <f>ABS(C30-C29)/C30</f>
        <v>4.7353614635797417E-2</v>
      </c>
      <c r="I30" s="6"/>
      <c r="J30" s="7"/>
      <c r="K30" s="7"/>
      <c r="L30" s="7"/>
      <c r="M30" s="7" t="s">
        <v>36</v>
      </c>
      <c r="N30" s="7">
        <v>56</v>
      </c>
      <c r="O30" s="8" t="s">
        <v>41</v>
      </c>
    </row>
    <row r="31" spans="1:17" x14ac:dyDescent="0.3">
      <c r="A31" s="1">
        <v>4</v>
      </c>
      <c r="B31" s="1">
        <f t="shared" ref="B31:B37" si="31">C30^3-1</f>
        <v>36.073707917046342</v>
      </c>
      <c r="C31" s="1">
        <f t="shared" ref="C31:C37" si="32">SQRT((120-B31)/8)</f>
        <v>3.2389483648816029</v>
      </c>
      <c r="I31" s="6"/>
      <c r="J31" s="7"/>
      <c r="K31" s="7"/>
      <c r="L31" s="7"/>
      <c r="M31" s="7" t="s">
        <v>37</v>
      </c>
      <c r="N31" s="7">
        <v>0</v>
      </c>
      <c r="O31" s="8" t="s">
        <v>39</v>
      </c>
    </row>
    <row r="32" spans="1:17" x14ac:dyDescent="0.3">
      <c r="A32" s="1">
        <v>5</v>
      </c>
      <c r="B32" s="1">
        <f t="shared" si="31"/>
        <v>32.97911581408232</v>
      </c>
      <c r="C32" s="1">
        <f t="shared" si="32"/>
        <v>3.2981222723300769</v>
      </c>
      <c r="I32" s="6"/>
      <c r="J32" s="7"/>
      <c r="K32" s="7"/>
      <c r="L32" s="7"/>
      <c r="M32" s="7" t="s">
        <v>38</v>
      </c>
      <c r="N32" s="7">
        <v>12</v>
      </c>
      <c r="O32" s="8" t="s">
        <v>39</v>
      </c>
    </row>
    <row r="33" spans="1:17" x14ac:dyDescent="0.3">
      <c r="A33" s="1">
        <v>6</v>
      </c>
      <c r="B33" s="1">
        <f t="shared" si="31"/>
        <v>34.875689536428908</v>
      </c>
      <c r="C33" s="1">
        <f t="shared" si="32"/>
        <v>3.2619838761015338</v>
      </c>
      <c r="I33" s="6"/>
      <c r="J33" s="7"/>
      <c r="K33" s="7"/>
      <c r="L33" s="7"/>
      <c r="M33" s="7" t="s">
        <v>42</v>
      </c>
      <c r="N33" s="7">
        <v>16.2</v>
      </c>
      <c r="O33" s="8"/>
    </row>
    <row r="34" spans="1:17" x14ac:dyDescent="0.3">
      <c r="A34" s="1">
        <v>7</v>
      </c>
      <c r="B34" s="1">
        <f t="shared" si="31"/>
        <v>33.709266024553749</v>
      </c>
      <c r="C34" s="1">
        <f t="shared" si="32"/>
        <v>3.2842566505878894</v>
      </c>
      <c r="I34" s="6"/>
      <c r="J34" s="7"/>
      <c r="K34" s="7"/>
      <c r="L34" s="7"/>
      <c r="M34" s="7" t="s">
        <v>43</v>
      </c>
      <c r="N34" s="7">
        <v>998</v>
      </c>
      <c r="O34" s="8" t="s">
        <v>44</v>
      </c>
    </row>
    <row r="35" spans="1:17" x14ac:dyDescent="0.3">
      <c r="A35" s="1">
        <v>8</v>
      </c>
      <c r="B35" s="1">
        <f t="shared" si="31"/>
        <v>34.425114617871216</v>
      </c>
      <c r="C35" s="1">
        <f t="shared" si="32"/>
        <v>3.2706055513874031</v>
      </c>
      <c r="I35" s="6"/>
      <c r="J35" s="7"/>
      <c r="K35" s="7"/>
      <c r="L35" s="7"/>
      <c r="M35" s="7" t="s">
        <v>45</v>
      </c>
      <c r="N35" s="7">
        <v>1.004E-6</v>
      </c>
      <c r="O35" s="8" t="s">
        <v>44</v>
      </c>
    </row>
    <row r="36" spans="1:17" ht="15" thickBot="1" x14ac:dyDescent="0.35">
      <c r="A36" s="1">
        <v>9</v>
      </c>
      <c r="B36" s="1">
        <f t="shared" si="31"/>
        <v>33.985211898766394</v>
      </c>
      <c r="C36" s="1">
        <f t="shared" si="32"/>
        <v>3.2790011455707364</v>
      </c>
      <c r="I36" s="10"/>
      <c r="J36" s="11"/>
      <c r="K36" s="11"/>
      <c r="L36" s="11"/>
      <c r="M36" s="11" t="s">
        <v>46</v>
      </c>
      <c r="N36" s="11">
        <v>9.81</v>
      </c>
      <c r="O36" s="12" t="s">
        <v>47</v>
      </c>
    </row>
    <row r="37" spans="1:17" x14ac:dyDescent="0.3">
      <c r="A37" s="1">
        <v>10</v>
      </c>
      <c r="B37" s="1">
        <f t="shared" si="31"/>
        <v>34.255323589996145</v>
      </c>
      <c r="C37" s="1">
        <f t="shared" si="32"/>
        <v>3.2738485840445462</v>
      </c>
    </row>
    <row r="38" spans="1:17" x14ac:dyDescent="0.3">
      <c r="A38" s="1">
        <v>11</v>
      </c>
      <c r="B38" s="1">
        <f t="shared" ref="B38:B40" si="33">C37^3-1</f>
        <v>34.089385931781109</v>
      </c>
      <c r="C38" s="1">
        <f t="shared" ref="C38:C40" si="34">SQRT((120-B38)/8)</f>
        <v>3.277014915823143</v>
      </c>
    </row>
    <row r="39" spans="1:17" x14ac:dyDescent="0.3">
      <c r="A39" s="1">
        <v>12</v>
      </c>
      <c r="B39" s="1">
        <f t="shared" si="33"/>
        <v>34.191295466134854</v>
      </c>
      <c r="C39" s="1">
        <f t="shared" si="34"/>
        <v>3.2750706964481155</v>
      </c>
    </row>
    <row r="40" spans="1:17" x14ac:dyDescent="0.3">
      <c r="A40" s="1">
        <v>13</v>
      </c>
      <c r="B40" s="1">
        <f t="shared" si="33"/>
        <v>34.128696714879538</v>
      </c>
      <c r="C40" s="1">
        <f t="shared" si="34"/>
        <v>3.2762650855265143</v>
      </c>
    </row>
    <row r="41" spans="1:17" ht="15" thickBot="1" x14ac:dyDescent="0.35"/>
    <row r="42" spans="1:17" x14ac:dyDescent="0.3">
      <c r="A42" s="16" t="s">
        <v>49</v>
      </c>
      <c r="B42" s="4"/>
      <c r="C42" s="4"/>
      <c r="D42" s="4"/>
      <c r="E42" s="4"/>
      <c r="F42" s="5"/>
      <c r="L42" s="1" t="s">
        <v>23</v>
      </c>
      <c r="M42" s="1" t="s">
        <v>54</v>
      </c>
      <c r="N42" s="1" t="s">
        <v>55</v>
      </c>
      <c r="O42" s="1" t="s">
        <v>56</v>
      </c>
      <c r="P42" s="1" t="s">
        <v>57</v>
      </c>
      <c r="Q42" s="1" t="s">
        <v>58</v>
      </c>
    </row>
    <row r="43" spans="1:17" x14ac:dyDescent="0.3">
      <c r="A43" s="17" t="s">
        <v>23</v>
      </c>
      <c r="B43" s="14" t="s">
        <v>22</v>
      </c>
      <c r="C43" s="7" t="s">
        <v>52</v>
      </c>
      <c r="D43" s="7" t="s">
        <v>53</v>
      </c>
      <c r="E43" s="7" t="s">
        <v>50</v>
      </c>
      <c r="F43" s="8">
        <f>(4*SUM(D44:D47)-SUM(A44:A47)*SUM(B44:B47))/(4*SUM(C44:C47)-SUM(A44:A47)^2)</f>
        <v>1.7776484284051208</v>
      </c>
      <c r="L43" s="1">
        <v>0</v>
      </c>
      <c r="M43" s="1">
        <v>0</v>
      </c>
      <c r="N43" s="1">
        <f>(M44-M43)/(L44-L43)</f>
        <v>0.49</v>
      </c>
      <c r="O43" s="1">
        <f>(N44-N43)/(L45-L43)</f>
        <v>-7.2499999999999995E-2</v>
      </c>
      <c r="P43" s="1">
        <f>(O44-O43)/(L46-L43)</f>
        <v>-5.2343749999999918E-2</v>
      </c>
      <c r="Q43" s="1">
        <f>(P44-P43)/(L47-L43)</f>
        <v>8.9518229166663747E-3</v>
      </c>
    </row>
    <row r="44" spans="1:17" x14ac:dyDescent="0.3">
      <c r="A44" s="6">
        <v>0.5</v>
      </c>
      <c r="B44" s="15">
        <v>8.6999999999999993</v>
      </c>
      <c r="C44" s="7">
        <f>A44^2</f>
        <v>0.25</v>
      </c>
      <c r="D44" s="7">
        <f>A44*B44</f>
        <v>4.3499999999999996</v>
      </c>
      <c r="E44" s="7" t="s">
        <v>51</v>
      </c>
      <c r="F44" s="8">
        <f>AVERAGE(B44:B47)-F43*AVERAGE(A44:A47)</f>
        <v>7.7307334109429595</v>
      </c>
      <c r="L44" s="1">
        <v>0.4</v>
      </c>
      <c r="M44" s="1">
        <v>0.19600000000000001</v>
      </c>
      <c r="N44" s="1">
        <f t="shared" ref="N44:N46" si="35">(M45-M44)/(L45-L44)</f>
        <v>0.432</v>
      </c>
      <c r="O44" s="1">
        <f t="shared" ref="O44:O45" si="36">(N45-N44)/(L46-L44)</f>
        <v>-0.13531249999999989</v>
      </c>
      <c r="P44" s="1">
        <f>(O45-O44)/(L47-L44)</f>
        <v>-3.8020833333333719E-2</v>
      </c>
      <c r="Q44" s="1"/>
    </row>
    <row r="45" spans="1:17" x14ac:dyDescent="0.3">
      <c r="A45" s="6">
        <v>0.9</v>
      </c>
      <c r="B45" s="15">
        <v>9.3000000000000007</v>
      </c>
      <c r="C45" s="7">
        <f t="shared" ref="C45:C47" si="37">A45^2</f>
        <v>0.81</v>
      </c>
      <c r="D45" s="7">
        <f>A45*B45</f>
        <v>8.370000000000001</v>
      </c>
      <c r="E45" s="7"/>
      <c r="F45" s="8"/>
      <c r="L45" s="1">
        <v>0.8</v>
      </c>
      <c r="M45" s="1">
        <v>0.36880000000000002</v>
      </c>
      <c r="N45" s="1">
        <f t="shared" si="35"/>
        <v>0.32375000000000009</v>
      </c>
      <c r="O45" s="1">
        <f t="shared" si="36"/>
        <v>-0.18093750000000036</v>
      </c>
      <c r="P45" s="1"/>
      <c r="Q45" s="1"/>
    </row>
    <row r="46" spans="1:17" x14ac:dyDescent="0.3">
      <c r="A46" s="6">
        <v>1.7</v>
      </c>
      <c r="B46" s="15">
        <v>10.6</v>
      </c>
      <c r="C46" s="7">
        <f t="shared" si="37"/>
        <v>2.8899999999999997</v>
      </c>
      <c r="D46" s="7">
        <f>A46*B46</f>
        <v>18.02</v>
      </c>
      <c r="E46" s="7"/>
      <c r="F46" s="8"/>
      <c r="L46" s="1">
        <v>1.2</v>
      </c>
      <c r="M46" s="1">
        <v>0.49830000000000002</v>
      </c>
      <c r="N46" s="1">
        <f t="shared" si="35"/>
        <v>0.1789999999999998</v>
      </c>
      <c r="O46" s="1"/>
      <c r="P46" s="1"/>
      <c r="Q46" s="1"/>
    </row>
    <row r="47" spans="1:17" ht="15" thickBot="1" x14ac:dyDescent="0.35">
      <c r="A47" s="10">
        <v>2.4</v>
      </c>
      <c r="B47" s="18">
        <v>12.1</v>
      </c>
      <c r="C47" s="11">
        <f t="shared" si="37"/>
        <v>5.76</v>
      </c>
      <c r="D47" s="11">
        <f>A47*B47</f>
        <v>29.04</v>
      </c>
      <c r="E47" s="11"/>
      <c r="F47" s="12"/>
      <c r="L47" s="1">
        <v>1.6</v>
      </c>
      <c r="M47" s="1">
        <v>0.56989999999999996</v>
      </c>
      <c r="N47" s="1"/>
      <c r="O47" s="1"/>
      <c r="P47" s="1"/>
      <c r="Q47" s="1"/>
    </row>
    <row r="48" spans="1:17" x14ac:dyDescent="0.3">
      <c r="L48" s="1"/>
      <c r="M48" s="1"/>
      <c r="N48" s="1"/>
      <c r="O48" s="1"/>
      <c r="P48" s="1"/>
      <c r="Q48" s="1"/>
    </row>
    <row r="49" spans="12:17" x14ac:dyDescent="0.3">
      <c r="L49" s="1"/>
      <c r="M49" s="1"/>
      <c r="N49" s="1">
        <f>M43+(0.6-L43)*N43</f>
        <v>0.29399999999999998</v>
      </c>
      <c r="O49" s="1">
        <f>N49+(0.6-L43)*(0.6-L44)*O43</f>
        <v>0.2853</v>
      </c>
      <c r="P49" s="1">
        <f>O49+(0.6-L43)*(0.6-L44)*(0.6-L45)*P43</f>
        <v>0.28655625000000001</v>
      </c>
      <c r="Q49" s="1">
        <f>P49+(0.6-L43)*(0.6-L44)*(0.6-L45)*(0.6-L46)*Q43</f>
        <v>0.28668515625000002</v>
      </c>
    </row>
    <row r="65" spans="1:12" ht="15" thickBot="1" x14ac:dyDescent="0.35"/>
    <row r="66" spans="1:12" ht="15" thickBot="1" x14ac:dyDescent="0.35">
      <c r="H66" s="19" t="s">
        <v>64</v>
      </c>
      <c r="I66" s="20"/>
      <c r="J66" s="20"/>
      <c r="K66" s="20"/>
      <c r="L66" s="21"/>
    </row>
    <row r="67" spans="1:12" x14ac:dyDescent="0.3">
      <c r="A67" s="19" t="s">
        <v>23</v>
      </c>
      <c r="B67" s="20" t="s">
        <v>22</v>
      </c>
      <c r="C67" s="20" t="s">
        <v>59</v>
      </c>
      <c r="D67" s="20" t="s">
        <v>60</v>
      </c>
      <c r="E67" s="20" t="s">
        <v>61</v>
      </c>
      <c r="F67" s="21" t="s">
        <v>63</v>
      </c>
      <c r="H67" s="9" t="s">
        <v>23</v>
      </c>
      <c r="I67" s="1" t="s">
        <v>22</v>
      </c>
      <c r="J67" s="1" t="s">
        <v>65</v>
      </c>
      <c r="K67" s="1" t="s">
        <v>66</v>
      </c>
      <c r="L67" s="22" t="s">
        <v>67</v>
      </c>
    </row>
    <row r="68" spans="1:12" x14ac:dyDescent="0.3">
      <c r="A68" s="9">
        <v>0</v>
      </c>
      <c r="B68" s="1">
        <v>1.2</v>
      </c>
      <c r="C68" s="1">
        <f>(B69-B68)/(A69-A68)</f>
        <v>-0.38600000000000012</v>
      </c>
      <c r="D68" s="1"/>
      <c r="E68" s="1"/>
      <c r="F68" s="22"/>
      <c r="H68" s="9">
        <v>0.3</v>
      </c>
      <c r="I68" s="1">
        <v>-1.204</v>
      </c>
      <c r="J68" s="1">
        <f>(H69-H68)*(I68+I69)/2</f>
        <v>-0.18971000000000002</v>
      </c>
      <c r="K68" s="1">
        <f>(H70-H68)*(I68+4*I69+I70)/6</f>
        <v>-0.28887333333333332</v>
      </c>
      <c r="L68" s="22">
        <f>(H71-H68)*(I68+3*I69+3*I70+I71)/8</f>
        <v>-0.33441000000000004</v>
      </c>
    </row>
    <row r="69" spans="1:12" x14ac:dyDescent="0.3">
      <c r="A69" s="9">
        <v>0.25</v>
      </c>
      <c r="B69" s="1">
        <v>1.1034999999999999</v>
      </c>
      <c r="C69" s="1">
        <f t="shared" ref="C69:C71" si="38">(B70-B69)/(A70-A69)</f>
        <v>-0.71399999999999952</v>
      </c>
      <c r="D69" s="1">
        <f>(B69-B68)/(A69-A68)</f>
        <v>-0.38600000000000012</v>
      </c>
      <c r="E69" s="1">
        <f>(B70-B68)/(A70-A68)</f>
        <v>-0.54999999999999982</v>
      </c>
      <c r="F69" s="22"/>
      <c r="H69" s="9">
        <v>0.5</v>
      </c>
      <c r="I69" s="1">
        <v>-0.69310000000000005</v>
      </c>
      <c r="J69" s="1">
        <f t="shared" ref="J69:J73" si="39">(H70-H69)*(I69+I70)/2</f>
        <v>-0.10497999999999999</v>
      </c>
      <c r="K69" s="1"/>
      <c r="L69" s="22"/>
    </row>
    <row r="70" spans="1:12" x14ac:dyDescent="0.3">
      <c r="A70" s="9">
        <v>0.5</v>
      </c>
      <c r="B70" s="1">
        <v>0.92500000000000004</v>
      </c>
      <c r="C70" s="1">
        <f t="shared" si="38"/>
        <v>-1.1548000000000003</v>
      </c>
      <c r="D70" s="1">
        <f t="shared" ref="D70:D72" si="40">(B70-B69)/(A70-A69)</f>
        <v>-0.71399999999999952</v>
      </c>
      <c r="E70" s="1">
        <f>(B71-B69)/(A71-A69)</f>
        <v>-0.9343999999999999</v>
      </c>
      <c r="F70" s="22">
        <v>-0.91249999999999998</v>
      </c>
      <c r="H70" s="9">
        <v>0.7</v>
      </c>
      <c r="I70" s="1">
        <v>-0.35670000000000002</v>
      </c>
      <c r="J70" s="1">
        <f t="shared" si="39"/>
        <v>-4.6210000000000015E-2</v>
      </c>
      <c r="K70" s="1">
        <f>(H72-H70)*(I70+4*I71+I72)/6</f>
        <v>-4.5532666666666687E-2</v>
      </c>
      <c r="L70" s="22"/>
    </row>
    <row r="71" spans="1:12" x14ac:dyDescent="0.3">
      <c r="A71" s="9">
        <v>0.75</v>
      </c>
      <c r="B71" s="1">
        <v>0.63629999999999998</v>
      </c>
      <c r="C71" s="1">
        <f t="shared" si="38"/>
        <v>-1.7451999999999999</v>
      </c>
      <c r="D71" s="1">
        <f t="shared" si="40"/>
        <v>-1.1548000000000003</v>
      </c>
      <c r="E71" s="1">
        <f t="shared" ref="E71" si="41">(B72-B70)/(A72-A70)</f>
        <v>-1.4500000000000002</v>
      </c>
      <c r="F71" s="22"/>
      <c r="H71" s="9">
        <v>0.9</v>
      </c>
      <c r="I71" s="1">
        <v>-0.10539999999999999</v>
      </c>
      <c r="J71" s="1">
        <f t="shared" si="39"/>
        <v>-1.008999999999999E-3</v>
      </c>
      <c r="K71" s="1"/>
      <c r="L71" s="22">
        <f>(H74-H71)*(I71+3*I72+3*I73+I74)/8</f>
        <v>0.10299225000000001</v>
      </c>
    </row>
    <row r="72" spans="1:12" x14ac:dyDescent="0.3">
      <c r="A72" s="9">
        <v>1</v>
      </c>
      <c r="B72" s="1">
        <v>0.2</v>
      </c>
      <c r="C72" s="1"/>
      <c r="D72" s="1">
        <f t="shared" si="40"/>
        <v>-1.7451999999999999</v>
      </c>
      <c r="E72" s="1"/>
      <c r="F72" s="22"/>
      <c r="H72" s="9">
        <v>1.1000000000000001</v>
      </c>
      <c r="I72" s="1">
        <v>9.5310000000000006E-2</v>
      </c>
      <c r="J72" s="1">
        <f t="shared" si="39"/>
        <v>3.5770999999999997E-2</v>
      </c>
      <c r="K72" s="1">
        <f>(H74-H72)*(I72+4*I73+I74)/6</f>
        <v>0.10336066666666666</v>
      </c>
      <c r="L72" s="22"/>
    </row>
    <row r="73" spans="1:12" ht="15" thickBot="1" x14ac:dyDescent="0.35">
      <c r="A73" s="23"/>
      <c r="B73" s="24" t="s">
        <v>62</v>
      </c>
      <c r="C73" s="24">
        <f>ABS(C70-F70)/C70*100</f>
        <v>-20.981988223068949</v>
      </c>
      <c r="D73" s="24">
        <f>ABS(D70-F70)/D70*100</f>
        <v>-27.801120448179358</v>
      </c>
      <c r="E73" s="24">
        <f>ABS(E70-F70)/E70*100</f>
        <v>-2.3437499999999916</v>
      </c>
      <c r="F73" s="25"/>
      <c r="H73" s="9">
        <v>1.3</v>
      </c>
      <c r="I73" s="1">
        <v>0.26240000000000002</v>
      </c>
      <c r="J73" s="1">
        <f t="shared" si="39"/>
        <v>6.6789999999999988E-2</v>
      </c>
      <c r="K73" s="1"/>
      <c r="L73" s="22"/>
    </row>
    <row r="74" spans="1:12" x14ac:dyDescent="0.3">
      <c r="H74" s="9">
        <v>1.5</v>
      </c>
      <c r="I74" s="1">
        <v>0.40550000000000003</v>
      </c>
      <c r="J74" s="1"/>
      <c r="K74" s="1"/>
      <c r="L74" s="22"/>
    </row>
    <row r="75" spans="1:12" x14ac:dyDescent="0.3">
      <c r="H75" s="9" t="s">
        <v>63</v>
      </c>
      <c r="I75" s="1" t="s">
        <v>68</v>
      </c>
      <c r="J75" s="1">
        <f xml:space="preserve"> SUM(J68:J74)</f>
        <v>-0.23934800000000003</v>
      </c>
      <c r="K75" s="1">
        <f t="shared" ref="K75:L75" si="42" xml:space="preserve"> SUM(K68:K74)</f>
        <v>-0.23104533333333332</v>
      </c>
      <c r="L75" s="22">
        <f t="shared" si="42"/>
        <v>-0.23141775000000003</v>
      </c>
    </row>
    <row r="76" spans="1:12" ht="15" thickBot="1" x14ac:dyDescent="0.35">
      <c r="H76" s="23">
        <v>-0.23061000000000001</v>
      </c>
      <c r="I76" s="24" t="s">
        <v>69</v>
      </c>
      <c r="J76" s="24">
        <f>ABS(J75-$H$76)/$H$76*100</f>
        <v>-3.7890811326482039</v>
      </c>
      <c r="K76" s="24">
        <f t="shared" ref="K76:L76" si="43">ABS(K75-$H$76)/$H$76*100</f>
        <v>-0.18877469898673749</v>
      </c>
      <c r="L76" s="25">
        <f t="shared" si="43"/>
        <v>-0.35026668401197852</v>
      </c>
    </row>
    <row r="78" spans="1:12" ht="15" thickBot="1" x14ac:dyDescent="0.35"/>
    <row r="79" spans="1:12" x14ac:dyDescent="0.3">
      <c r="A79" s="19" t="s">
        <v>70</v>
      </c>
      <c r="B79" s="20" t="s">
        <v>73</v>
      </c>
      <c r="C79" s="21">
        <v>1</v>
      </c>
      <c r="E79" s="19" t="s">
        <v>74</v>
      </c>
      <c r="F79" s="20"/>
      <c r="G79" s="20" t="s">
        <v>81</v>
      </c>
      <c r="H79" s="20">
        <v>1</v>
      </c>
      <c r="I79" s="20"/>
      <c r="J79" s="20"/>
      <c r="K79" s="21"/>
    </row>
    <row r="80" spans="1:12" x14ac:dyDescent="0.3">
      <c r="A80" s="9" t="s">
        <v>71</v>
      </c>
      <c r="B80" s="1" t="s">
        <v>22</v>
      </c>
      <c r="C80" s="22" t="s">
        <v>72</v>
      </c>
      <c r="E80" s="9" t="s">
        <v>71</v>
      </c>
      <c r="F80" s="1" t="s">
        <v>22</v>
      </c>
      <c r="G80" s="1" t="s">
        <v>75</v>
      </c>
      <c r="H80" s="1" t="s">
        <v>76</v>
      </c>
      <c r="I80" s="1" t="s">
        <v>77</v>
      </c>
      <c r="J80" s="1" t="s">
        <v>78</v>
      </c>
      <c r="K80" s="22" t="s">
        <v>79</v>
      </c>
    </row>
    <row r="81" spans="1:11" x14ac:dyDescent="0.3">
      <c r="A81" s="9">
        <v>0</v>
      </c>
      <c r="B81" s="1">
        <v>1</v>
      </c>
      <c r="C81" s="22">
        <f>B81*SIN(A81)^3</f>
        <v>0</v>
      </c>
      <c r="E81" s="9">
        <v>0</v>
      </c>
      <c r="F81" s="1">
        <v>1</v>
      </c>
      <c r="G81" s="1">
        <f>($E81)*SIN($F81)^3</f>
        <v>0</v>
      </c>
      <c r="H81" s="1">
        <f>($E81+0.5*$H$79)*SIN($F81+0.5*G81*$H$79)^3</f>
        <v>0.2979116182954778</v>
      </c>
      <c r="I81" s="1">
        <f>($E81+0.5*$H$79)*SIN($F81+0.5*H81*$H$79)^3</f>
        <v>0.37969574596407357</v>
      </c>
      <c r="J81" s="1">
        <f>($E81+$H$79)*SIN($F81+I81*$H$79)^3</f>
        <v>0.94637550529092329</v>
      </c>
      <c r="K81" s="22">
        <f>1/6*(G81+2*H81+2*I81+J81)*$H$79</f>
        <v>0.38359837230167099</v>
      </c>
    </row>
    <row r="82" spans="1:11" x14ac:dyDescent="0.3">
      <c r="A82" s="9">
        <v>1</v>
      </c>
      <c r="B82" s="1">
        <f>B81+C81*$C$79</f>
        <v>1</v>
      </c>
      <c r="C82" s="22">
        <f t="shared" ref="C82:C84" si="44">B82*SIN(A82)^3</f>
        <v>0.5958232365909556</v>
      </c>
      <c r="E82" s="9">
        <v>1</v>
      </c>
      <c r="F82" s="1">
        <f>F81+K81</f>
        <v>1.3835983723016709</v>
      </c>
      <c r="G82" s="1">
        <f t="shared" ref="G82:G84" si="45">($E82)*SIN($F82)^3</f>
        <v>0.94849902714842693</v>
      </c>
      <c r="H82" s="1">
        <f t="shared" ref="H82:I82" si="46">($E82+0.5*$H$79)*SIN($F82+0.5*G82*$H$79)^3</f>
        <v>1.3233039138770519</v>
      </c>
      <c r="I82" s="1">
        <f t="shared" si="46"/>
        <v>1.0558228713289766</v>
      </c>
      <c r="J82" s="1">
        <f t="shared" ref="J82:J84" si="47">($E82+$H$79)*SIN($F82+I82*$H$79)^3</f>
        <v>0.53886423410484863</v>
      </c>
      <c r="K82" s="22">
        <f t="shared" ref="K82:K84" si="48">1/6*(G82+2*H82+2*I82+J82)*$H$79</f>
        <v>1.0409361386108889</v>
      </c>
    </row>
    <row r="83" spans="1:11" x14ac:dyDescent="0.3">
      <c r="A83" s="9">
        <v>2</v>
      </c>
      <c r="B83" s="1">
        <f t="shared" ref="B83:B84" si="49">B82+C82*$C$79</f>
        <v>1.5958232365909555</v>
      </c>
      <c r="C83" s="22">
        <f t="shared" si="44"/>
        <v>1.1997829081979614</v>
      </c>
      <c r="E83" s="9">
        <v>2</v>
      </c>
      <c r="F83" s="1">
        <f>F82+K82</f>
        <v>2.4245345109125598</v>
      </c>
      <c r="G83" s="1">
        <f t="shared" si="45"/>
        <v>0.56762748416502584</v>
      </c>
      <c r="H83" s="1">
        <f t="shared" ref="H83:I83" si="50">($E83+0.5*$H$79)*SIN($F83+0.5*G83*$H$79)^3</f>
        <v>0.18497885866064143</v>
      </c>
      <c r="I83" s="1">
        <f t="shared" si="50"/>
        <v>0.49985615349309642</v>
      </c>
      <c r="J83" s="1">
        <f t="shared" si="47"/>
        <v>3.0022869625584786E-2</v>
      </c>
      <c r="K83" s="22">
        <f t="shared" si="48"/>
        <v>0.32788672968301436</v>
      </c>
    </row>
    <row r="84" spans="1:11" x14ac:dyDescent="0.3">
      <c r="A84" s="9">
        <v>3</v>
      </c>
      <c r="B84" s="1">
        <f t="shared" si="49"/>
        <v>2.7956061447889171</v>
      </c>
      <c r="C84" s="22">
        <f t="shared" si="44"/>
        <v>7.8567288328809069E-3</v>
      </c>
      <c r="E84" s="9">
        <v>3</v>
      </c>
      <c r="F84" s="1">
        <f>F83+K83</f>
        <v>2.7524212405955741</v>
      </c>
      <c r="G84" s="1">
        <f t="shared" si="45"/>
        <v>0.16386586574229661</v>
      </c>
      <c r="H84" s="1">
        <f t="shared" ref="H84:I84" si="51">($E84+0.5*$H$79)*SIN($F84+0.5*G84*$H$79)^3</f>
        <v>9.6812684756003298E-2</v>
      </c>
      <c r="I84" s="1">
        <f t="shared" si="51"/>
        <v>0.13065306879783442</v>
      </c>
      <c r="J84" s="1">
        <f t="shared" si="47"/>
        <v>6.6832744229562729E-2</v>
      </c>
      <c r="K84" s="22">
        <f t="shared" si="48"/>
        <v>0.11427168617992246</v>
      </c>
    </row>
    <row r="85" spans="1:11" ht="15" thickBot="1" x14ac:dyDescent="0.35">
      <c r="A85" s="23" t="s">
        <v>80</v>
      </c>
      <c r="B85" s="26">
        <f>ABS(B84-B91)/B91</f>
        <v>0.26301266144846541</v>
      </c>
      <c r="C85" s="25"/>
      <c r="E85" s="23" t="s">
        <v>80</v>
      </c>
      <c r="F85" s="26">
        <f>ABS(F84-B91)/B91</f>
        <v>0.27439721490796498</v>
      </c>
      <c r="G85" s="24"/>
      <c r="H85" s="24"/>
      <c r="I85" s="24"/>
      <c r="J85" s="24"/>
      <c r="K85" s="25"/>
    </row>
    <row r="86" spans="1:11" ht="15" thickBot="1" x14ac:dyDescent="0.35">
      <c r="A86" s="16" t="s">
        <v>63</v>
      </c>
      <c r="B86" s="5"/>
    </row>
    <row r="87" spans="1:11" x14ac:dyDescent="0.3">
      <c r="A87" s="6" t="s">
        <v>71</v>
      </c>
      <c r="B87" s="8" t="s">
        <v>22</v>
      </c>
      <c r="E87" s="19" t="s">
        <v>74</v>
      </c>
      <c r="F87" s="20"/>
      <c r="G87" s="20" t="s">
        <v>81</v>
      </c>
      <c r="H87" s="20">
        <v>0.5</v>
      </c>
      <c r="I87" s="20"/>
      <c r="J87" s="20"/>
      <c r="K87" s="21"/>
    </row>
    <row r="88" spans="1:11" x14ac:dyDescent="0.3">
      <c r="A88" s="6">
        <v>0</v>
      </c>
      <c r="B88" s="8">
        <v>1</v>
      </c>
      <c r="E88" s="9" t="s">
        <v>71</v>
      </c>
      <c r="F88" s="1" t="s">
        <v>22</v>
      </c>
      <c r="G88" s="1" t="s">
        <v>75</v>
      </c>
      <c r="H88" s="1" t="s">
        <v>76</v>
      </c>
      <c r="I88" s="1" t="s">
        <v>77</v>
      </c>
      <c r="J88" s="1" t="s">
        <v>78</v>
      </c>
      <c r="K88" s="22" t="s">
        <v>79</v>
      </c>
    </row>
    <row r="89" spans="1:11" x14ac:dyDescent="0.3">
      <c r="A89" s="6">
        <v>1</v>
      </c>
      <c r="B89" s="8">
        <f>$B$88*EXP(1/3*(COS(A89))^3-COS(A89)+2/3)</f>
        <v>1.1959496578559528</v>
      </c>
      <c r="E89" s="9">
        <v>0</v>
      </c>
      <c r="F89" s="1">
        <v>1</v>
      </c>
      <c r="G89" s="1">
        <f>($E89)*SIN($F89)^3</f>
        <v>0</v>
      </c>
      <c r="H89" s="1">
        <f>($E89+0.5*$H$87)*SIN($F89+0.5*G89*$H$87)^3</f>
        <v>0.1489558091477389</v>
      </c>
      <c r="I89" s="1">
        <f>($E89+0.5*$H$87)*SIN($F89+0.5*H89*$H$87)^3</f>
        <v>0.15957114862293986</v>
      </c>
      <c r="J89" s="1">
        <f>($E89+$H$87)*SIN($F89+I89*$H$87)^3</f>
        <v>0.34289732171700671</v>
      </c>
      <c r="K89" s="22">
        <f>1/6*(G89+2*H89+2*I89+J89)*$H$87</f>
        <v>7.999593643819701E-2</v>
      </c>
    </row>
    <row r="90" spans="1:11" x14ac:dyDescent="0.3">
      <c r="A90" s="6">
        <v>2</v>
      </c>
      <c r="B90" s="8">
        <f t="shared" ref="B90:B91" si="52">$B$88*EXP(1/3*(COS(A90))^3-COS(A90)+2/3)</f>
        <v>2.8828834310624885</v>
      </c>
      <c r="E90" s="9">
        <v>0.5</v>
      </c>
      <c r="F90" s="1">
        <f>F89+K89</f>
        <v>1.079995936438197</v>
      </c>
      <c r="G90" s="1">
        <f t="shared" ref="G90:G95" si="53">($E90)*SIN($F90)^3</f>
        <v>0.34301301710616244</v>
      </c>
      <c r="H90" s="1">
        <f t="shared" ref="H90:H92" si="54">($E90+0.5*$H$79)*SIN($F90+0.5*G90*$H$79)^3</f>
        <v>0.8559064859877038</v>
      </c>
      <c r="I90" s="1">
        <f t="shared" ref="I90:I92" si="55">($E90+0.5*$H$79)*SIN($F90+0.5*H90*$H$79)^3</f>
        <v>0.99408898900670484</v>
      </c>
      <c r="J90" s="1">
        <f t="shared" ref="J90:J92" si="56">($E90+$H$79)*SIN($F90+I90*$H$79)^3</f>
        <v>1.0083361425082487</v>
      </c>
      <c r="K90" s="22">
        <f t="shared" ref="K90:K92" si="57">1/6*(G90+2*H90+2*I90+J90)*$H$79</f>
        <v>0.84189001826720467</v>
      </c>
    </row>
    <row r="91" spans="1:11" ht="15" thickBot="1" x14ac:dyDescent="0.35">
      <c r="A91" s="10">
        <v>3</v>
      </c>
      <c r="B91" s="12">
        <f t="shared" si="52"/>
        <v>3.7932892446746309</v>
      </c>
      <c r="E91" s="9">
        <v>1</v>
      </c>
      <c r="F91" s="1">
        <f>F90+K90</f>
        <v>1.9218859547054017</v>
      </c>
      <c r="G91" s="1">
        <f t="shared" si="53"/>
        <v>0.82793211539752065</v>
      </c>
      <c r="H91" s="1">
        <f t="shared" si="54"/>
        <v>0.56301265227262143</v>
      </c>
      <c r="I91" s="1">
        <f t="shared" si="55"/>
        <v>0.78685903226879605</v>
      </c>
      <c r="J91" s="1">
        <f t="shared" si="56"/>
        <v>0.14760260167171077</v>
      </c>
      <c r="K91" s="22">
        <f t="shared" si="57"/>
        <v>0.612546347692011</v>
      </c>
    </row>
    <row r="92" spans="1:11" ht="15" thickBot="1" x14ac:dyDescent="0.35">
      <c r="E92" s="9">
        <v>1.5</v>
      </c>
      <c r="F92" s="1">
        <f>F91+K91</f>
        <v>2.5344323023974127</v>
      </c>
      <c r="G92" s="1">
        <f t="shared" si="53"/>
        <v>0.27857629972709042</v>
      </c>
      <c r="H92" s="1">
        <f t="shared" si="54"/>
        <v>0.18345328177324757</v>
      </c>
      <c r="I92" s="1">
        <f t="shared" si="55"/>
        <v>0.23951838258943389</v>
      </c>
      <c r="J92" s="1">
        <f t="shared" si="56"/>
        <v>0.11607324474317993</v>
      </c>
      <c r="K92" s="22">
        <f t="shared" si="57"/>
        <v>0.20676547886593891</v>
      </c>
    </row>
    <row r="93" spans="1:11" x14ac:dyDescent="0.3">
      <c r="A93" s="19" t="s">
        <v>83</v>
      </c>
      <c r="B93" s="20" t="s">
        <v>85</v>
      </c>
      <c r="C93" s="21">
        <v>0.5</v>
      </c>
      <c r="E93" s="9">
        <v>2</v>
      </c>
      <c r="F93" s="1">
        <f t="shared" ref="F93:F95" si="58">F92+K92</f>
        <v>2.7411977812633515</v>
      </c>
      <c r="G93" s="1">
        <f t="shared" si="53"/>
        <v>0.11843917663418889</v>
      </c>
      <c r="H93" s="1">
        <f t="shared" ref="H93:H95" si="59">($E93+0.5*$H$79)*SIN($F93+0.5*G93*$H$79)^3</f>
        <v>9.3647853535401629E-2</v>
      </c>
      <c r="I93" s="1">
        <f t="shared" ref="I93:I95" si="60">($E93+0.5*$H$79)*SIN($F93+0.5*H93*$H$79)^3</f>
        <v>0.10377902627417546</v>
      </c>
      <c r="J93" s="1">
        <f t="shared" ref="J93:J95" si="61">($E93+$H$79)*SIN($F93+I93*$H$79)^3</f>
        <v>7.4910575552715492E-2</v>
      </c>
      <c r="K93" s="22">
        <f t="shared" ref="K93:K95" si="62">1/6*(G93+2*H93+2*I93+J93)*$H$79</f>
        <v>9.803391863434309E-2</v>
      </c>
    </row>
    <row r="94" spans="1:11" x14ac:dyDescent="0.3">
      <c r="A94" s="9" t="s">
        <v>71</v>
      </c>
      <c r="B94" s="1" t="s">
        <v>22</v>
      </c>
      <c r="C94" s="22" t="s">
        <v>72</v>
      </c>
      <c r="E94" s="9">
        <v>2.5</v>
      </c>
      <c r="F94" s="1">
        <f t="shared" si="58"/>
        <v>2.8392316998976947</v>
      </c>
      <c r="G94" s="1">
        <f t="shared" si="53"/>
        <v>6.6009160653764096E-2</v>
      </c>
      <c r="H94" s="1">
        <f t="shared" si="59"/>
        <v>5.6534049184353743E-2</v>
      </c>
      <c r="I94" s="1">
        <f t="shared" si="60"/>
        <v>5.9492843810290685E-2</v>
      </c>
      <c r="J94" s="1">
        <f t="shared" si="61"/>
        <v>4.8679469039912035E-2</v>
      </c>
      <c r="K94" s="22">
        <f t="shared" si="62"/>
        <v>5.7790402613827493E-2</v>
      </c>
    </row>
    <row r="95" spans="1:11" x14ac:dyDescent="0.3">
      <c r="A95" s="9">
        <v>0</v>
      </c>
      <c r="B95" s="1">
        <v>1</v>
      </c>
      <c r="C95" s="22">
        <f>B95*SIN(A95)^3</f>
        <v>0</v>
      </c>
      <c r="E95" s="9">
        <v>3</v>
      </c>
      <c r="F95" s="1">
        <f t="shared" si="58"/>
        <v>2.8970221025115221</v>
      </c>
      <c r="G95" s="1">
        <f t="shared" si="53"/>
        <v>4.2591127425710418E-2</v>
      </c>
      <c r="H95" s="1">
        <f t="shared" si="59"/>
        <v>3.7996627887763659E-2</v>
      </c>
      <c r="I95" s="1">
        <f t="shared" si="60"/>
        <v>3.9161301461512164E-2</v>
      </c>
      <c r="J95" s="1">
        <f t="shared" si="61"/>
        <v>3.3942589687427076E-2</v>
      </c>
      <c r="K95" s="22">
        <f t="shared" si="62"/>
        <v>3.8474929301948187E-2</v>
      </c>
    </row>
    <row r="96" spans="1:11" ht="15" thickBot="1" x14ac:dyDescent="0.35">
      <c r="A96" s="9">
        <v>0.5</v>
      </c>
      <c r="B96" s="1">
        <f>B95+C95*$C$93</f>
        <v>1</v>
      </c>
      <c r="C96" s="22">
        <f>B96*SIN(A96)^3</f>
        <v>0.11019540730213864</v>
      </c>
      <c r="E96" s="23" t="s">
        <v>80</v>
      </c>
      <c r="F96" s="26">
        <f>ABS(F92-B91)/B91</f>
        <v>0.33186421099960084</v>
      </c>
      <c r="G96" s="11"/>
      <c r="H96" s="11"/>
      <c r="I96" s="11"/>
      <c r="J96" s="11"/>
      <c r="K96" s="12"/>
    </row>
    <row r="97" spans="1:7" x14ac:dyDescent="0.3">
      <c r="A97" s="9">
        <v>1</v>
      </c>
      <c r="B97" s="1">
        <f>B96+C96*$C$93</f>
        <v>1.0550977036510694</v>
      </c>
      <c r="C97" s="22">
        <f t="shared" ref="C96:C98" si="63">B97*SIN(A97)^3</f>
        <v>0.62865172870906505</v>
      </c>
    </row>
    <row r="98" spans="1:7" x14ac:dyDescent="0.3">
      <c r="A98" s="9">
        <v>1.5</v>
      </c>
      <c r="B98" s="1">
        <f>B97+C97*$C$93</f>
        <v>1.3694235680056019</v>
      </c>
      <c r="C98" s="22">
        <f t="shared" si="63"/>
        <v>1.3591580531087364</v>
      </c>
    </row>
    <row r="99" spans="1:7" ht="15" thickBot="1" x14ac:dyDescent="0.35">
      <c r="A99" s="9">
        <v>2</v>
      </c>
      <c r="B99" s="1">
        <f>B98+C98*$C$93</f>
        <v>2.0490025945599699</v>
      </c>
      <c r="C99" s="22">
        <f t="shared" ref="C99:C101" si="64">B99*SIN(A99)^3</f>
        <v>1.5404953602868612</v>
      </c>
    </row>
    <row r="100" spans="1:7" x14ac:dyDescent="0.3">
      <c r="A100" s="9">
        <v>2.5</v>
      </c>
      <c r="B100" s="1">
        <f>B99+C99*$C$93</f>
        <v>2.8192502747034007</v>
      </c>
      <c r="C100" s="22">
        <f t="shared" si="64"/>
        <v>0.60431789445206818</v>
      </c>
      <c r="E100" s="16" t="s">
        <v>69</v>
      </c>
      <c r="F100" s="4" t="s">
        <v>84</v>
      </c>
      <c r="G100" s="5" t="b">
        <v>1</v>
      </c>
    </row>
    <row r="101" spans="1:7" x14ac:dyDescent="0.3">
      <c r="A101" s="9">
        <v>3</v>
      </c>
      <c r="B101" s="1">
        <f>B100+C100*$C$93</f>
        <v>3.1214092219294347</v>
      </c>
      <c r="C101" s="22">
        <f t="shared" si="64"/>
        <v>8.7723608273171261E-3</v>
      </c>
      <c r="E101" s="6" t="s">
        <v>82</v>
      </c>
      <c r="F101" s="27">
        <f>ABS(F95-F84)/F95</f>
        <v>4.991362053834137E-2</v>
      </c>
      <c r="G101" s="28">
        <f>ABS(B91-F95)/B91</f>
        <v>0.23627703672251496</v>
      </c>
    </row>
    <row r="102" spans="1:7" ht="15" thickBot="1" x14ac:dyDescent="0.35">
      <c r="A102" s="23" t="s">
        <v>80</v>
      </c>
      <c r="B102" s="26">
        <f>ABS(B98-B91)/B91</f>
        <v>0.63898783359899991</v>
      </c>
      <c r="C102" s="12"/>
      <c r="E102" s="10" t="s">
        <v>83</v>
      </c>
      <c r="F102" s="29">
        <f>ABS(B101-B84)/B101</f>
        <v>0.10437691887740665</v>
      </c>
      <c r="G102" s="30">
        <f>ABS(B91-B101)/B91</f>
        <v>0.17712333001983524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Preator</dc:creator>
  <cp:lastModifiedBy>Zach Preator</cp:lastModifiedBy>
  <dcterms:created xsi:type="dcterms:W3CDTF">2020-01-24T01:52:09Z</dcterms:created>
  <dcterms:modified xsi:type="dcterms:W3CDTF">2020-03-05T04:38:24Z</dcterms:modified>
</cp:coreProperties>
</file>