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目标与计划\财务\learn\python-openpyxl-files\video-file\009 计算财务比率 + 使用配置文件\"/>
    </mc:Choice>
  </mc:AlternateContent>
  <xr:revisionPtr revIDLastSave="0" documentId="13_ncr:1_{6FCCCADD-D688-4EA1-8FD4-0FFF98ECABC1}" xr6:coauthVersionLast="47" xr6:coauthVersionMax="47" xr10:uidLastSave="{00000000-0000-0000-0000-000000000000}"/>
  <bookViews>
    <workbookView xWindow="-108" yWindow="-108" windowWidth="23256" windowHeight="12576" tabRatio="510" firstSheet="1" activeTab="1" xr2:uid="{00000000-000D-0000-FFFF-FFFF00000000}"/>
  </bookViews>
  <sheets>
    <sheet name="现金流计划" sheetId="4" state="hidden" r:id="rId1"/>
    <sheet name="资产负债表" sheetId="9" r:id="rId2"/>
    <sheet name="zx16b" sheetId="2" state="hidden" r:id="rId3"/>
    <sheet name="Sheet1" sheetId="5" state="hidden" r:id="rId4"/>
    <sheet name="利润表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2" i="5" l="1"/>
  <c r="B42" i="5"/>
  <c r="K40" i="5"/>
  <c r="J40" i="5"/>
  <c r="E39" i="5"/>
  <c r="C39" i="5"/>
  <c r="E38" i="5"/>
  <c r="C38" i="5"/>
  <c r="E37" i="5"/>
  <c r="C37" i="5"/>
  <c r="E33" i="5"/>
  <c r="C33" i="5"/>
  <c r="E24" i="5"/>
  <c r="C24" i="5"/>
  <c r="E23" i="5"/>
  <c r="C23" i="5"/>
  <c r="L20" i="5"/>
  <c r="M7" i="5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6" i="5"/>
  <c r="B6" i="5"/>
  <c r="B8" i="5" s="1"/>
  <c r="B40" i="5" s="1"/>
  <c r="E3" i="5"/>
  <c r="C3" i="5"/>
  <c r="D3" i="5" s="1"/>
  <c r="D4" i="5" s="1"/>
  <c r="D5" i="5" s="1"/>
  <c r="D6" i="5" s="1"/>
  <c r="D7" i="5" s="1"/>
  <c r="C59" i="2"/>
  <c r="D47" i="2"/>
  <c r="D40" i="2"/>
  <c r="D39" i="2"/>
  <c r="D37" i="2"/>
  <c r="C32" i="2"/>
  <c r="D32" i="2" s="1"/>
  <c r="X23" i="2"/>
  <c r="W23" i="2"/>
  <c r="V23" i="2"/>
  <c r="Z21" i="2"/>
  <c r="Z20" i="2"/>
  <c r="Z19" i="2"/>
  <c r="O19" i="2"/>
  <c r="Z15" i="2"/>
  <c r="E14" i="2"/>
  <c r="Y13" i="2"/>
  <c r="Y23" i="2" s="1"/>
  <c r="Z6" i="2"/>
  <c r="C6" i="2"/>
  <c r="C22" i="2" s="1"/>
  <c r="D22" i="2" s="1"/>
  <c r="C5" i="2"/>
  <c r="H41" i="4"/>
  <c r="B41" i="4"/>
  <c r="K39" i="4"/>
  <c r="J39" i="4"/>
  <c r="J41" i="4" s="1"/>
  <c r="E37" i="4"/>
  <c r="C37" i="4"/>
  <c r="E36" i="4"/>
  <c r="C36" i="4"/>
  <c r="E35" i="4"/>
  <c r="C35" i="4"/>
  <c r="E32" i="4"/>
  <c r="C32" i="4"/>
  <c r="E25" i="4"/>
  <c r="C25" i="4"/>
  <c r="E22" i="4"/>
  <c r="C22" i="4"/>
  <c r="L19" i="4"/>
  <c r="M7" i="4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6" i="4"/>
  <c r="B6" i="4"/>
  <c r="E3" i="4"/>
  <c r="F3" i="4" s="1"/>
  <c r="F4" i="4" s="1"/>
  <c r="F5" i="4" s="1"/>
  <c r="C3" i="4"/>
  <c r="M22" i="4" l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D3" i="4"/>
  <c r="D4" i="4" s="1"/>
  <c r="D5" i="4" s="1"/>
  <c r="D6" i="4" s="1"/>
  <c r="D7" i="4" s="1"/>
  <c r="E6" i="4"/>
  <c r="C8" i="4" s="1"/>
  <c r="E38" i="2"/>
  <c r="C34" i="2"/>
  <c r="D34" i="2" s="1"/>
  <c r="C25" i="2"/>
  <c r="D25" i="2" s="1"/>
  <c r="C20" i="2"/>
  <c r="C35" i="2"/>
  <c r="C24" i="2"/>
  <c r="D24" i="2" s="1"/>
  <c r="C33" i="2"/>
  <c r="D33" i="2" s="1"/>
  <c r="E37" i="2"/>
  <c r="E8" i="2"/>
  <c r="E7" i="2" s="1"/>
  <c r="D13" i="2"/>
  <c r="C21" i="2"/>
  <c r="D21" i="2" s="1"/>
  <c r="C23" i="2"/>
  <c r="D23" i="2" s="1"/>
  <c r="C8" i="5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F3" i="5"/>
  <c r="F4" i="5" s="1"/>
  <c r="F5" i="5" s="1"/>
  <c r="E6" i="5"/>
  <c r="B8" i="4"/>
  <c r="B39" i="4" s="1"/>
  <c r="M39" i="4" s="1"/>
  <c r="C7" i="2"/>
  <c r="D18" i="2" s="1"/>
  <c r="E19" i="2"/>
  <c r="J42" i="5"/>
  <c r="M40" i="5"/>
  <c r="D8" i="4" l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20" i="2"/>
  <c r="E20" i="2" s="1"/>
  <c r="F6" i="4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E41" i="4" s="1"/>
  <c r="F6" i="5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E42" i="5" s="1"/>
  <c r="D35" i="2"/>
  <c r="D16" i="2" s="1"/>
  <c r="C8" i="2"/>
  <c r="D14" i="2"/>
  <c r="M10" i="2"/>
  <c r="L10" i="2"/>
  <c r="K10" i="2"/>
  <c r="N10" i="2"/>
  <c r="Y11" i="2" l="1"/>
  <c r="U11" i="2"/>
  <c r="Q11" i="2"/>
  <c r="M11" i="2"/>
  <c r="F20" i="2"/>
  <c r="E16" i="2"/>
  <c r="T11" i="2"/>
  <c r="O11" i="2"/>
  <c r="X11" i="2"/>
  <c r="R11" i="2"/>
  <c r="V11" i="2"/>
  <c r="N11" i="2"/>
  <c r="D17" i="2"/>
  <c r="F22" i="2" s="1"/>
  <c r="S11" i="2"/>
  <c r="L11" i="2"/>
  <c r="W11" i="2"/>
  <c r="P11" i="2"/>
  <c r="Z10" i="2"/>
  <c r="D45" i="2"/>
  <c r="D15" i="2"/>
  <c r="E3" i="2"/>
  <c r="E4" i="2" s="1"/>
  <c r="D48" i="2" s="1"/>
  <c r="D51" i="2" s="1"/>
  <c r="E15" i="2" l="1"/>
  <c r="D12" i="2"/>
  <c r="D11" i="2"/>
  <c r="Z11" i="2"/>
  <c r="D52" i="2"/>
  <c r="D42" i="2"/>
  <c r="Y14" i="2"/>
  <c r="Y18" i="2"/>
  <c r="D43" i="2" l="1"/>
  <c r="C50" i="2" s="1"/>
  <c r="D41" i="2"/>
  <c r="D50" i="2" s="1"/>
  <c r="Y7" i="2"/>
  <c r="Y22" i="2" s="1"/>
  <c r="V7" i="2"/>
  <c r="V22" i="2" s="1"/>
  <c r="R7" i="2"/>
  <c r="N7" i="2"/>
  <c r="J7" i="2"/>
  <c r="E42" i="2"/>
  <c r="E43" i="2" s="1"/>
  <c r="X7" i="2"/>
  <c r="X22" i="2" s="1"/>
  <c r="S7" i="2"/>
  <c r="M7" i="2"/>
  <c r="U7" i="2"/>
  <c r="P7" i="2"/>
  <c r="K7" i="2"/>
  <c r="T7" i="2"/>
  <c r="O7" i="2"/>
  <c r="L7" i="2"/>
  <c r="W7" i="2"/>
  <c r="W22" i="2" s="1"/>
  <c r="Q7" i="2"/>
  <c r="J9" i="2"/>
  <c r="E11" i="2"/>
  <c r="J16" i="2"/>
  <c r="J17" i="2" l="1"/>
  <c r="J37" i="2" s="1"/>
  <c r="D49" i="2"/>
  <c r="M22" i="2"/>
  <c r="M13" i="2"/>
  <c r="R22" i="2"/>
  <c r="R13" i="2"/>
  <c r="R23" i="2" s="1"/>
  <c r="S22" i="2"/>
  <c r="S13" i="2"/>
  <c r="S23" i="2" s="1"/>
  <c r="J14" i="2"/>
  <c r="Z9" i="2"/>
  <c r="O22" i="2"/>
  <c r="O13" i="2"/>
  <c r="O23" i="2" s="1"/>
  <c r="P13" i="2"/>
  <c r="P23" i="2" s="1"/>
  <c r="P22" i="2"/>
  <c r="Z7" i="2"/>
  <c r="Q22" i="2"/>
  <c r="Q13" i="2"/>
  <c r="Q23" i="2" s="1"/>
  <c r="T22" i="2"/>
  <c r="T13" i="2"/>
  <c r="T23" i="2" s="1"/>
  <c r="U13" i="2"/>
  <c r="U23" i="2" s="1"/>
  <c r="U22" i="2"/>
  <c r="N22" i="2"/>
  <c r="N13" i="2"/>
  <c r="N23" i="2" s="1"/>
  <c r="E41" i="2"/>
  <c r="D36" i="2"/>
  <c r="F43" i="2"/>
  <c r="F52" i="2"/>
  <c r="J24" i="2" l="1"/>
  <c r="K17" i="2" s="1"/>
  <c r="M23" i="2"/>
  <c r="Z23" i="2" s="1"/>
  <c r="Z13" i="2"/>
  <c r="X12" i="2"/>
  <c r="T12" i="2"/>
  <c r="P12" i="2"/>
  <c r="L12" i="2"/>
  <c r="S12" i="2"/>
  <c r="N12" i="2"/>
  <c r="V12" i="2"/>
  <c r="O12" i="2"/>
  <c r="R12" i="2"/>
  <c r="K12" i="2"/>
  <c r="W12" i="2"/>
  <c r="Q12" i="2"/>
  <c r="U12" i="2"/>
  <c r="M12" i="2"/>
  <c r="E36" i="2"/>
  <c r="F36" i="2"/>
  <c r="D53" i="2"/>
  <c r="E49" i="2"/>
  <c r="F49" i="2"/>
  <c r="Z22" i="2"/>
  <c r="F53" i="2" l="1"/>
  <c r="U14" i="2"/>
  <c r="U18" i="2"/>
  <c r="R18" i="2"/>
  <c r="R14" i="2"/>
  <c r="S14" i="2"/>
  <c r="S18" i="2"/>
  <c r="X14" i="2"/>
  <c r="X18" i="2"/>
  <c r="Q18" i="2"/>
  <c r="Q14" i="2"/>
  <c r="O14" i="2"/>
  <c r="O18" i="2"/>
  <c r="L14" i="2"/>
  <c r="L18" i="2"/>
  <c r="W14" i="2"/>
  <c r="W18" i="2"/>
  <c r="V18" i="2"/>
  <c r="V14" i="2"/>
  <c r="P14" i="2"/>
  <c r="P18" i="2"/>
  <c r="D54" i="2"/>
  <c r="D55" i="2" s="1"/>
  <c r="M18" i="2"/>
  <c r="M14" i="2"/>
  <c r="Z12" i="2"/>
  <c r="K18" i="2"/>
  <c r="K14" i="2"/>
  <c r="N18" i="2"/>
  <c r="N14" i="2"/>
  <c r="T14" i="2"/>
  <c r="T18" i="2"/>
  <c r="Z18" i="2" l="1"/>
  <c r="Z24" i="2" s="1"/>
  <c r="K24" i="2"/>
  <c r="L17" i="2" s="1"/>
  <c r="L24" i="2" s="1"/>
  <c r="M17" i="2" s="1"/>
  <c r="M24" i="2" s="1"/>
  <c r="F58" i="2"/>
  <c r="F11" i="2"/>
  <c r="AA10" i="2"/>
  <c r="Z14" i="2"/>
  <c r="E56" i="2"/>
  <c r="F55" i="2"/>
  <c r="N34" i="2"/>
  <c r="N33" i="2"/>
  <c r="N17" i="2" l="1"/>
  <c r="N24" i="2" s="1"/>
  <c r="O17" i="2" s="1"/>
  <c r="O24" i="2" s="1"/>
  <c r="P17" i="2" s="1"/>
  <c r="P24" i="2" s="1"/>
  <c r="Q17" i="2" s="1"/>
  <c r="Q24" i="2" s="1"/>
  <c r="J25" i="2"/>
  <c r="K42" i="2" l="1"/>
  <c r="K37" i="2"/>
  <c r="R17" i="2"/>
  <c r="R24" i="2" s="1"/>
  <c r="S17" i="2" s="1"/>
  <c r="S24" i="2" s="1"/>
  <c r="T17" i="2" s="1"/>
  <c r="T24" i="2" s="1"/>
  <c r="U17" i="2" s="1"/>
  <c r="U24" i="2" s="1"/>
  <c r="N25" i="2"/>
  <c r="R25" i="2" l="1"/>
  <c r="M37" i="2" s="1"/>
  <c r="M42" i="2" s="1"/>
  <c r="V17" i="2"/>
  <c r="V24" i="2" s="1"/>
  <c r="W17" i="2" s="1"/>
  <c r="W24" i="2" s="1"/>
  <c r="X17" i="2" s="1"/>
  <c r="X24" i="2" s="1"/>
  <c r="Y17" i="2" s="1"/>
  <c r="Y24" i="2" s="1"/>
  <c r="L42" i="2"/>
  <c r="L37" i="2"/>
  <c r="J38" i="2" l="1"/>
  <c r="V25" i="2"/>
  <c r="N37" i="2" s="1"/>
  <c r="N42" i="2" s="1"/>
  <c r="J43" i="2" s="1"/>
  <c r="Y35" i="2"/>
  <c r="C56" i="2" l="1"/>
  <c r="N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</author>
    <author>Administrator</author>
  </authors>
  <commentList>
    <comment ref="A2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2021年7月股东现金流归正前提：
1、二期取得四证
2、首开部分全部结顶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A32" authorId="1" shapeId="0" xr:uid="{00000000-0006-0000-0000-000002000000}">
      <text>
        <r>
          <rPr>
            <b/>
            <sz val="9"/>
            <rFont val="Tahoma"/>
            <family val="2"/>
          </rPr>
          <t>2023.1</t>
        </r>
        <r>
          <rPr>
            <b/>
            <sz val="9"/>
            <rFont val="宋体"/>
            <family val="3"/>
            <charset val="134"/>
          </rPr>
          <t>二期结顶，对外融资全部归正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</author>
    <author>Administrator</author>
  </authors>
  <commentList>
    <comment ref="A22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2021年7月股东现金流归正前提：
1、二期取得四证
2、首开部分全部结顶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A33" authorId="1" shapeId="0" xr:uid="{00000000-0006-0000-0300-000002000000}">
      <text>
        <r>
          <rPr>
            <b/>
            <sz val="9"/>
            <rFont val="Tahoma"/>
            <family val="2"/>
          </rPr>
          <t>2023.1</t>
        </r>
        <r>
          <rPr>
            <b/>
            <sz val="9"/>
            <rFont val="宋体"/>
            <family val="3"/>
            <charset val="134"/>
          </rPr>
          <t>二期结顶，对外融资全部归正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<sst xmlns="http://schemas.openxmlformats.org/spreadsheetml/2006/main" count="799" uniqueCount="448">
  <si>
    <t>瑞安10-12地块资金运营计划表（万元）</t>
  </si>
  <si>
    <t>时间节点</t>
  </si>
  <si>
    <t>当期投资额</t>
  </si>
  <si>
    <t>新湖现金流明细</t>
  </si>
  <si>
    <t>余额</t>
  </si>
  <si>
    <t>合作方现金流明细</t>
  </si>
  <si>
    <t>工程进度</t>
  </si>
  <si>
    <t>支付款项内容</t>
  </si>
  <si>
    <t>销售计划</t>
  </si>
  <si>
    <t>销售回款</t>
  </si>
  <si>
    <t>贷款计划</t>
  </si>
  <si>
    <t>监管资金冻结要求</t>
  </si>
  <si>
    <t>资金余额</t>
  </si>
  <si>
    <t>2020.5.27</t>
  </si>
  <si>
    <t>土拍报名，开始地块勘察</t>
  </si>
  <si>
    <t>保证金</t>
  </si>
  <si>
    <t>前期工作</t>
  </si>
  <si>
    <t>2020.5.29</t>
  </si>
  <si>
    <t>方案定稿，参与土拍</t>
  </si>
  <si>
    <t>2020.6.18</t>
  </si>
  <si>
    <t>成立项目公司</t>
  </si>
  <si>
    <t>注册资金5000万，</t>
  </si>
  <si>
    <t>确定方案</t>
  </si>
  <si>
    <t>2020.6.26</t>
  </si>
  <si>
    <r>
      <rPr>
        <sz val="12"/>
        <rFont val="华文楷体"/>
        <family val="3"/>
        <charset val="134"/>
      </rPr>
      <t>完成方案报批（</t>
    </r>
    <r>
      <rPr>
        <sz val="12"/>
        <color indexed="10"/>
        <rFont val="华文楷体"/>
        <family val="3"/>
        <charset val="134"/>
      </rPr>
      <t>重要前提</t>
    </r>
    <r>
      <rPr>
        <sz val="12"/>
        <rFont val="华文楷体"/>
        <family val="3"/>
        <charset val="134"/>
      </rPr>
      <t>），并公示10天</t>
    </r>
  </si>
  <si>
    <t>支付至土地款50%</t>
  </si>
  <si>
    <t>前期营销推广</t>
  </si>
  <si>
    <t>2020.7.15</t>
  </si>
  <si>
    <t>桩基工程开始</t>
  </si>
  <si>
    <t>前期勘察、设计、前期营运费用</t>
  </si>
  <si>
    <t>2020.8.26</t>
  </si>
  <si>
    <t>土地合同签约，</t>
  </si>
  <si>
    <t>支付至土地款100%</t>
  </si>
  <si>
    <t>2020.8.27</t>
  </si>
  <si>
    <t>缴纳契税，并办土地证</t>
  </si>
  <si>
    <t>支付契税4542万</t>
  </si>
  <si>
    <t>2020.8.28</t>
  </si>
  <si>
    <t>完成第一期规划证报批</t>
  </si>
  <si>
    <t>市政配套费</t>
  </si>
  <si>
    <t>2020.9.10</t>
  </si>
  <si>
    <t>取得第一期施工证、一期正式开工</t>
  </si>
  <si>
    <t>支付相关费用</t>
  </si>
  <si>
    <t>2020.9.15</t>
  </si>
  <si>
    <t>土方工程</t>
  </si>
  <si>
    <t>第一笔贷款发放</t>
  </si>
  <si>
    <t>2020.9.16</t>
  </si>
  <si>
    <t>归还联合第一笔借款3亿</t>
  </si>
  <si>
    <t>2020.10.25</t>
  </si>
  <si>
    <t>一期3.8万方 地下室工程阶段</t>
  </si>
  <si>
    <t>第二笔贷款发放</t>
  </si>
  <si>
    <t>2020.10.29</t>
  </si>
  <si>
    <t>一期土方完工</t>
  </si>
  <si>
    <t>归还联合第二笔借款1.87亿</t>
  </si>
  <si>
    <t>蓄客</t>
  </si>
  <si>
    <t>2020.11.26</t>
  </si>
  <si>
    <t>围挡完工，样板区开始施工</t>
  </si>
  <si>
    <t>归还联合全部借款部分56154.5万</t>
  </si>
  <si>
    <t>2020.12.31</t>
  </si>
  <si>
    <t>一期3.6万方 完成±00，样板房开放，开盘</t>
  </si>
  <si>
    <t>工程款、相关税费</t>
  </si>
  <si>
    <t>一期首开4万方（约9亿）</t>
  </si>
  <si>
    <t>2021.11-3.31</t>
  </si>
  <si>
    <t>完成全部桩基，</t>
  </si>
  <si>
    <t>一期续销</t>
  </si>
  <si>
    <t>2021.4.1-6.30</t>
  </si>
  <si>
    <t>归还新湖借款部分2.7115亿</t>
  </si>
  <si>
    <t>一期第二次开盘3.2万方（约7.5亿）</t>
  </si>
  <si>
    <t>2021.7.1-7.30</t>
  </si>
  <si>
    <t>一期3万方结顶，二期四证全开发贷款发放</t>
  </si>
  <si>
    <t>双方股东投资归正（未考虑二期项目前融）</t>
  </si>
  <si>
    <t>一期按揭回款</t>
  </si>
  <si>
    <t>2021.8.1-8.31</t>
  </si>
  <si>
    <t>续销</t>
  </si>
  <si>
    <t>2021.9.1-9.30</t>
  </si>
  <si>
    <t>一期全部结顶，外立面工程开始</t>
  </si>
  <si>
    <t>按揭全部回款</t>
  </si>
  <si>
    <t>2021.9月中旬</t>
  </si>
  <si>
    <t>准备二期项目</t>
  </si>
  <si>
    <t>蓄客阶段</t>
  </si>
  <si>
    <t>2021.10.1-12.10</t>
  </si>
  <si>
    <t>二期土方工程、二期四证全</t>
  </si>
  <si>
    <t>一期第三次开盘1.6万方（3.5亿）</t>
  </si>
  <si>
    <t>2021.12.10-12.31</t>
  </si>
  <si>
    <t>2022.1.1-3.31</t>
  </si>
  <si>
    <t>一期全部结顶</t>
  </si>
  <si>
    <t>2022.4.1-6.30</t>
  </si>
  <si>
    <t>二期3.5万方完成±00，二期首开</t>
  </si>
  <si>
    <t>二期首开3.5万方（约8亿）</t>
  </si>
  <si>
    <t>2022.7.1-9.30</t>
  </si>
  <si>
    <t>3-4季度，二期累计完成销售3.5方</t>
  </si>
  <si>
    <t>2022.10.1-12.31</t>
  </si>
  <si>
    <t>二期3万方结顶，二期剩余工程完成±00，开盘</t>
  </si>
  <si>
    <t>二期第二次开盘3万方（约6.6亿）</t>
  </si>
  <si>
    <t>2023.1.1-3.31</t>
  </si>
  <si>
    <t>二期开始外立面施工</t>
  </si>
  <si>
    <t>二期部分按揭回款</t>
  </si>
  <si>
    <t>2023.4.1-4.30</t>
  </si>
  <si>
    <t>主体结构 大部分结顶，</t>
  </si>
  <si>
    <t>一期尾盘，车位商铺（4.3亿）</t>
  </si>
  <si>
    <t>2023.5.1-8.30</t>
  </si>
  <si>
    <t>室外景观工程</t>
  </si>
  <si>
    <t>销售率100%</t>
  </si>
  <si>
    <t>2023.9.1-11.30</t>
  </si>
  <si>
    <t>基本达到交付标准</t>
  </si>
  <si>
    <t>股东退还多提取部分</t>
  </si>
  <si>
    <t>剩余部分按揭回款</t>
  </si>
  <si>
    <t>竣工交付、项目清算</t>
  </si>
  <si>
    <t>回款</t>
  </si>
  <si>
    <t>2024.1-3</t>
  </si>
  <si>
    <t>尾房、车位</t>
  </si>
  <si>
    <t>2024.4-9</t>
  </si>
  <si>
    <t>开始清算工作</t>
  </si>
  <si>
    <t>2024年4季度</t>
  </si>
  <si>
    <t>完成清算</t>
  </si>
  <si>
    <t>累计</t>
  </si>
  <si>
    <t>总投资</t>
  </si>
  <si>
    <t>总收入</t>
  </si>
  <si>
    <t>净利润</t>
  </si>
  <si>
    <t>备注：   楼面价</t>
  </si>
  <si>
    <t>含税建安成本均价（不含融资）</t>
  </si>
  <si>
    <t>含税均价（含车位）</t>
  </si>
  <si>
    <t>一、技术指标</t>
  </si>
  <si>
    <t>开发计划：</t>
  </si>
  <si>
    <t>占地面积（㎡）</t>
  </si>
  <si>
    <t>高层套数（套）</t>
  </si>
  <si>
    <t>容积率</t>
  </si>
  <si>
    <t>销售机动车位</t>
  </si>
  <si>
    <t>季度计划表</t>
  </si>
  <si>
    <t>合计</t>
  </si>
  <si>
    <t>计容面积（㎡）</t>
  </si>
  <si>
    <t>绿化率</t>
  </si>
  <si>
    <t>一、收入：</t>
  </si>
  <si>
    <t>一季度</t>
  </si>
  <si>
    <t>二季度</t>
  </si>
  <si>
    <t>三季度</t>
  </si>
  <si>
    <t>四季度</t>
  </si>
  <si>
    <t>地下室面积（㎡）</t>
  </si>
  <si>
    <t>商业面积</t>
  </si>
  <si>
    <t>1、销售比例</t>
  </si>
  <si>
    <t>总建筑面积（㎡）含物业7%</t>
  </si>
  <si>
    <t>住宅面积</t>
  </si>
  <si>
    <r>
      <rPr>
        <sz val="9"/>
        <rFont val="宋体"/>
        <family val="3"/>
        <charset val="134"/>
      </rPr>
      <t>2、</t>
    </r>
    <r>
      <rPr>
        <sz val="9"/>
        <color indexed="10"/>
        <rFont val="宋体"/>
        <family val="3"/>
        <charset val="134"/>
      </rPr>
      <t>含税</t>
    </r>
    <r>
      <rPr>
        <sz val="9"/>
        <rFont val="宋体"/>
        <family val="3"/>
        <charset val="134"/>
      </rPr>
      <t>销售回款额</t>
    </r>
  </si>
  <si>
    <t>高层面积（㎡）</t>
  </si>
  <si>
    <t>物业配套面积（㎡）</t>
  </si>
  <si>
    <t>二、完成投资：</t>
  </si>
  <si>
    <t>二、成本利润预测</t>
  </si>
  <si>
    <t>1、土地款投资</t>
  </si>
  <si>
    <t>序号</t>
  </si>
  <si>
    <t>面积</t>
  </si>
  <si>
    <t>总造价（万元）</t>
  </si>
  <si>
    <t>单方造价（元/㎡）</t>
  </si>
  <si>
    <t>2、前期工程</t>
  </si>
  <si>
    <t>一、土地成本</t>
  </si>
  <si>
    <t>3、建筑工程</t>
  </si>
  <si>
    <t>考虑土地款进项抵扣</t>
  </si>
  <si>
    <t>4、期间费用</t>
  </si>
  <si>
    <t>1、出让金</t>
  </si>
  <si>
    <t>按楼面价9675元/㎡</t>
  </si>
  <si>
    <t>5、税金</t>
  </si>
  <si>
    <t>2、契税</t>
  </si>
  <si>
    <t>3、耕地占用税</t>
  </si>
  <si>
    <t>住宅60商业90</t>
  </si>
  <si>
    <t>三、现金流量表：</t>
  </si>
  <si>
    <t>二、开发成本</t>
  </si>
  <si>
    <t>含税成本</t>
  </si>
  <si>
    <t>期初股东投资</t>
  </si>
  <si>
    <t>踢税成本</t>
  </si>
  <si>
    <t>1、本期期初</t>
  </si>
  <si>
    <t>1、前期设计</t>
  </si>
  <si>
    <t>方案25元/㎡、结构25元/㎡</t>
  </si>
  <si>
    <t>2、投资支出</t>
  </si>
  <si>
    <t>临电、围墙、基坑、监理</t>
  </si>
  <si>
    <t>3、还贷支出</t>
  </si>
  <si>
    <t>3、高层建安（含商业、配套）</t>
  </si>
  <si>
    <t>4、归还股东（回流）</t>
  </si>
  <si>
    <t>5、贷款流入</t>
  </si>
  <si>
    <t xml:space="preserve"> 地下室工程（含土方）</t>
  </si>
  <si>
    <t>6、销售回笼</t>
  </si>
  <si>
    <t xml:space="preserve"> 地上主体结构（含粗安装）</t>
  </si>
  <si>
    <t>7、税金支出</t>
  </si>
  <si>
    <t xml:space="preserve"> 幕墙、门窗</t>
  </si>
  <si>
    <t>8、现金流量净额</t>
  </si>
  <si>
    <t>9、Npv</t>
  </si>
  <si>
    <t xml:space="preserve"> 桩基成本</t>
  </si>
  <si>
    <t xml:space="preserve"> 地下室工程</t>
  </si>
  <si>
    <t xml:space="preserve"> 地上主体结构</t>
  </si>
  <si>
    <t xml:space="preserve"> 幕墙工程</t>
  </si>
  <si>
    <t xml:space="preserve"> 安装工程（含门窗）</t>
  </si>
  <si>
    <t>5、基础设施</t>
  </si>
  <si>
    <t>IRR</t>
  </si>
  <si>
    <t>Internal Rate of Return</t>
  </si>
  <si>
    <t>6、配套工程（含供水电）</t>
  </si>
  <si>
    <t>ROE</t>
  </si>
  <si>
    <t>净利润/净资产</t>
  </si>
  <si>
    <t>7、景观工程</t>
  </si>
  <si>
    <t>8、不可预计</t>
  </si>
  <si>
    <t>三、开发费用</t>
  </si>
  <si>
    <t>费用未考虑踢税</t>
  </si>
  <si>
    <t>Npv:</t>
  </si>
  <si>
    <t>期初投资</t>
  </si>
  <si>
    <t>1、管理费用</t>
  </si>
  <si>
    <t>每年800万*4年</t>
  </si>
  <si>
    <t>2、财务费用</t>
  </si>
  <si>
    <t>IRR:</t>
  </si>
  <si>
    <t xml:space="preserve">  2.1前融费用</t>
  </si>
  <si>
    <t xml:space="preserve">  2.2开发贷款费用</t>
  </si>
  <si>
    <t>3、营销费用</t>
  </si>
  <si>
    <t>按1.5%</t>
  </si>
  <si>
    <t>期初自由资金投资</t>
  </si>
  <si>
    <t>四、总收入</t>
  </si>
  <si>
    <t>含税总价</t>
  </si>
  <si>
    <t>踢税收入测算利润总额</t>
  </si>
  <si>
    <t>（含税单价）</t>
  </si>
  <si>
    <r>
      <rPr>
        <sz val="10"/>
        <color rgb="FF002060"/>
        <rFont val="宋体"/>
        <family val="3"/>
        <charset val="134"/>
      </rPr>
      <t>1、高层</t>
    </r>
    <r>
      <rPr>
        <sz val="8"/>
        <color indexed="56"/>
        <rFont val="宋体"/>
        <family val="3"/>
        <charset val="134"/>
      </rPr>
      <t>（扣除0.7%物业配套面积）</t>
    </r>
  </si>
  <si>
    <t>2、排屋</t>
  </si>
  <si>
    <t>3、商业</t>
  </si>
  <si>
    <t>4、车位</t>
  </si>
  <si>
    <t>五、税费</t>
  </si>
  <si>
    <t>1、增值税及附加</t>
  </si>
  <si>
    <t>增值率</t>
  </si>
  <si>
    <t>2、土地增值税</t>
  </si>
  <si>
    <t>车位商铺</t>
  </si>
  <si>
    <t>高层（按非普通2%预增）</t>
  </si>
  <si>
    <t>六、所得税前利润</t>
  </si>
  <si>
    <t xml:space="preserve">   所得税</t>
  </si>
  <si>
    <t>预计IRR:</t>
  </si>
  <si>
    <t>预计ROE</t>
  </si>
  <si>
    <t>其他：</t>
  </si>
  <si>
    <t>1、出让面积：</t>
  </si>
  <si>
    <t>2、出让条件：</t>
  </si>
  <si>
    <t>公开招拍挂</t>
  </si>
  <si>
    <t>3、招拍挂时间：</t>
  </si>
  <si>
    <t>4、保证金缴款时间：</t>
  </si>
  <si>
    <t>5、土地款支付方式（初定）：</t>
  </si>
  <si>
    <t>一个月内50%，3个月付清</t>
  </si>
  <si>
    <t>乐清中心区ZX-16b地块</t>
  </si>
  <si>
    <t>本流量表还没更新调整</t>
  </si>
  <si>
    <t>一期</t>
  </si>
  <si>
    <t>2020年5月：土地款付清</t>
  </si>
  <si>
    <t>2020年5月：一期开工</t>
  </si>
  <si>
    <t>2020年10月：取得四证、首开</t>
  </si>
  <si>
    <t>2021年1月：一期销售80%</t>
  </si>
  <si>
    <t>2021年12月：一期售罄</t>
  </si>
  <si>
    <t>2022年12月：一期交付</t>
  </si>
  <si>
    <t>二期</t>
  </si>
  <si>
    <t>2021年1月：二期开工</t>
  </si>
  <si>
    <t>2021年9月：二期销售60%</t>
  </si>
  <si>
    <t>2022年1月：二期销售80%</t>
  </si>
  <si>
    <t>2022年12月：二期销售售罄</t>
  </si>
  <si>
    <t>2023年12月：整体交付</t>
  </si>
  <si>
    <t xml:space="preserve"> 桩基、维护</t>
  </si>
  <si>
    <t xml:space="preserve"> 安装工程（含装修）</t>
  </si>
  <si>
    <t>4、排屋建安</t>
  </si>
  <si>
    <r>
      <rPr>
        <sz val="9"/>
        <color rgb="FFFF0000"/>
        <rFont val="宋体"/>
        <family val="3"/>
        <charset val="134"/>
      </rPr>
      <t>3亿*12</t>
    </r>
    <r>
      <rPr>
        <sz val="9"/>
        <color indexed="10"/>
        <rFont val="宋体"/>
        <family val="3"/>
        <charset val="134"/>
      </rPr>
      <t>个月*年化8%</t>
    </r>
  </si>
  <si>
    <r>
      <rPr>
        <sz val="9"/>
        <color rgb="FFFF0000"/>
        <rFont val="宋体"/>
        <family val="3"/>
        <charset val="134"/>
      </rPr>
      <t>贷款5</t>
    </r>
    <r>
      <rPr>
        <sz val="9"/>
        <color indexed="10"/>
        <rFont val="宋体"/>
        <family val="3"/>
        <charset val="134"/>
      </rPr>
      <t>亿*2年*年化5.8%</t>
    </r>
  </si>
  <si>
    <t>2020.5.19</t>
  </si>
  <si>
    <t>乐清中心区地块资金运营计划表（万元）</t>
  </si>
  <si>
    <t>联合现金流明细</t>
  </si>
  <si>
    <t>支付保证金</t>
  </si>
  <si>
    <t>联合借款5.07亿，支付至至土地款50%</t>
  </si>
  <si>
    <t>地款100%</t>
  </si>
  <si>
    <t>通过注册资金支付契税4542万</t>
  </si>
  <si>
    <t>通过股东借款支付前期及市政配套费948万</t>
  </si>
  <si>
    <t>支付相关费用，取得一期项目四证</t>
  </si>
  <si>
    <t>取得一期贷款批复</t>
  </si>
  <si>
    <t>一期3.6万方 地下室工程阶段</t>
  </si>
  <si>
    <t>归还联合第二笔借款2亿，</t>
  </si>
  <si>
    <t>取得一期首开预售证</t>
  </si>
  <si>
    <t>首次开盘</t>
  </si>
  <si>
    <t>2021.1月中旬</t>
  </si>
  <si>
    <t>联合公司借款部分5.615亿还清</t>
  </si>
  <si>
    <t>2021.2.1-3.30</t>
  </si>
  <si>
    <t xml:space="preserve">        </t>
  </si>
  <si>
    <t>一期首付款2.5亿需要被监管</t>
  </si>
  <si>
    <t>二期开发贷款 3亿，归还联合借款2.4亿</t>
  </si>
  <si>
    <t>一期3万方结顶，</t>
  </si>
  <si>
    <t>一期项目按揭回款、双方股东投资归正</t>
  </si>
  <si>
    <t>二期开发贷款，贡献总部资金</t>
  </si>
  <si>
    <t>贡献总部资金</t>
  </si>
  <si>
    <t xml:space="preserve">项目 </t>
  </si>
  <si>
    <t xml:space="preserve">附注 </t>
  </si>
  <si>
    <t xml:space="preserve">2019 年 12 月 31 日 </t>
  </si>
  <si>
    <t xml:space="preserve">2018 年 12 月 31 日 </t>
  </si>
  <si>
    <r>
      <t>流动资产：</t>
    </r>
    <r>
      <rPr>
        <sz val="10.5"/>
        <color theme="1"/>
        <rFont val="宋体"/>
        <family val="3"/>
        <charset val="134"/>
      </rPr>
      <t xml:space="preserve"> </t>
    </r>
  </si>
  <si>
    <t xml:space="preserve"> </t>
  </si>
  <si>
    <t xml:space="preserve">货币资金 </t>
  </si>
  <si>
    <t xml:space="preserve">结算备付金 </t>
  </si>
  <si>
    <t xml:space="preserve">拆出资金 </t>
  </si>
  <si>
    <t xml:space="preserve">交易性金融资产 </t>
  </si>
  <si>
    <t xml:space="preserve">衍生金融资产 </t>
  </si>
  <si>
    <t xml:space="preserve">应收票据 </t>
  </si>
  <si>
    <t xml:space="preserve">应收账款 </t>
  </si>
  <si>
    <t xml:space="preserve">应收款项融资 </t>
  </si>
  <si>
    <t xml:space="preserve">预付款项 </t>
  </si>
  <si>
    <t xml:space="preserve">应收保费 </t>
  </si>
  <si>
    <t xml:space="preserve">应收分保账款 </t>
  </si>
  <si>
    <t xml:space="preserve">应收分保合同准备金 </t>
  </si>
  <si>
    <t xml:space="preserve">其他应收款 </t>
  </si>
  <si>
    <t xml:space="preserve">其中：应收利息 </t>
  </si>
  <si>
    <t xml:space="preserve">应收股利 </t>
  </si>
  <si>
    <t xml:space="preserve">买入返售金融资产 </t>
  </si>
  <si>
    <t xml:space="preserve">存货 </t>
  </si>
  <si>
    <t xml:space="preserve">合同资产 </t>
  </si>
  <si>
    <t xml:space="preserve">持有待售资产 </t>
  </si>
  <si>
    <t xml:space="preserve">一年内到期的非流动资产 </t>
  </si>
  <si>
    <t xml:space="preserve">其他流动资产 </t>
  </si>
  <si>
    <t xml:space="preserve">流动资产合计 </t>
  </si>
  <si>
    <r>
      <t>非流动资产：</t>
    </r>
    <r>
      <rPr>
        <sz val="10.5"/>
        <color theme="1"/>
        <rFont val="宋体"/>
        <family val="3"/>
        <charset val="134"/>
      </rPr>
      <t xml:space="preserve"> </t>
    </r>
  </si>
  <si>
    <t xml:space="preserve">发放贷款和垫款 </t>
  </si>
  <si>
    <t xml:space="preserve">债权投资 </t>
  </si>
  <si>
    <t xml:space="preserve">可供出售金融资产 </t>
  </si>
  <si>
    <t xml:space="preserve">其他债权投资 </t>
  </si>
  <si>
    <t xml:space="preserve">持有至到期投资 </t>
  </si>
  <si>
    <t xml:space="preserve">长期应收款 </t>
  </si>
  <si>
    <t xml:space="preserve">长期股权投资 </t>
  </si>
  <si>
    <t xml:space="preserve">其他权益工具投资 </t>
  </si>
  <si>
    <t xml:space="preserve">其他非流动金融资产 </t>
  </si>
  <si>
    <t xml:space="preserve">投资性房地产 </t>
  </si>
  <si>
    <t xml:space="preserve">固定资产 </t>
  </si>
  <si>
    <t xml:space="preserve">在建工程 </t>
  </si>
  <si>
    <t xml:space="preserve">生产性生物资产 </t>
  </si>
  <si>
    <t xml:space="preserve">油气资产 </t>
  </si>
  <si>
    <t xml:space="preserve">使用权资产 </t>
  </si>
  <si>
    <t xml:space="preserve">无形资产 </t>
  </si>
  <si>
    <t xml:space="preserve">开发支出 </t>
  </si>
  <si>
    <t xml:space="preserve">商誉 </t>
  </si>
  <si>
    <t xml:space="preserve">长期待摊费用 </t>
  </si>
  <si>
    <t xml:space="preserve">递延所得税资产 </t>
  </si>
  <si>
    <t xml:space="preserve">其他非流动资产 </t>
  </si>
  <si>
    <t xml:space="preserve">非流动资产合计 </t>
  </si>
  <si>
    <t xml:space="preserve">资产总计 </t>
  </si>
  <si>
    <r>
      <t>流动负债：</t>
    </r>
    <r>
      <rPr>
        <sz val="10.5"/>
        <color theme="1"/>
        <rFont val="宋体"/>
        <family val="3"/>
        <charset val="134"/>
      </rPr>
      <t xml:space="preserve"> </t>
    </r>
  </si>
  <si>
    <t xml:space="preserve">短期借款 </t>
  </si>
  <si>
    <t xml:space="preserve">向中央银行借款 </t>
  </si>
  <si>
    <t xml:space="preserve">拆入资金 </t>
  </si>
  <si>
    <t xml:space="preserve">交易性金融负债 </t>
  </si>
  <si>
    <t xml:space="preserve">衍生金融负债 </t>
  </si>
  <si>
    <t xml:space="preserve">应付票据 </t>
  </si>
  <si>
    <t xml:space="preserve">应付账款 </t>
  </si>
  <si>
    <t xml:space="preserve">预收款项 </t>
  </si>
  <si>
    <t xml:space="preserve">合同负债 </t>
  </si>
  <si>
    <t xml:space="preserve">代理承销证券款 </t>
  </si>
  <si>
    <t xml:space="preserve">应付职工薪酬 </t>
  </si>
  <si>
    <t xml:space="preserve">应交税费 </t>
  </si>
  <si>
    <t xml:space="preserve">其他应付款 </t>
  </si>
  <si>
    <t xml:space="preserve">其中：应付利息 </t>
  </si>
  <si>
    <t xml:space="preserve">应付股利 </t>
  </si>
  <si>
    <t xml:space="preserve">应付手续费及佣金 </t>
  </si>
  <si>
    <t xml:space="preserve">应付分保账款 </t>
  </si>
  <si>
    <t xml:space="preserve">持有待售负债 </t>
  </si>
  <si>
    <t xml:space="preserve">一年内到期的非流动负债 </t>
  </si>
  <si>
    <t xml:space="preserve">其他流动负债 </t>
  </si>
  <si>
    <t xml:space="preserve">流动负债合计 </t>
  </si>
  <si>
    <r>
      <t>非流动负债：</t>
    </r>
    <r>
      <rPr>
        <sz val="10.5"/>
        <color theme="1"/>
        <rFont val="宋体"/>
        <family val="3"/>
        <charset val="134"/>
      </rPr>
      <t xml:space="preserve"> </t>
    </r>
  </si>
  <si>
    <t xml:space="preserve">长期借款 </t>
  </si>
  <si>
    <t xml:space="preserve">应付债券 </t>
  </si>
  <si>
    <t xml:space="preserve">其中：优先股 </t>
  </si>
  <si>
    <t xml:space="preserve">预计负债 </t>
  </si>
  <si>
    <t xml:space="preserve">递延收益 </t>
  </si>
  <si>
    <t xml:space="preserve">递延所得税负债 </t>
  </si>
  <si>
    <t xml:space="preserve">其他非流动负债 </t>
  </si>
  <si>
    <t xml:space="preserve">非流动负债合计 </t>
  </si>
  <si>
    <t xml:space="preserve">负债合计 </t>
  </si>
  <si>
    <r>
      <t>所有者权益（或股东权益）：</t>
    </r>
    <r>
      <rPr>
        <sz val="10.5"/>
        <color theme="1"/>
        <rFont val="宋体"/>
        <family val="3"/>
        <charset val="134"/>
      </rPr>
      <t xml:space="preserve"> </t>
    </r>
  </si>
  <si>
    <t xml:space="preserve">实收资本（或股本） </t>
  </si>
  <si>
    <t xml:space="preserve">其他权益工具 </t>
  </si>
  <si>
    <t xml:space="preserve">资本公积 </t>
  </si>
  <si>
    <t xml:space="preserve">减：库存股 </t>
  </si>
  <si>
    <t xml:space="preserve">其他综合收益 </t>
  </si>
  <si>
    <t xml:space="preserve">专项储备 </t>
  </si>
  <si>
    <t xml:space="preserve">盈余公积 </t>
  </si>
  <si>
    <t xml:space="preserve">一般风险准备 </t>
  </si>
  <si>
    <t xml:space="preserve">未分配利润 </t>
  </si>
  <si>
    <t xml:space="preserve">少数股东权益 </t>
  </si>
  <si>
    <t xml:space="preserve">2019 年度 </t>
  </si>
  <si>
    <t xml:space="preserve">2018 年度 </t>
  </si>
  <si>
    <t xml:space="preserve">一、营业总收入 </t>
  </si>
  <si>
    <t xml:space="preserve">其中：营业收入 </t>
  </si>
  <si>
    <t xml:space="preserve">利息收入 </t>
  </si>
  <si>
    <t xml:space="preserve">已赚保费 </t>
  </si>
  <si>
    <t xml:space="preserve">手续费及佣金收入 </t>
  </si>
  <si>
    <t xml:space="preserve">二、营业总成本 </t>
  </si>
  <si>
    <t xml:space="preserve">其中：营业成本 </t>
  </si>
  <si>
    <t xml:space="preserve">利息支出 </t>
  </si>
  <si>
    <t xml:space="preserve">手续费及佣金支出 </t>
  </si>
  <si>
    <t xml:space="preserve">退保金 </t>
  </si>
  <si>
    <t xml:space="preserve">赔付支出净额 </t>
  </si>
  <si>
    <t xml:space="preserve">提取保险责任准备金净额 </t>
  </si>
  <si>
    <t xml:space="preserve">保单红利支出 </t>
  </si>
  <si>
    <t xml:space="preserve">分保费用 </t>
  </si>
  <si>
    <t xml:space="preserve">税金及附加 </t>
  </si>
  <si>
    <t xml:space="preserve">销售费用 </t>
  </si>
  <si>
    <t xml:space="preserve">管理费用 </t>
  </si>
  <si>
    <t xml:space="preserve">研发费用 </t>
  </si>
  <si>
    <t xml:space="preserve">财务费用 </t>
  </si>
  <si>
    <t xml:space="preserve">其中：利息费用 </t>
  </si>
  <si>
    <t xml:space="preserve">加：其他收益 </t>
  </si>
  <si>
    <t xml:space="preserve">投资收益（损失以“－”号填列） </t>
  </si>
  <si>
    <t>以摊余成本计量的金融资产终</t>
  </si>
  <si>
    <t xml:space="preserve">止确认收益 </t>
  </si>
  <si>
    <t xml:space="preserve">汇兑收益（损失以“－”号填列） </t>
  </si>
  <si>
    <t xml:space="preserve">净敞口套期收益（损失以“-”号填列） </t>
  </si>
  <si>
    <t xml:space="preserve">信用减值损失（损失以“-”号填列） </t>
  </si>
  <si>
    <t xml:space="preserve">资产减值损失（损失以“-”号填列） </t>
  </si>
  <si>
    <t xml:space="preserve">资产处置收益（损失以“－”号填列） </t>
  </si>
  <si>
    <t xml:space="preserve">三、营业利润（亏损以“－”号填列） </t>
  </si>
  <si>
    <t xml:space="preserve">加：营业外收入 </t>
  </si>
  <si>
    <t xml:space="preserve">减：营业外支出 </t>
  </si>
  <si>
    <t xml:space="preserve">四、利润总额（亏损总额以“－”号填列） </t>
  </si>
  <si>
    <t xml:space="preserve">减：所得税费用 </t>
  </si>
  <si>
    <t xml:space="preserve">五、净利润（净亏损以“－”号填列） </t>
  </si>
  <si>
    <t>（一）按经营持续性分类</t>
  </si>
  <si>
    <t>（二）按所有权归属分类</t>
  </si>
  <si>
    <t xml:space="preserve">2.少数股东损益（净亏损以“-”号填列） </t>
  </si>
  <si>
    <t xml:space="preserve">六、其他综合收益的税后净额 </t>
  </si>
  <si>
    <t xml:space="preserve">1．不能重分类进损益的其他综合收益 </t>
  </si>
  <si>
    <t xml:space="preserve">（1）重新计量设定受益计划变动额 </t>
  </si>
  <si>
    <t xml:space="preserve">（2）权益法下不能转损益的其他综合收益 </t>
  </si>
  <si>
    <t xml:space="preserve">（3）其他权益工具投资公允价值变动 </t>
  </si>
  <si>
    <t xml:space="preserve">（4）企业自身信用风险公允价值变动 </t>
  </si>
  <si>
    <t xml:space="preserve">2．将重分类进损益的其他综合收益 </t>
  </si>
  <si>
    <t xml:space="preserve">（1）权益法下可转损益的其他综合收益 </t>
  </si>
  <si>
    <t xml:space="preserve">（2）其他债权投资公允价值变动 </t>
  </si>
  <si>
    <t xml:space="preserve">（3）可供出售金融资产公允价值变动损益 </t>
  </si>
  <si>
    <t xml:space="preserve">（6）其他债权投资信用减值准备 </t>
  </si>
  <si>
    <t xml:space="preserve">（8）外币财务报表折算差额 </t>
  </si>
  <si>
    <t xml:space="preserve">（9）其他 </t>
  </si>
  <si>
    <t xml:space="preserve">七、综合收益总额 </t>
  </si>
  <si>
    <t xml:space="preserve">（二）归属于少数股东的综合收益总额 </t>
  </si>
  <si>
    <t xml:space="preserve">八、每股收益： </t>
  </si>
  <si>
    <t xml:space="preserve">（一）基本每股收益(元/股) </t>
  </si>
  <si>
    <t xml:space="preserve">（二）稀释每股收益(元/股) </t>
  </si>
  <si>
    <t xml:space="preserve">以公允价值计量且其变动计入当期损益的金融资产 </t>
    <phoneticPr fontId="38" type="noConversion"/>
  </si>
  <si>
    <t xml:space="preserve">以公允价值计量且其变动计入当期损益的金融负债 </t>
    <phoneticPr fontId="38" type="noConversion"/>
  </si>
  <si>
    <t xml:space="preserve">归属于母公司所有者权益（或股东权益）合计 </t>
    <phoneticPr fontId="38" type="noConversion"/>
  </si>
  <si>
    <t xml:space="preserve">所有者权益（或股东权益）合计 </t>
    <phoneticPr fontId="38" type="noConversion"/>
  </si>
  <si>
    <t xml:space="preserve">负债和所有者权益（或股东权益）总计 </t>
    <phoneticPr fontId="38" type="noConversion"/>
  </si>
  <si>
    <t xml:space="preserve">其中：对联营企业和合营企业的投资收益 </t>
    <phoneticPr fontId="38" type="noConversion"/>
  </si>
  <si>
    <t xml:space="preserve">公允价值变动收益（损失以“－”号填列） </t>
    <phoneticPr fontId="38" type="noConversion"/>
  </si>
  <si>
    <t xml:space="preserve">1.持续经营净利润（净亏损以“－”号填列） </t>
    <phoneticPr fontId="38" type="noConversion"/>
  </si>
  <si>
    <t xml:space="preserve">2.终止经营净利润（净亏损以“－”号填列） </t>
    <phoneticPr fontId="38" type="noConversion"/>
  </si>
  <si>
    <t xml:space="preserve">1.归属于母公司股东的净利润（净亏损以“-”号填列） </t>
    <phoneticPr fontId="38" type="noConversion"/>
  </si>
  <si>
    <t xml:space="preserve">（一）归属母公司所有者的其他综合收益的税后净额 </t>
    <phoneticPr fontId="38" type="noConversion"/>
  </si>
  <si>
    <t xml:space="preserve">（4）金融资产重分类计入其他综合收益的金额 </t>
    <phoneticPr fontId="38" type="noConversion"/>
  </si>
  <si>
    <t xml:space="preserve">（5）持有至到期投资重分类为可供出售金融资产损益 </t>
    <phoneticPr fontId="38" type="noConversion"/>
  </si>
  <si>
    <t xml:space="preserve">（7）现金流量套期储备（现金流量套期损益的有效部分） </t>
    <phoneticPr fontId="38" type="noConversion"/>
  </si>
  <si>
    <t xml:space="preserve">（二）归属于少数股东的其他综合收益的税后净额 </t>
    <phoneticPr fontId="38" type="noConversion"/>
  </si>
  <si>
    <t xml:space="preserve">（一）归属于母公司所有者的综合收益总额 </t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</si>
</sst>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0.00_ "/>
    <numFmt numFmtId="177" formatCode="#,##0_ "/>
    <numFmt numFmtId="178" formatCode="#,##0.00_ "/>
  </numFmts>
  <fonts count="47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华文楷体"/>
      <family val="3"/>
      <charset val="134"/>
    </font>
    <font>
      <sz val="12"/>
      <name val="华文楷体"/>
      <family val="3"/>
      <charset val="134"/>
    </font>
    <font>
      <b/>
      <sz val="16"/>
      <name val="华文楷体"/>
      <family val="3"/>
      <charset val="134"/>
    </font>
    <font>
      <b/>
      <sz val="12"/>
      <color theme="1"/>
      <name val="华文楷体"/>
      <family val="3"/>
      <charset val="134"/>
    </font>
    <font>
      <b/>
      <sz val="12"/>
      <color rgb="FFFF0000"/>
      <name val="华文楷体"/>
      <family val="3"/>
      <charset val="134"/>
    </font>
    <font>
      <sz val="12"/>
      <color theme="1"/>
      <name val="华文楷体"/>
      <family val="3"/>
      <charset val="134"/>
    </font>
    <font>
      <sz val="12"/>
      <color rgb="FFFF0000"/>
      <name val="华文楷体"/>
      <family val="3"/>
      <charset val="134"/>
    </font>
    <font>
      <sz val="8"/>
      <name val="宋体"/>
      <family val="3"/>
      <charset val="134"/>
    </font>
    <font>
      <sz val="9"/>
      <name val="宋体"/>
      <family val="3"/>
      <charset val="134"/>
    </font>
    <font>
      <sz val="10"/>
      <color rgb="FF002060"/>
      <name val="宋体"/>
      <family val="3"/>
      <charset val="134"/>
    </font>
    <font>
      <b/>
      <sz val="10"/>
      <color rgb="FF002060"/>
      <name val="宋体"/>
      <family val="3"/>
      <charset val="134"/>
    </font>
    <font>
      <sz val="9"/>
      <color rgb="FF002060"/>
      <name val="宋体"/>
      <family val="3"/>
      <charset val="134"/>
    </font>
    <font>
      <b/>
      <sz val="9"/>
      <color rgb="FF002060"/>
      <name val="宋体"/>
      <family val="3"/>
      <charset val="134"/>
    </font>
    <font>
      <b/>
      <sz val="8"/>
      <name val="宋体"/>
      <family val="3"/>
      <charset val="134"/>
    </font>
    <font>
      <sz val="10"/>
      <color rgb="FF00B050"/>
      <name val="宋体"/>
      <family val="3"/>
      <charset val="134"/>
    </font>
    <font>
      <sz val="9"/>
      <color rgb="FF00B050"/>
      <name val="宋体"/>
      <family val="3"/>
      <charset val="134"/>
    </font>
    <font>
      <i/>
      <sz val="10"/>
      <color rgb="FF00B050"/>
      <name val="宋体"/>
      <family val="3"/>
      <charset val="134"/>
    </font>
    <font>
      <i/>
      <sz val="9"/>
      <color rgb="FF00B050"/>
      <name val="宋体"/>
      <family val="3"/>
      <charset val="134"/>
    </font>
    <font>
      <sz val="10"/>
      <color rgb="FF0070C0"/>
      <name val="宋体"/>
      <family val="3"/>
      <charset val="134"/>
    </font>
    <font>
      <sz val="9"/>
      <color rgb="FF0070C0"/>
      <name val="宋体"/>
      <family val="3"/>
      <charset val="134"/>
    </font>
    <font>
      <b/>
      <sz val="9"/>
      <color rgb="FFFF0000"/>
      <name val="宋体"/>
      <family val="3"/>
      <charset val="134"/>
    </font>
    <font>
      <sz val="9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9"/>
      <name val="宋体"/>
      <family val="3"/>
      <charset val="134"/>
    </font>
    <font>
      <i/>
      <sz val="9"/>
      <name val="宋体"/>
      <family val="3"/>
      <charset val="134"/>
    </font>
    <font>
      <sz val="9"/>
      <color rgb="FF545454"/>
      <name val="Microsoft YaHei"/>
      <charset val="134"/>
    </font>
    <font>
      <b/>
      <sz val="11"/>
      <name val="宋体"/>
      <family val="3"/>
      <charset val="134"/>
    </font>
    <font>
      <sz val="12"/>
      <color indexed="10"/>
      <name val="华文楷体"/>
      <family val="3"/>
      <charset val="134"/>
    </font>
    <font>
      <sz val="9"/>
      <color indexed="10"/>
      <name val="宋体"/>
      <family val="3"/>
      <charset val="134"/>
    </font>
    <font>
      <sz val="8"/>
      <color indexed="56"/>
      <name val="宋体"/>
      <family val="3"/>
      <charset val="134"/>
    </font>
    <font>
      <sz val="9"/>
      <name val="Tahoma"/>
      <family val="2"/>
    </font>
    <font>
      <b/>
      <sz val="9"/>
      <name val="Tahoma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Calibri"/>
      <family val="2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b/>
      <sz val="10.5"/>
      <color rgb="FFFF00FF"/>
      <name val="宋体"/>
      <family val="3"/>
      <charset val="134"/>
    </font>
    <font>
      <sz val="10.5"/>
      <color theme="1"/>
      <name val="Times New Roman"/>
      <family val="1"/>
    </font>
    <font>
      <sz val="10.5"/>
      <color rgb="FF008000"/>
      <name val="宋体"/>
      <family val="3"/>
      <charset val="134"/>
    </font>
    <font>
      <sz val="10.5"/>
      <color rgb="FFFF00FF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EEE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6" tint="0.7999206518753624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2">
    <xf numFmtId="0" fontId="0" fillId="0" borderId="0">
      <alignment vertical="center"/>
    </xf>
    <xf numFmtId="43" fontId="39" fillId="0" borderId="0" applyFont="0" applyFill="0" applyBorder="0" applyAlignment="0" applyProtection="0">
      <alignment vertical="center"/>
    </xf>
  </cellStyleXfs>
  <cellXfs count="258">
    <xf numFmtId="0" fontId="0" fillId="0" borderId="0" xfId="0">
      <alignment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/>
    </xf>
    <xf numFmtId="177" fontId="7" fillId="0" borderId="5" xfId="0" applyNumberFormat="1" applyFont="1" applyFill="1" applyBorder="1" applyAlignment="1">
      <alignment horizontal="left" vertical="center"/>
    </xf>
    <xf numFmtId="177" fontId="8" fillId="0" borderId="3" xfId="0" applyNumberFormat="1" applyFont="1" applyFill="1" applyBorder="1" applyAlignment="1">
      <alignment horizontal="left" vertical="center"/>
    </xf>
    <xf numFmtId="177" fontId="8" fillId="0" borderId="5" xfId="0" applyNumberFormat="1" applyFont="1" applyFill="1" applyBorder="1" applyAlignment="1">
      <alignment horizontal="left" vertical="center"/>
    </xf>
    <xf numFmtId="177" fontId="4" fillId="0" borderId="6" xfId="0" applyNumberFormat="1" applyFont="1" applyFill="1" applyBorder="1" applyAlignment="1">
      <alignment horizontal="left"/>
    </xf>
    <xf numFmtId="177" fontId="4" fillId="0" borderId="5" xfId="0" applyNumberFormat="1" applyFont="1" applyFill="1" applyBorder="1" applyAlignment="1">
      <alignment horizontal="left"/>
    </xf>
    <xf numFmtId="0" fontId="9" fillId="0" borderId="7" xfId="0" applyFont="1" applyFill="1" applyBorder="1" applyAlignment="1">
      <alignment horizontal="left" vertical="center"/>
    </xf>
    <xf numFmtId="177" fontId="9" fillId="0" borderId="8" xfId="0" applyNumberFormat="1" applyFont="1" applyFill="1" applyBorder="1" applyAlignment="1">
      <alignment horizontal="left" vertical="center"/>
    </xf>
    <xf numFmtId="177" fontId="10" fillId="0" borderId="9" xfId="0" applyNumberFormat="1" applyFont="1" applyFill="1" applyBorder="1" applyAlignment="1">
      <alignment horizontal="left" vertical="center"/>
    </xf>
    <xf numFmtId="177" fontId="10" fillId="0" borderId="8" xfId="0" applyNumberFormat="1" applyFont="1" applyFill="1" applyBorder="1" applyAlignment="1">
      <alignment horizontal="left" vertical="center"/>
    </xf>
    <xf numFmtId="177" fontId="5" fillId="0" borderId="0" xfId="0" applyNumberFormat="1" applyFont="1" applyFill="1" applyBorder="1" applyAlignment="1">
      <alignment horizontal="left"/>
    </xf>
    <xf numFmtId="177" fontId="5" fillId="0" borderId="8" xfId="0" applyNumberFormat="1" applyFont="1" applyFill="1" applyBorder="1" applyAlignment="1">
      <alignment horizontal="left"/>
    </xf>
    <xf numFmtId="0" fontId="7" fillId="0" borderId="7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/>
    </xf>
    <xf numFmtId="177" fontId="10" fillId="0" borderId="9" xfId="0" applyNumberFormat="1" applyFont="1" applyFill="1" applyBorder="1" applyAlignment="1">
      <alignment horizontal="left"/>
    </xf>
    <xf numFmtId="177" fontId="9" fillId="0" borderId="9" xfId="0" applyNumberFormat="1" applyFont="1" applyFill="1" applyBorder="1" applyAlignment="1">
      <alignment horizontal="left" vertical="center"/>
    </xf>
    <xf numFmtId="177" fontId="5" fillId="0" borderId="9" xfId="0" applyNumberFormat="1" applyFont="1" applyFill="1" applyBorder="1" applyAlignment="1">
      <alignment horizontal="left"/>
    </xf>
    <xf numFmtId="177" fontId="5" fillId="0" borderId="0" xfId="0" applyNumberFormat="1" applyFont="1" applyFill="1" applyAlignment="1">
      <alignment horizontal="left"/>
    </xf>
    <xf numFmtId="0" fontId="4" fillId="0" borderId="7" xfId="0" applyFont="1" applyFill="1" applyBorder="1" applyAlignment="1">
      <alignment horizontal="left"/>
    </xf>
    <xf numFmtId="0" fontId="7" fillId="3" borderId="7" xfId="0" applyFont="1" applyFill="1" applyBorder="1" applyAlignment="1">
      <alignment horizontal="left" vertical="center"/>
    </xf>
    <xf numFmtId="177" fontId="5" fillId="3" borderId="8" xfId="0" applyNumberFormat="1" applyFont="1" applyFill="1" applyBorder="1" applyAlignment="1">
      <alignment horizontal="left"/>
    </xf>
    <xf numFmtId="177" fontId="5" fillId="3" borderId="9" xfId="0" applyNumberFormat="1" applyFont="1" applyFill="1" applyBorder="1" applyAlignment="1">
      <alignment horizontal="left"/>
    </xf>
    <xf numFmtId="177" fontId="9" fillId="3" borderId="8" xfId="0" applyNumberFormat="1" applyFont="1" applyFill="1" applyBorder="1" applyAlignment="1">
      <alignment horizontal="left" vertical="center"/>
    </xf>
    <xf numFmtId="177" fontId="5" fillId="3" borderId="0" xfId="0" applyNumberFormat="1" applyFont="1" applyFill="1" applyBorder="1" applyAlignment="1">
      <alignment horizontal="left"/>
    </xf>
    <xf numFmtId="177" fontId="4" fillId="3" borderId="8" xfId="0" applyNumberFormat="1" applyFont="1" applyFill="1" applyBorder="1" applyAlignment="1">
      <alignment horizontal="left"/>
    </xf>
    <xf numFmtId="0" fontId="5" fillId="3" borderId="7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left"/>
    </xf>
    <xf numFmtId="0" fontId="4" fillId="2" borderId="11" xfId="0" applyFont="1" applyFill="1" applyBorder="1" applyAlignment="1">
      <alignment horizontal="center"/>
    </xf>
    <xf numFmtId="177" fontId="4" fillId="2" borderId="4" xfId="0" applyNumberFormat="1" applyFont="1" applyFill="1" applyBorder="1" applyAlignment="1">
      <alignment horizontal="center"/>
    </xf>
    <xf numFmtId="177" fontId="4" fillId="2" borderId="12" xfId="0" applyNumberFormat="1" applyFont="1" applyFill="1" applyBorder="1" applyAlignment="1">
      <alignment horizontal="center"/>
    </xf>
    <xf numFmtId="177" fontId="4" fillId="2" borderId="13" xfId="0" applyNumberFormat="1" applyFont="1" applyFill="1" applyBorder="1" applyAlignment="1">
      <alignment horizontal="center"/>
    </xf>
    <xf numFmtId="177" fontId="4" fillId="2" borderId="14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7" fontId="5" fillId="0" borderId="0" xfId="0" applyNumberFormat="1" applyFont="1" applyAlignment="1">
      <alignment horizontal="left" vertical="center"/>
    </xf>
    <xf numFmtId="177" fontId="5" fillId="0" borderId="0" xfId="0" applyNumberFormat="1" applyFont="1">
      <alignment vertical="center"/>
    </xf>
    <xf numFmtId="17" fontId="5" fillId="0" borderId="0" xfId="0" applyNumberFormat="1" applyFont="1" applyAlignment="1">
      <alignment horizontal="left" vertical="center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177" fontId="5" fillId="0" borderId="3" xfId="0" applyNumberFormat="1" applyFont="1" applyFill="1" applyBorder="1" applyAlignment="1">
      <alignment horizontal="left"/>
    </xf>
    <xf numFmtId="177" fontId="5" fillId="0" borderId="5" xfId="0" applyNumberFormat="1" applyFont="1" applyBorder="1" applyAlignment="1">
      <alignment horizontal="left" vertical="center"/>
    </xf>
    <xf numFmtId="177" fontId="5" fillId="0" borderId="2" xfId="0" applyNumberFormat="1" applyFont="1" applyBorder="1" applyAlignment="1">
      <alignment horizontal="left" vertical="center"/>
    </xf>
    <xf numFmtId="177" fontId="5" fillId="0" borderId="8" xfId="0" applyNumberFormat="1" applyFont="1" applyBorder="1" applyAlignment="1">
      <alignment horizontal="left" vertical="center"/>
    </xf>
    <xf numFmtId="177" fontId="5" fillId="0" borderId="7" xfId="0" applyNumberFormat="1" applyFont="1" applyBorder="1" applyAlignment="1">
      <alignment horizontal="left" vertical="center"/>
    </xf>
    <xf numFmtId="177" fontId="10" fillId="0" borderId="0" xfId="0" applyNumberFormat="1" applyFont="1" applyAlignment="1">
      <alignment horizontal="left" vertical="center"/>
    </xf>
    <xf numFmtId="177" fontId="5" fillId="0" borderId="8" xfId="0" applyNumberFormat="1" applyFont="1" applyFill="1" applyBorder="1" applyAlignment="1">
      <alignment horizontal="left" vertical="center"/>
    </xf>
    <xf numFmtId="177" fontId="5" fillId="0" borderId="0" xfId="0" applyNumberFormat="1" applyFont="1" applyFill="1" applyAlignment="1">
      <alignment horizontal="left" vertical="center"/>
    </xf>
    <xf numFmtId="177" fontId="10" fillId="0" borderId="0" xfId="0" applyNumberFormat="1" applyFont="1" applyFill="1" applyAlignment="1">
      <alignment horizontal="left" vertical="center"/>
    </xf>
    <xf numFmtId="0" fontId="5" fillId="0" borderId="0" xfId="0" applyFont="1" applyFill="1">
      <alignment vertical="center"/>
    </xf>
    <xf numFmtId="177" fontId="4" fillId="2" borderId="12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177" fontId="4" fillId="2" borderId="14" xfId="0" applyNumberFormat="1" applyFont="1" applyFill="1" applyBorder="1" applyAlignment="1">
      <alignment horizontal="center" vertical="center"/>
    </xf>
    <xf numFmtId="177" fontId="4" fillId="2" borderId="15" xfId="0" applyNumberFormat="1" applyFont="1" applyFill="1" applyBorder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0" fontId="1" fillId="0" borderId="0" xfId="0" applyFont="1" applyFill="1" applyBorder="1" applyAlignment="1"/>
    <xf numFmtId="177" fontId="1" fillId="0" borderId="0" xfId="0" applyNumberFormat="1" applyFont="1" applyFill="1" applyBorder="1" applyAlignment="1"/>
    <xf numFmtId="178" fontId="11" fillId="0" borderId="0" xfId="0" applyNumberFormat="1" applyFont="1" applyFill="1" applyBorder="1" applyAlignment="1"/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2" fillId="0" borderId="9" xfId="0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177" fontId="2" fillId="0" borderId="0" xfId="0" applyNumberFormat="1" applyFont="1" applyFill="1" applyBorder="1" applyAlignment="1">
      <alignment horizontal="left"/>
    </xf>
    <xf numFmtId="177" fontId="2" fillId="0" borderId="8" xfId="0" applyNumberFormat="1" applyFont="1" applyFill="1" applyBorder="1" applyAlignment="1">
      <alignment horizontal="left"/>
    </xf>
    <xf numFmtId="9" fontId="2" fillId="0" borderId="8" xfId="0" applyNumberFormat="1" applyFont="1" applyFill="1" applyBorder="1" applyAlignment="1">
      <alignment horizontal="left"/>
    </xf>
    <xf numFmtId="0" fontId="2" fillId="0" borderId="16" xfId="0" applyFont="1" applyFill="1" applyBorder="1" applyAlignment="1">
      <alignment horizontal="left"/>
    </xf>
    <xf numFmtId="177" fontId="2" fillId="0" borderId="17" xfId="0" applyNumberFormat="1" applyFont="1" applyFill="1" applyBorder="1" applyAlignment="1">
      <alignment horizontal="left"/>
    </xf>
    <xf numFmtId="177" fontId="2" fillId="0" borderId="18" xfId="0" applyNumberFormat="1" applyFont="1" applyFill="1" applyBorder="1" applyAlignment="1">
      <alignment horizontal="left"/>
    </xf>
    <xf numFmtId="0" fontId="3" fillId="0" borderId="19" xfId="0" applyFont="1" applyFill="1" applyBorder="1" applyAlignment="1">
      <alignment horizontal="left"/>
    </xf>
    <xf numFmtId="177" fontId="1" fillId="0" borderId="20" xfId="0" applyNumberFormat="1" applyFont="1" applyFill="1" applyBorder="1" applyAlignment="1">
      <alignment horizontal="left"/>
    </xf>
    <xf numFmtId="177" fontId="1" fillId="0" borderId="20" xfId="0" applyNumberFormat="1" applyFont="1" applyFill="1" applyBorder="1" applyAlignment="1"/>
    <xf numFmtId="177" fontId="1" fillId="0" borderId="21" xfId="0" applyNumberFormat="1" applyFont="1" applyFill="1" applyBorder="1" applyAlignment="1">
      <alignment horizontal="center"/>
    </xf>
    <xf numFmtId="0" fontId="13" fillId="5" borderId="9" xfId="0" applyFont="1" applyFill="1" applyBorder="1" applyAlignment="1">
      <alignment horizontal="left" vertical="center"/>
    </xf>
    <xf numFmtId="177" fontId="13" fillId="5" borderId="0" xfId="0" applyNumberFormat="1" applyFont="1" applyFill="1" applyBorder="1" applyAlignment="1">
      <alignment horizontal="left" vertical="center" wrapText="1"/>
    </xf>
    <xf numFmtId="177" fontId="13" fillId="5" borderId="8" xfId="0" applyNumberFormat="1" applyFont="1" applyFill="1" applyBorder="1" applyAlignment="1">
      <alignment horizontal="left" vertical="center"/>
    </xf>
    <xf numFmtId="0" fontId="14" fillId="6" borderId="19" xfId="0" applyFont="1" applyFill="1" applyBorder="1" applyAlignment="1">
      <alignment horizontal="left" vertical="center"/>
    </xf>
    <xf numFmtId="177" fontId="14" fillId="6" borderId="20" xfId="0" applyNumberFormat="1" applyFont="1" applyFill="1" applyBorder="1" applyAlignment="1">
      <alignment horizontal="left" vertical="center" wrapText="1"/>
    </xf>
    <xf numFmtId="177" fontId="14" fillId="6" borderId="21" xfId="0" applyNumberFormat="1" applyFont="1" applyFill="1" applyBorder="1" applyAlignment="1">
      <alignment horizontal="left" vertical="center"/>
    </xf>
    <xf numFmtId="0" fontId="14" fillId="6" borderId="9" xfId="0" applyFont="1" applyFill="1" applyBorder="1" applyAlignment="1">
      <alignment horizontal="left" vertical="center"/>
    </xf>
    <xf numFmtId="177" fontId="14" fillId="6" borderId="0" xfId="0" applyNumberFormat="1" applyFont="1" applyFill="1" applyBorder="1" applyAlignment="1">
      <alignment horizontal="left" vertical="center" wrapText="1"/>
    </xf>
    <xf numFmtId="177" fontId="14" fillId="6" borderId="8" xfId="0" applyNumberFormat="1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177" fontId="12" fillId="0" borderId="0" xfId="0" applyNumberFormat="1" applyFont="1" applyFill="1" applyBorder="1" applyAlignment="1">
      <alignment horizontal="left"/>
    </xf>
    <xf numFmtId="177" fontId="15" fillId="0" borderId="8" xfId="0" applyNumberFormat="1" applyFont="1" applyFill="1" applyBorder="1" applyAlignment="1">
      <alignment horizontal="left" vertical="center"/>
    </xf>
    <xf numFmtId="0" fontId="13" fillId="0" borderId="9" xfId="0" applyFont="1" applyFill="1" applyBorder="1" applyAlignment="1">
      <alignment horizontal="left" vertical="center"/>
    </xf>
    <xf numFmtId="9" fontId="12" fillId="0" borderId="0" xfId="0" applyNumberFormat="1" applyFont="1" applyFill="1" applyBorder="1" applyAlignment="1">
      <alignment horizontal="left"/>
    </xf>
    <xf numFmtId="177" fontId="15" fillId="0" borderId="0" xfId="0" applyNumberFormat="1" applyFont="1" applyFill="1" applyBorder="1" applyAlignment="1">
      <alignment horizontal="left" vertical="center" wrapText="1"/>
    </xf>
    <xf numFmtId="178" fontId="11" fillId="0" borderId="0" xfId="0" applyNumberFormat="1" applyFont="1" applyFill="1" applyBorder="1" applyAlignment="1">
      <alignment vertical="center"/>
    </xf>
    <xf numFmtId="177" fontId="15" fillId="6" borderId="0" xfId="0" applyNumberFormat="1" applyFont="1" applyFill="1" applyBorder="1" applyAlignment="1">
      <alignment horizontal="left" vertical="center" wrapText="1"/>
    </xf>
    <xf numFmtId="177" fontId="16" fillId="6" borderId="0" xfId="0" applyNumberFormat="1" applyFont="1" applyFill="1" applyBorder="1" applyAlignment="1">
      <alignment horizontal="left" vertical="center" wrapText="1"/>
    </xf>
    <xf numFmtId="177" fontId="16" fillId="6" borderId="8" xfId="0" applyNumberFormat="1" applyFont="1" applyFill="1" applyBorder="1" applyAlignment="1">
      <alignment horizontal="left" vertical="center"/>
    </xf>
    <xf numFmtId="177" fontId="15" fillId="3" borderId="8" xfId="0" applyNumberFormat="1" applyFont="1" applyFill="1" applyBorder="1" applyAlignment="1">
      <alignment horizontal="left" vertical="center"/>
    </xf>
    <xf numFmtId="178" fontId="17" fillId="3" borderId="0" xfId="0" applyNumberFormat="1" applyFont="1" applyFill="1" applyBorder="1" applyAlignment="1">
      <alignment vertical="center"/>
    </xf>
    <xf numFmtId="0" fontId="18" fillId="0" borderId="9" xfId="0" applyFont="1" applyFill="1" applyBorder="1" applyAlignment="1">
      <alignment horizontal="left" vertical="center"/>
    </xf>
    <xf numFmtId="177" fontId="19" fillId="0" borderId="0" xfId="0" applyNumberFormat="1" applyFont="1" applyFill="1" applyBorder="1" applyAlignment="1">
      <alignment horizontal="left" vertical="center" wrapText="1"/>
    </xf>
    <xf numFmtId="177" fontId="19" fillId="0" borderId="0" xfId="0" applyNumberFormat="1" applyFont="1" applyFill="1" applyBorder="1" applyAlignment="1">
      <alignment horizontal="center" vertical="center" wrapText="1"/>
    </xf>
    <xf numFmtId="177" fontId="19" fillId="0" borderId="8" xfId="0" applyNumberFormat="1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left" vertical="center"/>
    </xf>
    <xf numFmtId="177" fontId="21" fillId="0" borderId="0" xfId="0" applyNumberFormat="1" applyFont="1" applyFill="1" applyBorder="1" applyAlignment="1">
      <alignment horizontal="left" vertical="center" wrapText="1"/>
    </xf>
    <xf numFmtId="177" fontId="21" fillId="0" borderId="0" xfId="0" applyNumberFormat="1" applyFont="1" applyFill="1" applyBorder="1" applyAlignment="1">
      <alignment horizontal="center" vertical="center" wrapText="1"/>
    </xf>
    <xf numFmtId="177" fontId="21" fillId="0" borderId="8" xfId="0" applyNumberFormat="1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left" vertical="center"/>
    </xf>
    <xf numFmtId="177" fontId="23" fillId="0" borderId="0" xfId="0" applyNumberFormat="1" applyFont="1" applyFill="1" applyBorder="1" applyAlignment="1">
      <alignment horizontal="left" vertical="center" wrapText="1"/>
    </xf>
    <xf numFmtId="177" fontId="23" fillId="0" borderId="8" xfId="0" applyNumberFormat="1" applyFont="1" applyFill="1" applyBorder="1" applyAlignment="1">
      <alignment horizontal="left" vertical="center"/>
    </xf>
    <xf numFmtId="177" fontId="24" fillId="6" borderId="0" xfId="0" applyNumberFormat="1" applyFont="1" applyFill="1" applyBorder="1" applyAlignment="1">
      <alignment horizontal="left" vertical="center" wrapText="1"/>
    </xf>
    <xf numFmtId="177" fontId="25" fillId="0" borderId="0" xfId="0" applyNumberFormat="1" applyFont="1" applyFill="1" applyBorder="1" applyAlignment="1"/>
    <xf numFmtId="177" fontId="25" fillId="0" borderId="0" xfId="0" applyNumberFormat="1" applyFont="1" applyFill="1" applyBorder="1" applyAlignment="1">
      <alignment horizontal="left" vertical="center" wrapText="1"/>
    </xf>
    <xf numFmtId="0" fontId="26" fillId="0" borderId="9" xfId="0" applyFont="1" applyFill="1" applyBorder="1" applyAlignment="1">
      <alignment horizontal="left" vertical="center"/>
    </xf>
    <xf numFmtId="177" fontId="19" fillId="0" borderId="8" xfId="0" applyNumberFormat="1" applyFont="1" applyFill="1" applyBorder="1" applyAlignment="1">
      <alignment horizontal="left" vertical="center"/>
    </xf>
    <xf numFmtId="0" fontId="13" fillId="0" borderId="16" xfId="0" applyFont="1" applyFill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left" vertical="center" wrapText="1"/>
    </xf>
    <xf numFmtId="177" fontId="15" fillId="0" borderId="18" xfId="0" applyNumberFormat="1" applyFont="1" applyFill="1" applyBorder="1" applyAlignment="1">
      <alignment horizontal="left" vertical="center"/>
    </xf>
    <xf numFmtId="177" fontId="16" fillId="3" borderId="20" xfId="0" applyNumberFormat="1" applyFont="1" applyFill="1" applyBorder="1" applyAlignment="1">
      <alignment horizontal="center" vertical="center"/>
    </xf>
    <xf numFmtId="177" fontId="14" fillId="3" borderId="20" xfId="0" applyNumberFormat="1" applyFont="1" applyFill="1" applyBorder="1" applyAlignment="1">
      <alignment horizontal="left" vertical="center"/>
    </xf>
    <xf numFmtId="177" fontId="14" fillId="3" borderId="21" xfId="0" applyNumberFormat="1" applyFont="1" applyFill="1" applyBorder="1" applyAlignment="1">
      <alignment horizontal="left" vertical="center"/>
    </xf>
    <xf numFmtId="0" fontId="16" fillId="3" borderId="0" xfId="0" applyFont="1" applyFill="1" applyBorder="1" applyAlignment="1">
      <alignment horizontal="left" vertical="center"/>
    </xf>
    <xf numFmtId="177" fontId="14" fillId="3" borderId="0" xfId="0" applyNumberFormat="1" applyFont="1" applyFill="1" applyBorder="1" applyAlignment="1">
      <alignment horizontal="left" vertical="center"/>
    </xf>
    <xf numFmtId="177" fontId="14" fillId="3" borderId="8" xfId="0" applyNumberFormat="1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left" vertical="center"/>
    </xf>
    <xf numFmtId="177" fontId="14" fillId="0" borderId="8" xfId="0" applyNumberFormat="1" applyFont="1" applyFill="1" applyBorder="1" applyAlignment="1">
      <alignment horizontal="left" vertical="center"/>
    </xf>
    <xf numFmtId="177" fontId="15" fillId="0" borderId="0" xfId="0" applyNumberFormat="1" applyFont="1" applyFill="1" applyBorder="1" applyAlignment="1">
      <alignment horizontal="center" vertical="center"/>
    </xf>
    <xf numFmtId="177" fontId="15" fillId="0" borderId="0" xfId="0" applyNumberFormat="1" applyFont="1" applyFill="1" applyBorder="1" applyAlignment="1">
      <alignment horizontal="left" vertical="center"/>
    </xf>
    <xf numFmtId="177" fontId="25" fillId="0" borderId="8" xfId="0" applyNumberFormat="1" applyFont="1" applyFill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left" vertical="center"/>
    </xf>
    <xf numFmtId="177" fontId="14" fillId="6" borderId="0" xfId="0" applyNumberFormat="1" applyFont="1" applyFill="1" applyBorder="1" applyAlignment="1">
      <alignment horizontal="left" vertical="center"/>
    </xf>
    <xf numFmtId="10" fontId="11" fillId="0" borderId="0" xfId="0" applyNumberFormat="1" applyFont="1" applyFill="1" applyBorder="1" applyAlignment="1"/>
    <xf numFmtId="0" fontId="13" fillId="6" borderId="9" xfId="0" applyFont="1" applyFill="1" applyBorder="1" applyAlignment="1">
      <alignment horizontal="left" vertical="center"/>
    </xf>
    <xf numFmtId="177" fontId="13" fillId="6" borderId="0" xfId="0" applyNumberFormat="1" applyFont="1" applyFill="1" applyBorder="1" applyAlignment="1">
      <alignment horizontal="left" vertical="center"/>
    </xf>
    <xf numFmtId="0" fontId="3" fillId="6" borderId="11" xfId="0" applyFont="1" applyFill="1" applyBorder="1" applyAlignment="1"/>
    <xf numFmtId="177" fontId="25" fillId="6" borderId="14" xfId="0" applyNumberFormat="1" applyFont="1" applyFill="1" applyBorder="1" applyAlignment="1"/>
    <xf numFmtId="177" fontId="3" fillId="6" borderId="14" xfId="0" applyNumberFormat="1" applyFont="1" applyFill="1" applyBorder="1" applyAlignment="1">
      <alignment horizontal="center"/>
    </xf>
    <xf numFmtId="177" fontId="1" fillId="6" borderId="15" xfId="0" applyNumberFormat="1" applyFont="1" applyFill="1" applyBorder="1" applyAlignment="1"/>
    <xf numFmtId="0" fontId="27" fillId="0" borderId="0" xfId="0" applyFont="1" applyFill="1" applyBorder="1" applyAlignment="1">
      <alignment horizontal="center"/>
    </xf>
    <xf numFmtId="10" fontId="27" fillId="0" borderId="0" xfId="0" applyNumberFormat="1" applyFont="1" applyFill="1" applyBorder="1" applyAlignment="1">
      <alignment horizontal="left"/>
    </xf>
    <xf numFmtId="177" fontId="1" fillId="0" borderId="0" xfId="0" applyNumberFormat="1" applyFont="1" applyFill="1" applyBorder="1" applyAlignment="1">
      <alignment horizontal="center"/>
    </xf>
    <xf numFmtId="10" fontId="1" fillId="0" borderId="0" xfId="0" applyNumberFormat="1" applyFont="1" applyFill="1" applyBorder="1" applyAlignment="1">
      <alignment horizontal="left"/>
    </xf>
    <xf numFmtId="0" fontId="28" fillId="0" borderId="0" xfId="0" applyFont="1" applyFill="1" applyBorder="1" applyAlignment="1"/>
    <xf numFmtId="177" fontId="28" fillId="0" borderId="0" xfId="0" applyNumberFormat="1" applyFont="1" applyFill="1" applyBorder="1" applyAlignment="1"/>
    <xf numFmtId="0" fontId="25" fillId="0" borderId="0" xfId="0" applyFont="1" applyFill="1" applyBorder="1" applyAlignment="1"/>
    <xf numFmtId="0" fontId="29" fillId="5" borderId="6" xfId="0" applyFont="1" applyFill="1" applyBorder="1" applyAlignment="1">
      <alignment horizontal="right"/>
    </xf>
    <xf numFmtId="0" fontId="12" fillId="5" borderId="6" xfId="0" applyFont="1" applyFill="1" applyBorder="1" applyAlignment="1">
      <alignment horizontal="left"/>
    </xf>
    <xf numFmtId="0" fontId="29" fillId="5" borderId="14" xfId="0" applyFont="1" applyFill="1" applyBorder="1" applyAlignment="1">
      <alignment horizontal="right"/>
    </xf>
    <xf numFmtId="0" fontId="12" fillId="5" borderId="14" xfId="0" applyFont="1" applyFill="1" applyBorder="1" applyAlignment="1">
      <alignment horizontal="left"/>
    </xf>
    <xf numFmtId="0" fontId="29" fillId="7" borderId="1" xfId="0" applyNumberFormat="1" applyFont="1" applyFill="1" applyBorder="1" applyAlignment="1">
      <alignment horizontal="center"/>
    </xf>
    <xf numFmtId="0" fontId="29" fillId="7" borderId="7" xfId="0" applyFont="1" applyFill="1" applyBorder="1" applyAlignment="1">
      <alignment horizontal="left"/>
    </xf>
    <xf numFmtId="0" fontId="12" fillId="6" borderId="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7" borderId="7" xfId="0" applyNumberFormat="1" applyFont="1" applyFill="1" applyBorder="1" applyAlignment="1">
      <alignment horizontal="left"/>
    </xf>
    <xf numFmtId="9" fontId="12" fillId="6" borderId="0" xfId="0" applyNumberFormat="1" applyFont="1" applyFill="1" applyBorder="1" applyAlignment="1">
      <alignment horizontal="center"/>
    </xf>
    <xf numFmtId="10" fontId="12" fillId="7" borderId="0" xfId="0" applyNumberFormat="1" applyFont="1" applyFill="1" applyBorder="1" applyAlignment="1">
      <alignment horizontal="center"/>
    </xf>
    <xf numFmtId="10" fontId="12" fillId="7" borderId="0" xfId="0" applyNumberFormat="1" applyFont="1" applyFill="1" applyBorder="1" applyAlignment="1" applyProtection="1">
      <alignment horizontal="center"/>
    </xf>
    <xf numFmtId="178" fontId="12" fillId="6" borderId="0" xfId="0" applyNumberFormat="1" applyFont="1" applyFill="1" applyBorder="1" applyAlignment="1">
      <alignment horizontal="center"/>
    </xf>
    <xf numFmtId="178" fontId="12" fillId="7" borderId="0" xfId="0" applyNumberFormat="1" applyFont="1" applyFill="1" applyBorder="1" applyAlignment="1">
      <alignment horizontal="center"/>
    </xf>
    <xf numFmtId="178" fontId="29" fillId="7" borderId="7" xfId="0" applyNumberFormat="1" applyFont="1" applyFill="1" applyBorder="1" applyAlignment="1">
      <alignment horizontal="left"/>
    </xf>
    <xf numFmtId="178" fontId="12" fillId="7" borderId="7" xfId="0" applyNumberFormat="1" applyFont="1" applyFill="1" applyBorder="1" applyAlignment="1">
      <alignment horizontal="left"/>
    </xf>
    <xf numFmtId="178" fontId="29" fillId="7" borderId="10" xfId="0" applyNumberFormat="1" applyFont="1" applyFill="1" applyBorder="1" applyAlignment="1">
      <alignment horizontal="center"/>
    </xf>
    <xf numFmtId="178" fontId="29" fillId="6" borderId="14" xfId="0" applyNumberFormat="1" applyFont="1" applyFill="1" applyBorder="1" applyAlignment="1">
      <alignment horizontal="center"/>
    </xf>
    <xf numFmtId="178" fontId="29" fillId="7" borderId="14" xfId="0" applyNumberFormat="1" applyFont="1" applyFill="1" applyBorder="1" applyAlignment="1">
      <alignment horizontal="center"/>
    </xf>
    <xf numFmtId="0" fontId="29" fillId="7" borderId="2" xfId="0" applyNumberFormat="1" applyFont="1" applyFill="1" applyBorder="1" applyAlignment="1">
      <alignment horizontal="left"/>
    </xf>
    <xf numFmtId="178" fontId="12" fillId="6" borderId="6" xfId="0" applyNumberFormat="1" applyFont="1" applyFill="1" applyBorder="1" applyAlignment="1">
      <alignment horizontal="center"/>
    </xf>
    <xf numFmtId="178" fontId="12" fillId="7" borderId="6" xfId="0" applyNumberFormat="1" applyFont="1" applyFill="1" applyBorder="1" applyAlignment="1">
      <alignment horizontal="center"/>
    </xf>
    <xf numFmtId="0" fontId="12" fillId="7" borderId="7" xfId="0" applyFont="1" applyFill="1" applyBorder="1" applyAlignment="1"/>
    <xf numFmtId="178" fontId="30" fillId="6" borderId="0" xfId="0" applyNumberFormat="1" applyFont="1" applyFill="1" applyBorder="1" applyAlignment="1">
      <alignment horizontal="right"/>
    </xf>
    <xf numFmtId="178" fontId="12" fillId="7" borderId="0" xfId="0" applyNumberFormat="1" applyFont="1" applyFill="1" applyBorder="1" applyAlignment="1"/>
    <xf numFmtId="0" fontId="12" fillId="5" borderId="10" xfId="0" applyFont="1" applyFill="1" applyBorder="1" applyAlignment="1"/>
    <xf numFmtId="0" fontId="12" fillId="3" borderId="2" xfId="0" applyFont="1" applyFill="1" applyBorder="1" applyAlignment="1">
      <alignment horizontal="center"/>
    </xf>
    <xf numFmtId="0" fontId="31" fillId="3" borderId="6" xfId="0" applyFont="1" applyFill="1" applyBorder="1" applyAlignment="1"/>
    <xf numFmtId="0" fontId="12" fillId="3" borderId="10" xfId="0" applyFont="1" applyFill="1" applyBorder="1" applyAlignment="1">
      <alignment horizontal="center"/>
    </xf>
    <xf numFmtId="0" fontId="12" fillId="3" borderId="14" xfId="0" applyFont="1" applyFill="1" applyBorder="1" applyAlignment="1">
      <alignment horizontal="center"/>
    </xf>
    <xf numFmtId="178" fontId="12" fillId="0" borderId="0" xfId="0" applyNumberFormat="1" applyFont="1" applyFill="1" applyBorder="1" applyAlignment="1"/>
    <xf numFmtId="0" fontId="32" fillId="0" borderId="0" xfId="0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center"/>
    </xf>
    <xf numFmtId="178" fontId="27" fillId="0" borderId="0" xfId="0" applyNumberFormat="1" applyFont="1" applyFill="1" applyBorder="1" applyAlignment="1">
      <alignment horizontal="center"/>
    </xf>
    <xf numFmtId="10" fontId="32" fillId="0" borderId="0" xfId="0" applyNumberFormat="1" applyFont="1" applyFill="1" applyBorder="1" applyAlignment="1">
      <alignment horizontal="center"/>
    </xf>
    <xf numFmtId="0" fontId="27" fillId="0" borderId="0" xfId="0" applyFont="1" applyFill="1" applyBorder="1" applyAlignment="1"/>
    <xf numFmtId="178" fontId="27" fillId="0" borderId="0" xfId="0" applyNumberFormat="1" applyFont="1" applyFill="1" applyBorder="1" applyAlignment="1"/>
    <xf numFmtId="178" fontId="32" fillId="0" borderId="0" xfId="0" applyNumberFormat="1" applyFont="1" applyFill="1" applyBorder="1" applyAlignment="1"/>
    <xf numFmtId="178" fontId="29" fillId="0" borderId="0" xfId="0" applyNumberFormat="1" applyFont="1" applyFill="1" applyBorder="1" applyAlignment="1">
      <alignment horizontal="right"/>
    </xf>
    <xf numFmtId="178" fontId="29" fillId="0" borderId="0" xfId="0" applyNumberFormat="1" applyFont="1" applyFill="1" applyBorder="1" applyAlignment="1"/>
    <xf numFmtId="178" fontId="12" fillId="3" borderId="0" xfId="0" applyNumberFormat="1" applyFont="1" applyFill="1" applyBorder="1" applyAlignment="1"/>
    <xf numFmtId="10" fontId="12" fillId="6" borderId="0" xfId="0" applyNumberFormat="1" applyFont="1" applyFill="1" applyBorder="1" applyAlignment="1">
      <alignment horizontal="center"/>
    </xf>
    <xf numFmtId="178" fontId="12" fillId="6" borderId="0" xfId="0" applyNumberFormat="1" applyFont="1" applyFill="1" applyBorder="1" applyAlignment="1"/>
    <xf numFmtId="0" fontId="12" fillId="5" borderId="5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5" borderId="15" xfId="0" applyFont="1" applyFill="1" applyBorder="1" applyAlignment="1">
      <alignment horizontal="left"/>
    </xf>
    <xf numFmtId="0" fontId="29" fillId="6" borderId="4" xfId="0" applyNumberFormat="1" applyFont="1" applyFill="1" applyBorder="1" applyAlignment="1">
      <alignment horizontal="center"/>
    </xf>
    <xf numFmtId="0" fontId="12" fillId="6" borderId="8" xfId="0" applyFont="1" applyFill="1" applyBorder="1" applyAlignment="1"/>
    <xf numFmtId="10" fontId="12" fillId="6" borderId="8" xfId="0" applyNumberFormat="1" applyFont="1" applyFill="1" applyBorder="1" applyAlignment="1">
      <alignment horizontal="center"/>
    </xf>
    <xf numFmtId="178" fontId="29" fillId="6" borderId="8" xfId="0" applyNumberFormat="1" applyFont="1" applyFill="1" applyBorder="1" applyAlignment="1">
      <alignment horizontal="center"/>
    </xf>
    <xf numFmtId="178" fontId="12" fillId="6" borderId="8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178" fontId="29" fillId="6" borderId="15" xfId="0" applyNumberFormat="1" applyFont="1" applyFill="1" applyBorder="1" applyAlignment="1">
      <alignment horizontal="center"/>
    </xf>
    <xf numFmtId="178" fontId="12" fillId="6" borderId="5" xfId="0" applyNumberFormat="1" applyFont="1" applyFill="1" applyBorder="1" applyAlignment="1">
      <alignment horizontal="center"/>
    </xf>
    <xf numFmtId="178" fontId="12" fillId="6" borderId="8" xfId="0" applyNumberFormat="1" applyFont="1" applyFill="1" applyBorder="1" applyAlignment="1"/>
    <xf numFmtId="0" fontId="12" fillId="5" borderId="0" xfId="0" applyFont="1" applyFill="1" applyBorder="1" applyAlignment="1"/>
    <xf numFmtId="177" fontId="5" fillId="0" borderId="6" xfId="0" applyNumberFormat="1" applyFont="1" applyFill="1" applyBorder="1" applyAlignment="1">
      <alignment horizontal="left"/>
    </xf>
    <xf numFmtId="177" fontId="5" fillId="0" borderId="5" xfId="0" applyNumberFormat="1" applyFont="1" applyFill="1" applyBorder="1" applyAlignment="1">
      <alignment horizontal="left"/>
    </xf>
    <xf numFmtId="43" fontId="0" fillId="0" borderId="0" xfId="1" applyFont="1">
      <alignment vertical="center"/>
    </xf>
    <xf numFmtId="43" fontId="0" fillId="0" borderId="0" xfId="1" applyFont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43" fontId="41" fillId="0" borderId="1" xfId="1" applyFont="1" applyBorder="1" applyAlignment="1">
      <alignment vertical="center"/>
    </xf>
    <xf numFmtId="0" fontId="43" fillId="0" borderId="1" xfId="0" applyFont="1" applyBorder="1" applyAlignment="1">
      <alignment vertical="center"/>
    </xf>
    <xf numFmtId="43" fontId="43" fillId="0" borderId="1" xfId="1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43" fontId="44" fillId="0" borderId="1" xfId="1" applyFont="1" applyBorder="1" applyAlignment="1">
      <alignment horizontal="left" vertical="center"/>
    </xf>
    <xf numFmtId="43" fontId="40" fillId="0" borderId="1" xfId="1" applyFont="1" applyBorder="1" applyAlignment="1">
      <alignment vertical="center"/>
    </xf>
    <xf numFmtId="0" fontId="42" fillId="0" borderId="1" xfId="0" applyFont="1" applyBorder="1" applyAlignment="1">
      <alignment horizontal="left" vertical="center"/>
    </xf>
    <xf numFmtId="0" fontId="45" fillId="0" borderId="1" xfId="0" applyFont="1" applyBorder="1" applyAlignment="1">
      <alignment vertical="center"/>
    </xf>
    <xf numFmtId="0" fontId="42" fillId="0" borderId="1" xfId="0" applyFont="1" applyBorder="1" applyAlignment="1">
      <alignment vertical="center" wrapText="1"/>
    </xf>
    <xf numFmtId="43" fontId="40" fillId="0" borderId="1" xfId="1" applyFont="1" applyBorder="1" applyAlignment="1">
      <alignment vertical="center" wrapText="1"/>
    </xf>
    <xf numFmtId="43" fontId="44" fillId="0" borderId="1" xfId="1" applyFont="1" applyBorder="1" applyAlignment="1">
      <alignment horizontal="left" vertical="center" wrapText="1" indent="2"/>
    </xf>
    <xf numFmtId="43" fontId="44" fillId="0" borderId="1" xfId="1" applyFont="1" applyBorder="1" applyAlignment="1">
      <alignment horizontal="left" vertical="center" wrapText="1" indent="3"/>
    </xf>
    <xf numFmtId="0" fontId="41" fillId="0" borderId="1" xfId="0" applyFont="1" applyBorder="1" applyAlignment="1">
      <alignment horizontal="left" vertical="center"/>
    </xf>
    <xf numFmtId="0" fontId="41" fillId="0" borderId="1" xfId="0" applyFont="1" applyBorder="1" applyAlignment="1">
      <alignment horizontal="left" vertical="center" wrapText="1" indent="1"/>
    </xf>
    <xf numFmtId="0" fontId="41" fillId="0" borderId="1" xfId="0" applyFont="1" applyBorder="1" applyAlignment="1">
      <alignment horizontal="left" vertical="center" wrapText="1" indent="2"/>
    </xf>
    <xf numFmtId="43" fontId="0" fillId="0" borderId="0" xfId="0" applyNumberFormat="1">
      <alignment vertical="center"/>
    </xf>
    <xf numFmtId="43" fontId="41" fillId="0" borderId="1" xfId="1" applyFont="1" applyBorder="1" applyAlignment="1">
      <alignment horizontal="center" vertical="center"/>
    </xf>
    <xf numFmtId="43" fontId="42" fillId="0" borderId="1" xfId="1" applyFont="1" applyBorder="1" applyAlignment="1">
      <alignment vertical="center"/>
    </xf>
    <xf numFmtId="43" fontId="44" fillId="0" borderId="1" xfId="1" applyFont="1" applyBorder="1" applyAlignment="1">
      <alignment horizontal="center" vertical="center"/>
    </xf>
    <xf numFmtId="43" fontId="42" fillId="0" borderId="1" xfId="1" applyFont="1" applyBorder="1" applyAlignment="1">
      <alignment horizontal="left" vertical="center"/>
    </xf>
    <xf numFmtId="43" fontId="40" fillId="0" borderId="1" xfId="1" applyFont="1" applyBorder="1" applyAlignment="1">
      <alignment horizontal="center" vertical="center"/>
    </xf>
    <xf numFmtId="43" fontId="42" fillId="0" borderId="1" xfId="1" applyFont="1" applyBorder="1" applyAlignment="1">
      <alignment horizontal="center" vertical="center"/>
    </xf>
    <xf numFmtId="43" fontId="45" fillId="0" borderId="1" xfId="1" applyFont="1" applyBorder="1" applyAlignment="1">
      <alignment horizontal="center" vertical="center"/>
    </xf>
    <xf numFmtId="0" fontId="46" fillId="0" borderId="1" xfId="0" applyFont="1" applyBorder="1" applyAlignment="1">
      <alignment vertical="center"/>
    </xf>
    <xf numFmtId="43" fontId="44" fillId="0" borderId="1" xfId="1" applyFont="1" applyBorder="1" applyAlignment="1">
      <alignment vertical="center"/>
    </xf>
    <xf numFmtId="43" fontId="44" fillId="3" borderId="1" xfId="1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10" fontId="12" fillId="3" borderId="6" xfId="0" applyNumberFormat="1" applyFont="1" applyFill="1" applyBorder="1" applyAlignment="1">
      <alignment horizontal="left"/>
    </xf>
    <xf numFmtId="10" fontId="12" fillId="3" borderId="5" xfId="0" applyNumberFormat="1" applyFont="1" applyFill="1" applyBorder="1" applyAlignment="1">
      <alignment horizontal="left"/>
    </xf>
    <xf numFmtId="10" fontId="12" fillId="3" borderId="14" xfId="0" applyNumberFormat="1" applyFont="1" applyFill="1" applyBorder="1" applyAlignment="1">
      <alignment horizontal="left"/>
    </xf>
    <xf numFmtId="10" fontId="12" fillId="3" borderId="15" xfId="0" applyNumberFormat="1" applyFont="1" applyFill="1" applyBorder="1" applyAlignment="1">
      <alignment horizontal="left"/>
    </xf>
    <xf numFmtId="0" fontId="14" fillId="3" borderId="19" xfId="0" applyFont="1" applyFill="1" applyBorder="1" applyAlignment="1">
      <alignment horizontal="left" vertical="center"/>
    </xf>
    <xf numFmtId="0" fontId="14" fillId="3" borderId="9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76" fontId="29" fillId="5" borderId="2" xfId="0" applyNumberFormat="1" applyFont="1" applyFill="1" applyBorder="1" applyAlignment="1">
      <alignment horizontal="center" vertical="center"/>
    </xf>
    <xf numFmtId="176" fontId="29" fillId="5" borderId="10" xfId="0" applyNumberFormat="1" applyFont="1" applyFill="1" applyBorder="1" applyAlignment="1">
      <alignment horizontal="center" vertical="center"/>
    </xf>
    <xf numFmtId="0" fontId="29" fillId="7" borderId="12" xfId="0" applyNumberFormat="1" applyFont="1" applyFill="1" applyBorder="1" applyAlignment="1">
      <alignment horizontal="center"/>
    </xf>
    <xf numFmtId="178" fontId="12" fillId="5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77" fontId="3" fillId="0" borderId="0" xfId="0" applyNumberFormat="1" applyFont="1" applyFill="1" applyBorder="1" applyAlignment="1">
      <alignment horizontal="center"/>
    </xf>
    <xf numFmtId="0" fontId="3" fillId="4" borderId="13" xfId="0" applyFont="1" applyFill="1" applyBorder="1" applyAlignment="1">
      <alignment horizontal="left"/>
    </xf>
    <xf numFmtId="177" fontId="3" fillId="4" borderId="12" xfId="0" applyNumberFormat="1" applyFont="1" applyFill="1" applyBorder="1" applyAlignment="1">
      <alignment horizontal="left"/>
    </xf>
    <xf numFmtId="177" fontId="3" fillId="4" borderId="4" xfId="0" applyNumberFormat="1" applyFont="1" applyFill="1" applyBorder="1" applyAlignment="1">
      <alignment horizontal="left"/>
    </xf>
    <xf numFmtId="0" fontId="29" fillId="6" borderId="12" xfId="0" applyNumberFormat="1" applyFont="1" applyFill="1" applyBorder="1" applyAlignment="1">
      <alignment horizontal="center"/>
    </xf>
    <xf numFmtId="0" fontId="29" fillId="7" borderId="12" xfId="0" applyNumberFormat="1" applyFont="1" applyFill="1" applyBorder="1" applyAlignment="1">
      <alignment horizontal="center" wrapText="1"/>
    </xf>
    <xf numFmtId="43" fontId="42" fillId="0" borderId="1" xfId="1" applyFont="1" applyBorder="1" applyAlignment="1">
      <alignment vertical="center"/>
    </xf>
    <xf numFmtId="43" fontId="42" fillId="0" borderId="1" xfId="1" applyFont="1" applyBorder="1" applyAlignment="1">
      <alignment horizontal="center" vertical="center"/>
    </xf>
    <xf numFmtId="43" fontId="40" fillId="0" borderId="1" xfId="1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colors>
    <mruColors>
      <color rgb="FFFF0000"/>
      <color rgb="FFEBF1DE"/>
      <color rgb="FFD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8"/>
  <sheetViews>
    <sheetView zoomScale="82" zoomScaleNormal="82" workbookViewId="0">
      <selection activeCell="B3" sqref="B3"/>
    </sheetView>
  </sheetViews>
  <sheetFormatPr defaultColWidth="9.88671875" defaultRowHeight="16.8"/>
  <cols>
    <col min="1" max="1" width="18.88671875" style="2" customWidth="1"/>
    <col min="2" max="2" width="13.44140625" style="3" customWidth="1"/>
    <col min="3" max="3" width="12.88671875" style="3" customWidth="1"/>
    <col min="4" max="4" width="10.77734375" style="3" hidden="1" customWidth="1"/>
    <col min="5" max="5" width="12.88671875" style="3" customWidth="1"/>
    <col min="6" max="6" width="11.109375" style="3" hidden="1" customWidth="1"/>
    <col min="7" max="7" width="35.21875" style="2" customWidth="1"/>
    <col min="8" max="8" width="45.88671875" style="2" customWidth="1"/>
    <col min="9" max="9" width="40.44140625" style="2" customWidth="1"/>
    <col min="10" max="10" width="12.88671875" style="3" customWidth="1"/>
    <col min="11" max="11" width="11.88671875" style="3" customWidth="1"/>
    <col min="12" max="12" width="13.77734375" style="3" customWidth="1"/>
    <col min="13" max="13" width="10.77734375" style="2" customWidth="1"/>
    <col min="14" max="16384" width="9.88671875" style="2"/>
  </cols>
  <sheetData>
    <row r="1" spans="1:13" ht="23.4">
      <c r="A1" s="236" t="s">
        <v>0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</row>
    <row r="2" spans="1:13" s="1" customFormat="1" ht="33.6">
      <c r="A2" s="4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5" t="s">
        <v>4</v>
      </c>
      <c r="G2" s="6" t="s">
        <v>6</v>
      </c>
      <c r="H2" s="7" t="s">
        <v>7</v>
      </c>
      <c r="I2" s="45" t="s">
        <v>8</v>
      </c>
      <c r="J2" s="6" t="s">
        <v>9</v>
      </c>
      <c r="K2" s="6" t="s">
        <v>10</v>
      </c>
      <c r="L2" s="46" t="s">
        <v>11</v>
      </c>
      <c r="M2" s="6" t="s">
        <v>12</v>
      </c>
    </row>
    <row r="3" spans="1:13">
      <c r="A3" s="8" t="s">
        <v>13</v>
      </c>
      <c r="B3" s="9">
        <v>-160132</v>
      </c>
      <c r="C3" s="10">
        <f>B3*0.65</f>
        <v>-104085.8</v>
      </c>
      <c r="D3" s="11">
        <f>C3</f>
        <v>-104085.8</v>
      </c>
      <c r="E3" s="10">
        <f>B3*0.35</f>
        <v>-56046.2</v>
      </c>
      <c r="F3" s="9">
        <f>E3</f>
        <v>-56046.2</v>
      </c>
      <c r="G3" s="204" t="s">
        <v>14</v>
      </c>
      <c r="H3" s="205" t="s">
        <v>15</v>
      </c>
      <c r="I3" s="47" t="s">
        <v>16</v>
      </c>
      <c r="J3" s="48">
        <v>0</v>
      </c>
      <c r="K3" s="42"/>
      <c r="L3" s="42"/>
      <c r="M3" s="49">
        <v>0</v>
      </c>
    </row>
    <row r="4" spans="1:13">
      <c r="A4" s="14" t="s">
        <v>17</v>
      </c>
      <c r="B4" s="15">
        <v>0</v>
      </c>
      <c r="C4" s="16"/>
      <c r="D4" s="17">
        <f t="shared" ref="D4:D17" si="0">D3+C4</f>
        <v>-104085.8</v>
      </c>
      <c r="E4" s="16"/>
      <c r="F4" s="15">
        <f t="shared" ref="F4:F15" si="1">E4+F3</f>
        <v>-56046.2</v>
      </c>
      <c r="G4" s="18" t="s">
        <v>18</v>
      </c>
      <c r="H4" s="19"/>
      <c r="I4" s="24"/>
      <c r="J4" s="50">
        <v>0</v>
      </c>
      <c r="K4" s="42"/>
      <c r="L4" s="42"/>
      <c r="M4" s="51"/>
    </row>
    <row r="5" spans="1:13">
      <c r="A5" s="20" t="s">
        <v>19</v>
      </c>
      <c r="B5" s="15"/>
      <c r="C5" s="16">
        <v>-3250</v>
      </c>
      <c r="D5" s="17">
        <f t="shared" si="0"/>
        <v>-107335.8</v>
      </c>
      <c r="E5" s="16">
        <v>-1750</v>
      </c>
      <c r="F5" s="15">
        <f t="shared" si="1"/>
        <v>-57796.2</v>
      </c>
      <c r="G5" s="18" t="s">
        <v>20</v>
      </c>
      <c r="H5" s="19" t="s">
        <v>21</v>
      </c>
      <c r="I5" s="24" t="s">
        <v>22</v>
      </c>
      <c r="J5" s="50">
        <v>0</v>
      </c>
      <c r="K5" s="42"/>
      <c r="L5" s="42"/>
      <c r="M5" s="51">
        <v>5000</v>
      </c>
    </row>
    <row r="6" spans="1:13">
      <c r="A6" s="14" t="s">
        <v>23</v>
      </c>
      <c r="B6" s="15">
        <f>-50700</f>
        <v>-50700</v>
      </c>
      <c r="C6" s="16"/>
      <c r="D6" s="17">
        <f t="shared" si="0"/>
        <v>-107335.8</v>
      </c>
      <c r="E6" s="16">
        <f>-151400*0.5-E3-C3</f>
        <v>84432</v>
      </c>
      <c r="F6" s="15">
        <f t="shared" si="1"/>
        <v>26635.800000000003</v>
      </c>
      <c r="G6" s="18" t="s">
        <v>24</v>
      </c>
      <c r="H6" s="19" t="s">
        <v>25</v>
      </c>
      <c r="I6" s="24" t="s">
        <v>26</v>
      </c>
      <c r="J6" s="50">
        <v>0</v>
      </c>
      <c r="K6" s="42"/>
      <c r="L6" s="42"/>
      <c r="M6" s="51">
        <f>M5-B7</f>
        <v>5300</v>
      </c>
    </row>
    <row r="7" spans="1:13">
      <c r="A7" s="21" t="s">
        <v>27</v>
      </c>
      <c r="B7" s="19">
        <v>-300</v>
      </c>
      <c r="C7" s="22"/>
      <c r="D7" s="17">
        <f t="shared" si="0"/>
        <v>-107335.8</v>
      </c>
      <c r="E7" s="22"/>
      <c r="F7" s="15">
        <f t="shared" si="1"/>
        <v>26635.800000000003</v>
      </c>
      <c r="G7" s="18" t="s">
        <v>28</v>
      </c>
      <c r="H7" s="19" t="s">
        <v>29</v>
      </c>
      <c r="I7" s="24" t="s">
        <v>26</v>
      </c>
      <c r="J7" s="50">
        <v>0</v>
      </c>
      <c r="K7" s="42"/>
      <c r="L7" s="42"/>
      <c r="M7" s="51">
        <f>M5+B7+J7+K7</f>
        <v>4700</v>
      </c>
    </row>
    <row r="8" spans="1:13">
      <c r="A8" s="20" t="s">
        <v>30</v>
      </c>
      <c r="B8" s="15">
        <f>B3+B6</f>
        <v>-210832</v>
      </c>
      <c r="C8" s="16">
        <f>-151400-C3-E3-E6-E8</f>
        <v>-55150</v>
      </c>
      <c r="D8" s="17">
        <f t="shared" si="0"/>
        <v>-162485.79999999999</v>
      </c>
      <c r="E8" s="16">
        <v>-20550</v>
      </c>
      <c r="F8" s="15">
        <f t="shared" si="1"/>
        <v>6085.8000000000029</v>
      </c>
      <c r="G8" s="18" t="s">
        <v>31</v>
      </c>
      <c r="H8" s="19" t="s">
        <v>32</v>
      </c>
      <c r="I8" s="24" t="s">
        <v>26</v>
      </c>
      <c r="J8" s="50">
        <v>0</v>
      </c>
      <c r="K8" s="42"/>
      <c r="L8" s="42"/>
      <c r="M8" s="51">
        <f>M7</f>
        <v>4700</v>
      </c>
    </row>
    <row r="9" spans="1:13">
      <c r="A9" s="14" t="s">
        <v>33</v>
      </c>
      <c r="B9" s="15">
        <v>-4542</v>
      </c>
      <c r="C9" s="23"/>
      <c r="D9" s="15">
        <f t="shared" si="0"/>
        <v>-162485.79999999999</v>
      </c>
      <c r="E9" s="23"/>
      <c r="F9" s="15">
        <f t="shared" si="1"/>
        <v>6085.8000000000029</v>
      </c>
      <c r="G9" s="18" t="s">
        <v>34</v>
      </c>
      <c r="H9" s="19" t="s">
        <v>35</v>
      </c>
      <c r="I9" s="24" t="s">
        <v>26</v>
      </c>
      <c r="J9" s="50">
        <v>0</v>
      </c>
      <c r="K9" s="42"/>
      <c r="L9" s="42"/>
      <c r="M9" s="51">
        <f>M8+K9+J9-C9-E9+B9</f>
        <v>158</v>
      </c>
    </row>
    <row r="10" spans="1:13">
      <c r="A10" s="14" t="s">
        <v>36</v>
      </c>
      <c r="B10" s="15">
        <v>-948</v>
      </c>
      <c r="C10" s="23"/>
      <c r="D10" s="15">
        <f t="shared" si="0"/>
        <v>-162485.79999999999</v>
      </c>
      <c r="E10" s="23"/>
      <c r="F10" s="15">
        <f t="shared" si="1"/>
        <v>6085.8000000000029</v>
      </c>
      <c r="G10" s="18" t="s">
        <v>37</v>
      </c>
      <c r="H10" s="19" t="s">
        <v>38</v>
      </c>
      <c r="I10" s="24" t="s">
        <v>26</v>
      </c>
      <c r="J10" s="50">
        <v>0</v>
      </c>
      <c r="K10" s="42"/>
      <c r="L10" s="42"/>
      <c r="M10" s="51">
        <f t="shared" ref="M10:M38" si="2">M9+K10+J10-C10-E10+B10</f>
        <v>-790</v>
      </c>
    </row>
    <row r="11" spans="1:13">
      <c r="A11" s="21" t="s">
        <v>39</v>
      </c>
      <c r="B11" s="19">
        <v>-200</v>
      </c>
      <c r="C11" s="24"/>
      <c r="D11" s="15">
        <f t="shared" si="0"/>
        <v>-162485.79999999999</v>
      </c>
      <c r="E11" s="24"/>
      <c r="F11" s="15">
        <f t="shared" si="1"/>
        <v>6085.8000000000029</v>
      </c>
      <c r="G11" s="18" t="s">
        <v>40</v>
      </c>
      <c r="H11" s="19" t="s">
        <v>41</v>
      </c>
      <c r="I11" s="24" t="s">
        <v>26</v>
      </c>
      <c r="J11" s="50">
        <v>0</v>
      </c>
      <c r="K11" s="42"/>
      <c r="L11" s="42"/>
      <c r="M11" s="51">
        <f t="shared" si="2"/>
        <v>-990</v>
      </c>
    </row>
    <row r="12" spans="1:13">
      <c r="A12" s="21" t="s">
        <v>42</v>
      </c>
      <c r="B12" s="19">
        <v>0</v>
      </c>
      <c r="C12" s="24"/>
      <c r="D12" s="15">
        <f t="shared" si="0"/>
        <v>-162485.79999999999</v>
      </c>
      <c r="E12" s="24"/>
      <c r="F12" s="15">
        <f t="shared" si="1"/>
        <v>6085.8000000000029</v>
      </c>
      <c r="G12" s="18" t="s">
        <v>43</v>
      </c>
      <c r="H12" s="18" t="s">
        <v>44</v>
      </c>
      <c r="I12" s="24" t="s">
        <v>26</v>
      </c>
      <c r="J12" s="50">
        <v>0</v>
      </c>
      <c r="K12" s="42">
        <v>30000</v>
      </c>
      <c r="L12" s="42"/>
      <c r="M12" s="51">
        <f t="shared" si="2"/>
        <v>29010</v>
      </c>
    </row>
    <row r="13" spans="1:13">
      <c r="A13" s="26" t="s">
        <v>45</v>
      </c>
      <c r="B13" s="19">
        <v>0</v>
      </c>
      <c r="C13" s="24"/>
      <c r="D13" s="15">
        <f t="shared" si="0"/>
        <v>-162485.79999999999</v>
      </c>
      <c r="E13" s="24">
        <v>30000</v>
      </c>
      <c r="F13" s="15">
        <f t="shared" si="1"/>
        <v>36085.800000000003</v>
      </c>
      <c r="G13" s="18"/>
      <c r="H13" s="18" t="s">
        <v>46</v>
      </c>
      <c r="I13" s="24" t="s">
        <v>26</v>
      </c>
      <c r="J13" s="50">
        <v>0</v>
      </c>
      <c r="K13" s="42"/>
      <c r="L13" s="42"/>
      <c r="M13" s="51">
        <f t="shared" si="2"/>
        <v>-990</v>
      </c>
    </row>
    <row r="14" spans="1:13">
      <c r="A14" s="21" t="s">
        <v>47</v>
      </c>
      <c r="B14" s="19">
        <v>0</v>
      </c>
      <c r="C14" s="24"/>
      <c r="D14" s="15">
        <f t="shared" si="0"/>
        <v>-162485.79999999999</v>
      </c>
      <c r="E14" s="24"/>
      <c r="F14" s="15">
        <f t="shared" si="1"/>
        <v>36085.800000000003</v>
      </c>
      <c r="G14" s="18" t="s">
        <v>48</v>
      </c>
      <c r="H14" s="18" t="s">
        <v>49</v>
      </c>
      <c r="I14" s="24" t="s">
        <v>26</v>
      </c>
      <c r="J14" s="50">
        <v>0</v>
      </c>
      <c r="K14" s="42">
        <v>20000</v>
      </c>
      <c r="L14" s="42"/>
      <c r="M14" s="51">
        <f t="shared" si="2"/>
        <v>19010</v>
      </c>
    </row>
    <row r="15" spans="1:13">
      <c r="A15" s="26" t="s">
        <v>50</v>
      </c>
      <c r="B15" s="19">
        <v>0</v>
      </c>
      <c r="C15" s="24"/>
      <c r="D15" s="15">
        <f t="shared" si="0"/>
        <v>-162485.79999999999</v>
      </c>
      <c r="E15" s="24">
        <v>18700</v>
      </c>
      <c r="F15" s="15">
        <f t="shared" si="1"/>
        <v>54785.8</v>
      </c>
      <c r="G15" s="18" t="s">
        <v>51</v>
      </c>
      <c r="H15" s="18" t="s">
        <v>52</v>
      </c>
      <c r="I15" s="24" t="s">
        <v>53</v>
      </c>
      <c r="J15" s="50">
        <v>0</v>
      </c>
      <c r="K15" s="42"/>
      <c r="L15" s="42"/>
      <c r="M15" s="51">
        <f t="shared" si="2"/>
        <v>310</v>
      </c>
    </row>
    <row r="16" spans="1:13">
      <c r="A16" s="21" t="s">
        <v>54</v>
      </c>
      <c r="B16" s="19">
        <v>0</v>
      </c>
      <c r="C16" s="24"/>
      <c r="D16" s="15">
        <f t="shared" si="0"/>
        <v>-162485.79999999999</v>
      </c>
      <c r="E16" s="24">
        <v>8154</v>
      </c>
      <c r="F16" s="15">
        <f t="shared" ref="F16:F17" si="3">E16+F15</f>
        <v>62939.8</v>
      </c>
      <c r="G16" s="18" t="s">
        <v>55</v>
      </c>
      <c r="H16" s="18" t="s">
        <v>56</v>
      </c>
      <c r="I16" s="24" t="s">
        <v>53</v>
      </c>
      <c r="J16" s="50">
        <v>0</v>
      </c>
      <c r="K16" s="42">
        <v>10000</v>
      </c>
      <c r="L16" s="42"/>
      <c r="M16" s="51">
        <f t="shared" si="2"/>
        <v>2156</v>
      </c>
    </row>
    <row r="17" spans="1:14" ht="18.899999999999999" customHeight="1">
      <c r="A17" s="21" t="s">
        <v>54</v>
      </c>
      <c r="B17" s="19">
        <v>0</v>
      </c>
      <c r="C17" s="24"/>
      <c r="D17" s="15">
        <f t="shared" si="0"/>
        <v>-162485.79999999999</v>
      </c>
      <c r="E17" s="24"/>
      <c r="F17" s="15">
        <f t="shared" si="3"/>
        <v>62939.8</v>
      </c>
      <c r="G17" s="18"/>
      <c r="H17" s="25"/>
      <c r="I17" s="24" t="s">
        <v>53</v>
      </c>
      <c r="J17" s="50">
        <v>0</v>
      </c>
      <c r="K17" s="42"/>
      <c r="L17" s="52"/>
      <c r="M17" s="51">
        <f t="shared" si="2"/>
        <v>2156</v>
      </c>
    </row>
    <row r="18" spans="1:14" ht="18.899999999999999" customHeight="1">
      <c r="A18" s="21" t="s">
        <v>57</v>
      </c>
      <c r="B18" s="15">
        <v>-2000</v>
      </c>
      <c r="C18" s="23"/>
      <c r="D18" s="15">
        <f t="shared" ref="D18:D38" si="4">D17+C18</f>
        <v>-162485.79999999999</v>
      </c>
      <c r="E18" s="23"/>
      <c r="F18" s="15">
        <f t="shared" ref="F18:F38" si="5">E18+F17</f>
        <v>62939.8</v>
      </c>
      <c r="G18" s="18" t="s">
        <v>58</v>
      </c>
      <c r="H18" s="19" t="s">
        <v>59</v>
      </c>
      <c r="I18" s="24" t="s">
        <v>60</v>
      </c>
      <c r="J18" s="50">
        <v>12000</v>
      </c>
      <c r="K18" s="42"/>
      <c r="L18" s="52">
        <v>-10000</v>
      </c>
      <c r="M18" s="51">
        <f t="shared" si="2"/>
        <v>12156</v>
      </c>
    </row>
    <row r="19" spans="1:14" ht="18.899999999999999" customHeight="1">
      <c r="A19" s="14" t="s">
        <v>61</v>
      </c>
      <c r="B19" s="15">
        <v>-3000</v>
      </c>
      <c r="C19" s="23"/>
      <c r="D19" s="15">
        <f t="shared" si="4"/>
        <v>-162485.79999999999</v>
      </c>
      <c r="E19" s="23"/>
      <c r="F19" s="15">
        <f t="shared" si="5"/>
        <v>62939.8</v>
      </c>
      <c r="G19" s="18" t="s">
        <v>62</v>
      </c>
      <c r="H19" s="19" t="s">
        <v>59</v>
      </c>
      <c r="I19" s="24" t="s">
        <v>63</v>
      </c>
      <c r="J19" s="50">
        <v>17000</v>
      </c>
      <c r="K19" s="42"/>
      <c r="L19" s="52">
        <f>-J19-J18</f>
        <v>-29000</v>
      </c>
      <c r="M19" s="51">
        <f t="shared" si="2"/>
        <v>26156</v>
      </c>
    </row>
    <row r="20" spans="1:14" ht="18.899999999999999" customHeight="1">
      <c r="A20" s="20" t="s">
        <v>64</v>
      </c>
      <c r="B20" s="19">
        <v>-7000</v>
      </c>
      <c r="C20" s="24">
        <v>27115</v>
      </c>
      <c r="D20" s="15">
        <f t="shared" si="4"/>
        <v>-135370.79999999999</v>
      </c>
      <c r="E20" s="24"/>
      <c r="F20" s="15">
        <f t="shared" si="5"/>
        <v>62939.8</v>
      </c>
      <c r="G20" s="18"/>
      <c r="H20" s="19" t="s">
        <v>65</v>
      </c>
      <c r="I20" s="24" t="s">
        <v>66</v>
      </c>
      <c r="J20" s="50">
        <v>8000</v>
      </c>
      <c r="K20" s="42">
        <v>30000</v>
      </c>
      <c r="L20" s="52">
        <v>-45000</v>
      </c>
      <c r="M20" s="51">
        <f t="shared" si="2"/>
        <v>30041</v>
      </c>
    </row>
    <row r="21" spans="1:14" ht="18.899999999999999" customHeight="1">
      <c r="A21" s="27" t="s">
        <v>67</v>
      </c>
      <c r="B21" s="19">
        <v>-5000</v>
      </c>
      <c r="C21" s="24">
        <v>47535</v>
      </c>
      <c r="D21" s="15">
        <f t="shared" si="4"/>
        <v>-87835.799999999988</v>
      </c>
      <c r="E21" s="24">
        <v>31750</v>
      </c>
      <c r="F21" s="15">
        <f t="shared" si="5"/>
        <v>94689.8</v>
      </c>
      <c r="G21" s="18" t="s">
        <v>68</v>
      </c>
      <c r="H21" s="19" t="s">
        <v>69</v>
      </c>
      <c r="I21" s="24" t="s">
        <v>70</v>
      </c>
      <c r="J21" s="50">
        <v>60000</v>
      </c>
      <c r="K21" s="42">
        <v>10000</v>
      </c>
      <c r="L21" s="52">
        <v>-50000</v>
      </c>
      <c r="M21" s="51">
        <f t="shared" si="2"/>
        <v>15756</v>
      </c>
    </row>
    <row r="22" spans="1:14" ht="18.899999999999999" customHeight="1">
      <c r="A22" s="14" t="s">
        <v>71</v>
      </c>
      <c r="B22" s="19">
        <v>-5000</v>
      </c>
      <c r="C22" s="24">
        <f>20000*0.65</f>
        <v>13000</v>
      </c>
      <c r="D22" s="15">
        <f t="shared" si="4"/>
        <v>-74835.799999999988</v>
      </c>
      <c r="E22" s="24">
        <f>20000*0.35</f>
        <v>7000</v>
      </c>
      <c r="F22" s="15">
        <f t="shared" si="5"/>
        <v>101689.8</v>
      </c>
      <c r="H22" s="19" t="s">
        <v>59</v>
      </c>
      <c r="I22" s="24" t="s">
        <v>72</v>
      </c>
      <c r="J22" s="50">
        <v>28000</v>
      </c>
      <c r="K22" s="42"/>
      <c r="L22" s="52">
        <v>-40000</v>
      </c>
      <c r="M22" s="51">
        <f t="shared" si="2"/>
        <v>18756</v>
      </c>
    </row>
    <row r="23" spans="1:14" ht="18.899999999999999" customHeight="1">
      <c r="A23" s="14" t="s">
        <v>73</v>
      </c>
      <c r="B23" s="19">
        <v>-6000</v>
      </c>
      <c r="C23" s="24"/>
      <c r="D23" s="15">
        <f t="shared" si="4"/>
        <v>-74835.799999999988</v>
      </c>
      <c r="E23" s="24"/>
      <c r="F23" s="15">
        <f t="shared" si="5"/>
        <v>101689.8</v>
      </c>
      <c r="G23" s="2" t="s">
        <v>74</v>
      </c>
      <c r="H23" s="19" t="s">
        <v>59</v>
      </c>
      <c r="I23" s="24" t="s">
        <v>75</v>
      </c>
      <c r="J23" s="50">
        <v>25000</v>
      </c>
      <c r="K23" s="42"/>
      <c r="L23" s="52">
        <v>-35000</v>
      </c>
      <c r="M23" s="51">
        <f t="shared" si="2"/>
        <v>37756</v>
      </c>
    </row>
    <row r="24" spans="1:14" ht="18.899999999999999" customHeight="1">
      <c r="A24" s="14" t="s">
        <v>76</v>
      </c>
      <c r="B24" s="19">
        <v>0</v>
      </c>
      <c r="C24" s="24"/>
      <c r="D24" s="15">
        <f t="shared" si="4"/>
        <v>-74835.799999999988</v>
      </c>
      <c r="E24" s="24"/>
      <c r="F24" s="15">
        <f t="shared" si="5"/>
        <v>101689.8</v>
      </c>
      <c r="G24" s="2" t="s">
        <v>77</v>
      </c>
      <c r="H24" s="19" t="s">
        <v>59</v>
      </c>
      <c r="I24" s="2" t="s">
        <v>78</v>
      </c>
      <c r="J24" s="53"/>
      <c r="K24" s="54"/>
      <c r="L24" s="55">
        <v>-35000</v>
      </c>
      <c r="M24" s="51">
        <f t="shared" si="2"/>
        <v>37756</v>
      </c>
      <c r="N24" s="56"/>
    </row>
    <row r="25" spans="1:14" ht="18.899999999999999" customHeight="1">
      <c r="A25" s="14" t="s">
        <v>79</v>
      </c>
      <c r="B25" s="15">
        <v>-5000</v>
      </c>
      <c r="C25" s="23">
        <f>15000*0.65</f>
        <v>9750</v>
      </c>
      <c r="D25" s="15">
        <f t="shared" si="4"/>
        <v>-65085.799999999988</v>
      </c>
      <c r="E25" s="23">
        <f>15000*0.35</f>
        <v>5250</v>
      </c>
      <c r="F25" s="15">
        <f t="shared" si="5"/>
        <v>106939.8</v>
      </c>
      <c r="G25" s="18" t="s">
        <v>80</v>
      </c>
      <c r="H25" s="19" t="s">
        <v>59</v>
      </c>
      <c r="I25" s="2" t="s">
        <v>81</v>
      </c>
      <c r="J25" s="50">
        <v>10000</v>
      </c>
      <c r="K25" s="42"/>
      <c r="L25" s="52">
        <v>-30000</v>
      </c>
      <c r="M25" s="51">
        <f t="shared" si="2"/>
        <v>27756</v>
      </c>
    </row>
    <row r="26" spans="1:14" ht="18.899999999999999" customHeight="1">
      <c r="A26" s="14" t="s">
        <v>82</v>
      </c>
      <c r="B26" s="19">
        <v>-6000</v>
      </c>
      <c r="C26" s="24"/>
      <c r="D26" s="15">
        <f t="shared" si="4"/>
        <v>-65085.799999999988</v>
      </c>
      <c r="E26" s="24"/>
      <c r="F26" s="15">
        <f t="shared" si="5"/>
        <v>106939.8</v>
      </c>
      <c r="G26" s="18"/>
      <c r="H26" s="19" t="s">
        <v>59</v>
      </c>
      <c r="I26" s="2" t="s">
        <v>72</v>
      </c>
      <c r="J26" s="50">
        <v>5000</v>
      </c>
      <c r="K26" s="42"/>
      <c r="L26" s="52">
        <v>-3000</v>
      </c>
      <c r="M26" s="51">
        <f t="shared" si="2"/>
        <v>26756</v>
      </c>
    </row>
    <row r="27" spans="1:14" ht="18.899999999999999" customHeight="1">
      <c r="A27" s="14" t="s">
        <v>83</v>
      </c>
      <c r="B27" s="19">
        <v>-6000</v>
      </c>
      <c r="C27" s="24"/>
      <c r="D27" s="15">
        <f t="shared" si="4"/>
        <v>-65085.799999999988</v>
      </c>
      <c r="E27" s="24"/>
      <c r="F27" s="15">
        <f t="shared" si="5"/>
        <v>106939.8</v>
      </c>
      <c r="G27" s="18"/>
      <c r="H27" s="19" t="s">
        <v>59</v>
      </c>
      <c r="I27" s="2" t="s">
        <v>84</v>
      </c>
      <c r="J27" s="50">
        <v>35000</v>
      </c>
      <c r="K27" s="42">
        <v>-50000</v>
      </c>
      <c r="L27" s="52">
        <v>-28000</v>
      </c>
      <c r="M27" s="51">
        <f t="shared" si="2"/>
        <v>5756</v>
      </c>
    </row>
    <row r="28" spans="1:14" ht="18.899999999999999" customHeight="1">
      <c r="A28" s="14" t="s">
        <v>85</v>
      </c>
      <c r="B28" s="15">
        <v>-12000</v>
      </c>
      <c r="C28" s="23"/>
      <c r="D28" s="15">
        <f t="shared" si="4"/>
        <v>-65085.799999999988</v>
      </c>
      <c r="E28" s="23"/>
      <c r="F28" s="15">
        <f t="shared" si="5"/>
        <v>106939.8</v>
      </c>
      <c r="G28" s="18" t="s">
        <v>86</v>
      </c>
      <c r="H28" s="19" t="s">
        <v>59</v>
      </c>
      <c r="I28" s="24" t="s">
        <v>87</v>
      </c>
      <c r="J28" s="50">
        <v>10000</v>
      </c>
      <c r="K28" s="42"/>
      <c r="L28" s="52">
        <v>-25000</v>
      </c>
      <c r="M28" s="51">
        <f t="shared" si="2"/>
        <v>3756</v>
      </c>
    </row>
    <row r="29" spans="1:14" ht="18.899999999999999" customHeight="1">
      <c r="A29" s="14" t="s">
        <v>88</v>
      </c>
      <c r="B29" s="19">
        <v>-15000</v>
      </c>
      <c r="C29" s="24"/>
      <c r="D29" s="15">
        <f t="shared" si="4"/>
        <v>-65085.799999999988</v>
      </c>
      <c r="E29" s="24"/>
      <c r="F29" s="15">
        <f t="shared" si="5"/>
        <v>106939.8</v>
      </c>
      <c r="H29" s="19" t="s">
        <v>59</v>
      </c>
      <c r="I29" s="24" t="s">
        <v>89</v>
      </c>
      <c r="J29" s="50">
        <v>20000</v>
      </c>
      <c r="K29" s="42">
        <v>-10000</v>
      </c>
      <c r="L29" s="52">
        <v>-20000</v>
      </c>
      <c r="M29" s="51">
        <f t="shared" si="2"/>
        <v>-1244</v>
      </c>
    </row>
    <row r="30" spans="1:14" ht="18.899999999999999" customHeight="1">
      <c r="A30" s="21" t="s">
        <v>90</v>
      </c>
      <c r="B30" s="19">
        <v>-15000</v>
      </c>
      <c r="C30" s="24"/>
      <c r="D30" s="15">
        <f t="shared" si="4"/>
        <v>-65085.799999999988</v>
      </c>
      <c r="E30" s="24"/>
      <c r="F30" s="15">
        <f t="shared" si="5"/>
        <v>106939.8</v>
      </c>
      <c r="G30" s="18" t="s">
        <v>91</v>
      </c>
      <c r="H30" s="19" t="s">
        <v>59</v>
      </c>
      <c r="I30" s="24" t="s">
        <v>92</v>
      </c>
      <c r="J30" s="50">
        <v>10000</v>
      </c>
      <c r="K30" s="42"/>
      <c r="L30" s="52">
        <v>-20000</v>
      </c>
      <c r="M30" s="51">
        <f t="shared" si="2"/>
        <v>-6244</v>
      </c>
    </row>
    <row r="31" spans="1:14" ht="18.899999999999999" customHeight="1">
      <c r="A31" s="21" t="s">
        <v>93</v>
      </c>
      <c r="B31" s="15">
        <v>-15000</v>
      </c>
      <c r="C31" s="23"/>
      <c r="D31" s="15">
        <f t="shared" si="4"/>
        <v>-65085.799999999988</v>
      </c>
      <c r="E31" s="24"/>
      <c r="F31" s="15">
        <f t="shared" si="5"/>
        <v>106939.8</v>
      </c>
      <c r="G31" s="18" t="s">
        <v>94</v>
      </c>
      <c r="H31" s="19" t="s">
        <v>59</v>
      </c>
      <c r="I31" s="2" t="s">
        <v>95</v>
      </c>
      <c r="J31" s="50">
        <v>55000</v>
      </c>
      <c r="K31" s="42">
        <v>-30000</v>
      </c>
      <c r="L31" s="52">
        <v>-15000</v>
      </c>
      <c r="M31" s="51">
        <f t="shared" si="2"/>
        <v>3756</v>
      </c>
    </row>
    <row r="32" spans="1:14" ht="18.899999999999999" customHeight="1">
      <c r="A32" s="33" t="s">
        <v>96</v>
      </c>
      <c r="B32" s="19">
        <v>-12000</v>
      </c>
      <c r="C32" s="24">
        <f>18000*0.65</f>
        <v>11700</v>
      </c>
      <c r="D32" s="15">
        <f t="shared" si="4"/>
        <v>-53385.799999999988</v>
      </c>
      <c r="E32" s="24">
        <f>18000*0.35</f>
        <v>6300</v>
      </c>
      <c r="F32" s="15">
        <f t="shared" si="5"/>
        <v>113239.8</v>
      </c>
      <c r="G32" s="18" t="s">
        <v>97</v>
      </c>
      <c r="H32" s="19" t="s">
        <v>59</v>
      </c>
      <c r="I32" s="24" t="s">
        <v>98</v>
      </c>
      <c r="J32" s="50">
        <v>35000</v>
      </c>
      <c r="K32" s="42">
        <v>-10000</v>
      </c>
      <c r="L32" s="52">
        <v>-5000</v>
      </c>
      <c r="M32" s="51">
        <f t="shared" si="2"/>
        <v>-1244</v>
      </c>
    </row>
    <row r="33" spans="1:13">
      <c r="A33" s="21" t="s">
        <v>99</v>
      </c>
      <c r="B33" s="19">
        <v>-12000</v>
      </c>
      <c r="C33" s="24"/>
      <c r="D33" s="15">
        <f t="shared" si="4"/>
        <v>-53385.799999999988</v>
      </c>
      <c r="E33" s="24"/>
      <c r="F33" s="15">
        <f t="shared" si="5"/>
        <v>113239.8</v>
      </c>
      <c r="G33" s="18" t="s">
        <v>100</v>
      </c>
      <c r="H33" s="19" t="s">
        <v>59</v>
      </c>
      <c r="I33" s="2" t="s">
        <v>101</v>
      </c>
      <c r="J33" s="50">
        <v>38000</v>
      </c>
      <c r="K33" s="42"/>
      <c r="L33" s="52">
        <v>-5000</v>
      </c>
      <c r="M33" s="51">
        <f t="shared" si="2"/>
        <v>24756</v>
      </c>
    </row>
    <row r="34" spans="1:13">
      <c r="A34" s="21" t="s">
        <v>102</v>
      </c>
      <c r="B34" s="19">
        <v>-20000</v>
      </c>
      <c r="C34" s="22"/>
      <c r="D34" s="15">
        <f t="shared" si="4"/>
        <v>-53385.799999999988</v>
      </c>
      <c r="E34" s="22"/>
      <c r="F34" s="15">
        <f t="shared" si="5"/>
        <v>113239.8</v>
      </c>
      <c r="G34" s="18" t="s">
        <v>103</v>
      </c>
      <c r="H34" s="19" t="s">
        <v>104</v>
      </c>
      <c r="I34" s="24" t="s">
        <v>105</v>
      </c>
      <c r="J34" s="50">
        <v>8000</v>
      </c>
      <c r="K34" s="42"/>
      <c r="L34" s="52">
        <v>-5000</v>
      </c>
      <c r="M34" s="51">
        <f t="shared" si="2"/>
        <v>12756</v>
      </c>
    </row>
    <row r="35" spans="1:13">
      <c r="A35" s="21">
        <v>2023.12</v>
      </c>
      <c r="B35" s="19">
        <v>-20000</v>
      </c>
      <c r="C35" s="3">
        <f>-10000*0.65</f>
        <v>-6500</v>
      </c>
      <c r="D35" s="15">
        <f t="shared" si="4"/>
        <v>-59885.799999999988</v>
      </c>
      <c r="E35" s="3">
        <f>-10000*0.35</f>
        <v>-3500</v>
      </c>
      <c r="F35" s="15">
        <f t="shared" si="5"/>
        <v>109739.8</v>
      </c>
      <c r="G35" s="18" t="s">
        <v>106</v>
      </c>
      <c r="H35" s="19" t="s">
        <v>59</v>
      </c>
      <c r="I35" s="24" t="s">
        <v>107</v>
      </c>
      <c r="J35" s="50">
        <v>5000</v>
      </c>
      <c r="K35" s="42"/>
      <c r="L35" s="52">
        <v>-5000</v>
      </c>
      <c r="M35" s="51">
        <f t="shared" si="2"/>
        <v>7756</v>
      </c>
    </row>
    <row r="36" spans="1:13">
      <c r="A36" s="21" t="s">
        <v>108</v>
      </c>
      <c r="B36" s="19">
        <v>-4000</v>
      </c>
      <c r="C36" s="22">
        <f>-4000*0.65</f>
        <v>-2600</v>
      </c>
      <c r="D36" s="15">
        <f t="shared" si="4"/>
        <v>-62485.799999999988</v>
      </c>
      <c r="E36" s="22">
        <f>-4000*0.35</f>
        <v>-1400</v>
      </c>
      <c r="F36" s="15">
        <f t="shared" si="5"/>
        <v>108339.8</v>
      </c>
      <c r="G36" s="18"/>
      <c r="H36" s="19" t="s">
        <v>104</v>
      </c>
      <c r="I36" s="24" t="s">
        <v>109</v>
      </c>
      <c r="J36" s="50">
        <v>5000</v>
      </c>
      <c r="K36" s="42"/>
      <c r="L36" s="52">
        <v>0</v>
      </c>
      <c r="M36" s="51">
        <f t="shared" si="2"/>
        <v>12756</v>
      </c>
    </row>
    <row r="37" spans="1:13">
      <c r="A37" s="21" t="s">
        <v>110</v>
      </c>
      <c r="B37" s="19">
        <v>-4000</v>
      </c>
      <c r="C37" s="22">
        <f>-4000*0.65</f>
        <v>-2600</v>
      </c>
      <c r="D37" s="15">
        <f t="shared" si="4"/>
        <v>-65085.799999999988</v>
      </c>
      <c r="E37" s="22">
        <f>-4000*0.35</f>
        <v>-1400</v>
      </c>
      <c r="F37" s="15">
        <f t="shared" si="5"/>
        <v>106939.8</v>
      </c>
      <c r="G37" s="18" t="s">
        <v>111</v>
      </c>
      <c r="H37" s="19" t="s">
        <v>104</v>
      </c>
      <c r="I37" s="24"/>
      <c r="J37" s="50">
        <v>0</v>
      </c>
      <c r="K37" s="42"/>
      <c r="L37" s="42">
        <v>0</v>
      </c>
      <c r="M37" s="51">
        <f t="shared" si="2"/>
        <v>12756</v>
      </c>
    </row>
    <row r="38" spans="1:13">
      <c r="A38" s="34" t="s">
        <v>112</v>
      </c>
      <c r="B38" s="19">
        <v>-4000</v>
      </c>
      <c r="C38" s="22">
        <v>-22750</v>
      </c>
      <c r="D38" s="15">
        <f t="shared" si="4"/>
        <v>-87835.799999999988</v>
      </c>
      <c r="E38" s="22">
        <v>-19104</v>
      </c>
      <c r="F38" s="15">
        <f t="shared" si="5"/>
        <v>87835.8</v>
      </c>
      <c r="H38" s="19" t="s">
        <v>104</v>
      </c>
      <c r="I38" s="24" t="s">
        <v>113</v>
      </c>
      <c r="J38" s="50">
        <v>0</v>
      </c>
      <c r="K38" s="42"/>
      <c r="L38" s="42">
        <v>0</v>
      </c>
      <c r="M38" s="51">
        <f t="shared" si="2"/>
        <v>50610</v>
      </c>
    </row>
    <row r="39" spans="1:13">
      <c r="A39" s="35" t="s">
        <v>114</v>
      </c>
      <c r="B39" s="36">
        <f>SUM(B3:B38)</f>
        <v>-605654</v>
      </c>
      <c r="C39" s="37"/>
      <c r="D39" s="37"/>
      <c r="E39" s="37"/>
      <c r="F39" s="37"/>
      <c r="G39" s="38"/>
      <c r="H39" s="36"/>
      <c r="I39" s="37"/>
      <c r="J39" s="57">
        <f>SUM(J18:J38)</f>
        <v>386000</v>
      </c>
      <c r="K39" s="57">
        <f>SUM(K12:K38)</f>
        <v>0</v>
      </c>
      <c r="L39" s="57">
        <v>0</v>
      </c>
      <c r="M39" s="58">
        <f>J39+B39</f>
        <v>-219654</v>
      </c>
    </row>
    <row r="40" spans="1:13">
      <c r="A40" s="35"/>
      <c r="B40" s="39" t="s">
        <v>115</v>
      </c>
      <c r="C40" s="39"/>
      <c r="D40" s="39"/>
      <c r="E40" s="39"/>
      <c r="F40" s="39"/>
      <c r="G40" s="39"/>
      <c r="H40" s="39"/>
      <c r="I40" s="39"/>
      <c r="J40" s="59" t="s">
        <v>116</v>
      </c>
      <c r="K40" s="59"/>
      <c r="L40" s="59"/>
      <c r="M40" s="60" t="s">
        <v>117</v>
      </c>
    </row>
    <row r="41" spans="1:13">
      <c r="A41" s="40" t="s">
        <v>118</v>
      </c>
      <c r="B41" s="41">
        <f>151400/15.6484</f>
        <v>9675.1105544336806</v>
      </c>
      <c r="C41" s="41"/>
      <c r="D41" s="41"/>
      <c r="E41" s="41">
        <f>D38+F38</f>
        <v>0</v>
      </c>
      <c r="F41" s="41"/>
      <c r="G41" s="41" t="s">
        <v>119</v>
      </c>
      <c r="H41" s="42">
        <f>118000/15.6484</f>
        <v>7540.7070371411774</v>
      </c>
      <c r="I41" s="61" t="s">
        <v>120</v>
      </c>
      <c r="J41" s="41">
        <f>J39/15.6484</f>
        <v>24667.058613021138</v>
      </c>
      <c r="K41" s="42"/>
      <c r="L41" s="42"/>
      <c r="M41" s="43"/>
    </row>
    <row r="42" spans="1:13">
      <c r="B42" s="42"/>
      <c r="C42" s="42"/>
      <c r="D42" s="42"/>
      <c r="E42" s="42"/>
      <c r="F42" s="42"/>
      <c r="G42" s="43"/>
      <c r="H42" s="43"/>
      <c r="I42" s="43"/>
      <c r="J42" s="42"/>
      <c r="K42" s="42"/>
      <c r="L42" s="42"/>
      <c r="M42" s="43"/>
    </row>
    <row r="43" spans="1:13">
      <c r="B43" s="2"/>
    </row>
    <row r="44" spans="1:13">
      <c r="B44" s="2"/>
    </row>
    <row r="45" spans="1:13">
      <c r="B45" s="2"/>
    </row>
    <row r="48" spans="1:13">
      <c r="A48" s="3"/>
      <c r="B48" s="44"/>
    </row>
  </sheetData>
  <mergeCells count="1">
    <mergeCell ref="A1:M1"/>
  </mergeCells>
  <phoneticPr fontId="38" type="noConversion"/>
  <printOptions horizontalCentered="1" verticalCentered="1"/>
  <pageMargins left="0.31496062992126" right="0.31496062992126" top="0.35433070866141703" bottom="0.35433070866141703" header="0.31496062992126" footer="0.31496062992126"/>
  <pageSetup paperSize="8" scale="81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"/>
  <sheetViews>
    <sheetView tabSelected="1" topLeftCell="A7" workbookViewId="0">
      <selection activeCell="E14" sqref="E14"/>
    </sheetView>
  </sheetViews>
  <sheetFormatPr defaultRowHeight="14.4"/>
  <cols>
    <col min="1" max="1" width="47" bestFit="1" customWidth="1"/>
    <col min="2" max="2" width="6.33203125" bestFit="1" customWidth="1"/>
    <col min="3" max="3" width="26.109375" style="206" bestFit="1" customWidth="1"/>
    <col min="4" max="4" width="24.109375" style="206" bestFit="1" customWidth="1"/>
    <col min="5" max="5" width="45.88671875" bestFit="1" customWidth="1"/>
    <col min="6" max="6" width="6.33203125" bestFit="1" customWidth="1"/>
    <col min="7" max="8" width="25.88671875" bestFit="1" customWidth="1"/>
  </cols>
  <sheetData>
    <row r="1" spans="1:8">
      <c r="A1" s="208" t="s">
        <v>279</v>
      </c>
      <c r="B1" s="208" t="s">
        <v>280</v>
      </c>
      <c r="C1" s="226" t="s">
        <v>281</v>
      </c>
      <c r="D1" s="226" t="s">
        <v>282</v>
      </c>
      <c r="E1" s="208" t="s">
        <v>279</v>
      </c>
      <c r="F1" s="208" t="s">
        <v>280</v>
      </c>
      <c r="G1" s="226" t="s">
        <v>281</v>
      </c>
      <c r="H1" s="226" t="s">
        <v>282</v>
      </c>
    </row>
    <row r="2" spans="1:8">
      <c r="A2" s="209" t="s">
        <v>283</v>
      </c>
      <c r="B2" s="211" t="s">
        <v>284</v>
      </c>
      <c r="C2" s="212" t="s">
        <v>284</v>
      </c>
      <c r="D2" s="212" t="s">
        <v>284</v>
      </c>
      <c r="E2" s="209" t="s">
        <v>331</v>
      </c>
      <c r="F2" s="233" t="s">
        <v>284</v>
      </c>
      <c r="G2" s="215"/>
      <c r="H2" s="215"/>
    </row>
    <row r="3" spans="1:8">
      <c r="A3" s="213" t="s">
        <v>285</v>
      </c>
      <c r="B3" s="213" t="s">
        <v>284</v>
      </c>
      <c r="C3" s="214">
        <v>215664686.74000001</v>
      </c>
      <c r="D3" s="214">
        <v>299366263.52999997</v>
      </c>
      <c r="E3" s="213" t="s">
        <v>332</v>
      </c>
      <c r="F3" s="213" t="s">
        <v>284</v>
      </c>
      <c r="G3" s="214">
        <v>1709073009.52</v>
      </c>
      <c r="H3" s="214">
        <v>1041619581.4400001</v>
      </c>
    </row>
    <row r="4" spans="1:8">
      <c r="A4" s="213" t="s">
        <v>286</v>
      </c>
      <c r="B4" s="213" t="s">
        <v>284</v>
      </c>
      <c r="C4" s="215"/>
      <c r="D4" s="215"/>
      <c r="E4" s="213" t="s">
        <v>333</v>
      </c>
      <c r="F4" s="213" t="s">
        <v>284</v>
      </c>
      <c r="G4" s="215"/>
      <c r="H4" s="215"/>
    </row>
    <row r="5" spans="1:8">
      <c r="A5" s="213" t="s">
        <v>287</v>
      </c>
      <c r="B5" s="213" t="s">
        <v>284</v>
      </c>
      <c r="C5" s="215"/>
      <c r="D5" s="215"/>
      <c r="E5" s="213" t="s">
        <v>334</v>
      </c>
      <c r="F5" s="213" t="s">
        <v>284</v>
      </c>
      <c r="G5" s="215"/>
      <c r="H5" s="215"/>
    </row>
    <row r="6" spans="1:8">
      <c r="A6" s="213" t="s">
        <v>288</v>
      </c>
      <c r="B6" s="213" t="s">
        <v>284</v>
      </c>
      <c r="C6" s="215"/>
      <c r="D6" s="215"/>
      <c r="E6" s="213" t="s">
        <v>335</v>
      </c>
      <c r="F6" s="213" t="s">
        <v>284</v>
      </c>
      <c r="G6" s="215"/>
      <c r="H6" s="215"/>
    </row>
    <row r="7" spans="1:8" ht="14.1" customHeight="1">
      <c r="A7" s="213" t="s">
        <v>432</v>
      </c>
      <c r="B7" s="213" t="s">
        <v>284</v>
      </c>
      <c r="C7" s="215"/>
      <c r="D7" s="215"/>
      <c r="E7" s="213" t="s">
        <v>433</v>
      </c>
      <c r="F7" s="213" t="s">
        <v>284</v>
      </c>
      <c r="G7" s="215"/>
      <c r="H7" s="215"/>
    </row>
    <row r="8" spans="1:8">
      <c r="A8" s="213" t="s">
        <v>289</v>
      </c>
      <c r="B8" s="213" t="s">
        <v>284</v>
      </c>
      <c r="C8" s="215"/>
      <c r="D8" s="215"/>
      <c r="E8" s="213" t="s">
        <v>336</v>
      </c>
      <c r="F8" s="213" t="s">
        <v>284</v>
      </c>
      <c r="G8" s="215"/>
      <c r="H8" s="215"/>
    </row>
    <row r="9" spans="1:8">
      <c r="A9" s="213" t="s">
        <v>290</v>
      </c>
      <c r="B9" s="213" t="s">
        <v>284</v>
      </c>
      <c r="C9" s="214">
        <v>134829429.77000001</v>
      </c>
      <c r="D9" s="214">
        <v>112193052.92</v>
      </c>
      <c r="E9" s="213" t="s">
        <v>337</v>
      </c>
      <c r="F9" s="213" t="s">
        <v>284</v>
      </c>
      <c r="G9" s="214">
        <v>96304716.090000004</v>
      </c>
      <c r="H9" s="214">
        <v>187800568.91</v>
      </c>
    </row>
    <row r="10" spans="1:8">
      <c r="A10" s="213" t="s">
        <v>291</v>
      </c>
      <c r="B10" s="213" t="s">
        <v>284</v>
      </c>
      <c r="C10" s="214">
        <v>498302580.38</v>
      </c>
      <c r="D10" s="214">
        <v>3373979906.9299998</v>
      </c>
      <c r="E10" s="213" t="s">
        <v>338</v>
      </c>
      <c r="F10" s="213" t="s">
        <v>284</v>
      </c>
      <c r="G10" s="214">
        <v>601836796.69000006</v>
      </c>
      <c r="H10" s="214">
        <v>2145733057.4400001</v>
      </c>
    </row>
    <row r="11" spans="1:8">
      <c r="A11" s="213" t="s">
        <v>292</v>
      </c>
      <c r="B11" s="213" t="s">
        <v>284</v>
      </c>
      <c r="C11" s="215"/>
      <c r="D11" s="215"/>
      <c r="E11" s="213" t="s">
        <v>339</v>
      </c>
      <c r="F11" s="213" t="s">
        <v>284</v>
      </c>
      <c r="G11" s="214">
        <v>202883386.56</v>
      </c>
      <c r="H11" s="214">
        <v>270065963.33999997</v>
      </c>
    </row>
    <row r="12" spans="1:8">
      <c r="A12" s="213" t="s">
        <v>293</v>
      </c>
      <c r="B12" s="213" t="s">
        <v>284</v>
      </c>
      <c r="C12" s="214">
        <v>158550734.24000001</v>
      </c>
      <c r="D12" s="214">
        <v>667469447.53999996</v>
      </c>
      <c r="E12" s="213" t="s">
        <v>340</v>
      </c>
      <c r="F12" s="213" t="s">
        <v>284</v>
      </c>
      <c r="G12" s="215"/>
      <c r="H12" s="215"/>
    </row>
    <row r="13" spans="1:8">
      <c r="A13" s="213" t="s">
        <v>294</v>
      </c>
      <c r="B13" s="213" t="s">
        <v>284</v>
      </c>
      <c r="C13" s="215"/>
      <c r="D13" s="215"/>
      <c r="E13" s="213" t="s">
        <v>341</v>
      </c>
      <c r="F13" s="213" t="s">
        <v>284</v>
      </c>
      <c r="G13" s="215"/>
      <c r="H13" s="215"/>
    </row>
    <row r="14" spans="1:8">
      <c r="A14" s="213" t="s">
        <v>295</v>
      </c>
      <c r="B14" s="213" t="s">
        <v>284</v>
      </c>
      <c r="C14" s="215"/>
      <c r="D14" s="215"/>
      <c r="E14" s="213" t="s">
        <v>342</v>
      </c>
      <c r="F14" s="213" t="s">
        <v>284</v>
      </c>
      <c r="G14" s="214">
        <v>35745466.630000003</v>
      </c>
      <c r="H14" s="214">
        <v>28742985.23</v>
      </c>
    </row>
    <row r="15" spans="1:8">
      <c r="A15" s="213" t="s">
        <v>296</v>
      </c>
      <c r="B15" s="213" t="s">
        <v>284</v>
      </c>
      <c r="C15" s="215"/>
      <c r="D15" s="215"/>
      <c r="E15" s="213" t="s">
        <v>343</v>
      </c>
      <c r="F15" s="213" t="s">
        <v>284</v>
      </c>
      <c r="G15" s="214">
        <v>32404706.449999999</v>
      </c>
      <c r="H15" s="214">
        <v>185342945.19999999</v>
      </c>
    </row>
    <row r="16" spans="1:8">
      <c r="A16" s="213" t="s">
        <v>297</v>
      </c>
      <c r="B16" s="213" t="s">
        <v>284</v>
      </c>
      <c r="C16" s="214">
        <v>17422335.73</v>
      </c>
      <c r="D16" s="214">
        <v>71645789.430000007</v>
      </c>
      <c r="E16" s="213" t="s">
        <v>344</v>
      </c>
      <c r="F16" s="213" t="s">
        <v>284</v>
      </c>
      <c r="G16" s="214">
        <v>261293127.62</v>
      </c>
      <c r="H16" s="214">
        <v>128131691.98</v>
      </c>
    </row>
    <row r="17" spans="1:8">
      <c r="A17" s="213" t="s">
        <v>298</v>
      </c>
      <c r="B17" s="213" t="s">
        <v>284</v>
      </c>
      <c r="C17" s="215"/>
      <c r="D17" s="215"/>
      <c r="E17" s="213" t="s">
        <v>345</v>
      </c>
      <c r="F17" s="213" t="s">
        <v>284</v>
      </c>
      <c r="G17" s="214">
        <v>34053494.630000003</v>
      </c>
      <c r="H17" s="214">
        <v>7516092.2599999998</v>
      </c>
    </row>
    <row r="18" spans="1:8">
      <c r="A18" s="216" t="s">
        <v>299</v>
      </c>
      <c r="B18" s="213" t="s">
        <v>284</v>
      </c>
      <c r="C18" s="215"/>
      <c r="D18" s="215"/>
      <c r="E18" s="216" t="s">
        <v>346</v>
      </c>
      <c r="F18" s="213" t="s">
        <v>284</v>
      </c>
      <c r="G18" s="214">
        <v>240900</v>
      </c>
      <c r="H18" s="214">
        <v>240900</v>
      </c>
    </row>
    <row r="19" spans="1:8">
      <c r="A19" s="213" t="s">
        <v>300</v>
      </c>
      <c r="B19" s="213" t="s">
        <v>284</v>
      </c>
      <c r="C19" s="215"/>
      <c r="D19" s="215"/>
      <c r="E19" s="213" t="s">
        <v>347</v>
      </c>
      <c r="F19" s="213" t="s">
        <v>284</v>
      </c>
      <c r="G19" s="215"/>
      <c r="H19" s="215"/>
    </row>
    <row r="20" spans="1:8">
      <c r="A20" s="213" t="s">
        <v>301</v>
      </c>
      <c r="B20" s="213" t="s">
        <v>284</v>
      </c>
      <c r="C20" s="214">
        <v>469909848.26999998</v>
      </c>
      <c r="D20" s="214">
        <v>775275984.23000002</v>
      </c>
      <c r="E20" s="213" t="s">
        <v>348</v>
      </c>
      <c r="F20" s="213" t="s">
        <v>284</v>
      </c>
      <c r="G20" s="215"/>
      <c r="H20" s="215"/>
    </row>
    <row r="21" spans="1:8">
      <c r="A21" s="213" t="s">
        <v>302</v>
      </c>
      <c r="B21" s="213" t="s">
        <v>284</v>
      </c>
      <c r="C21" s="215"/>
      <c r="D21" s="215"/>
      <c r="E21" s="213" t="s">
        <v>349</v>
      </c>
      <c r="F21" s="213" t="s">
        <v>284</v>
      </c>
      <c r="G21" s="215"/>
      <c r="H21" s="215"/>
    </row>
    <row r="22" spans="1:8">
      <c r="A22" s="213" t="s">
        <v>303</v>
      </c>
      <c r="B22" s="213" t="s">
        <v>284</v>
      </c>
      <c r="C22" s="215"/>
      <c r="D22" s="215"/>
      <c r="E22" s="213" t="s">
        <v>350</v>
      </c>
      <c r="F22" s="213" t="s">
        <v>284</v>
      </c>
      <c r="G22" s="214">
        <v>29432656.32</v>
      </c>
      <c r="H22" s="214">
        <v>595970703.59000003</v>
      </c>
    </row>
    <row r="23" spans="1:8">
      <c r="A23" s="213" t="s">
        <v>304</v>
      </c>
      <c r="B23" s="213" t="s">
        <v>284</v>
      </c>
      <c r="C23" s="214">
        <v>54993075.82</v>
      </c>
      <c r="D23" s="214">
        <v>20841605.16</v>
      </c>
      <c r="E23" s="213" t="s">
        <v>351</v>
      </c>
      <c r="F23" s="213" t="s">
        <v>284</v>
      </c>
      <c r="G23" s="214">
        <v>40097314.840000004</v>
      </c>
      <c r="H23" s="215"/>
    </row>
    <row r="24" spans="1:8">
      <c r="A24" s="213" t="s">
        <v>305</v>
      </c>
      <c r="B24" s="213" t="s">
        <v>284</v>
      </c>
      <c r="C24" s="214">
        <v>42251868.710000001</v>
      </c>
      <c r="D24" s="214">
        <v>6437498.0899999999</v>
      </c>
      <c r="E24" s="222" t="s">
        <v>352</v>
      </c>
      <c r="F24" s="213" t="s">
        <v>284</v>
      </c>
      <c r="G24" s="235">
        <v>3009071180.7199998</v>
      </c>
      <c r="H24" s="214">
        <v>4583407497.1300001</v>
      </c>
    </row>
    <row r="25" spans="1:8">
      <c r="A25" s="222" t="s">
        <v>306</v>
      </c>
      <c r="B25" s="213" t="s">
        <v>284</v>
      </c>
      <c r="C25" s="235">
        <v>1591924559.6600001</v>
      </c>
      <c r="D25" s="214">
        <v>5327209547.8299999</v>
      </c>
      <c r="E25" s="209" t="s">
        <v>353</v>
      </c>
      <c r="F25" s="217" t="s">
        <v>284</v>
      </c>
      <c r="G25" s="215"/>
      <c r="H25" s="215"/>
    </row>
    <row r="26" spans="1:8">
      <c r="A26" s="209" t="s">
        <v>307</v>
      </c>
      <c r="B26" s="217" t="s">
        <v>284</v>
      </c>
      <c r="C26" s="215"/>
      <c r="D26" s="215"/>
      <c r="E26" s="213" t="s">
        <v>354</v>
      </c>
      <c r="F26" s="213" t="s">
        <v>284</v>
      </c>
      <c r="G26" s="215"/>
      <c r="H26" s="214">
        <v>64300000</v>
      </c>
    </row>
    <row r="27" spans="1:8">
      <c r="A27" s="213" t="s">
        <v>308</v>
      </c>
      <c r="B27" s="213" t="s">
        <v>284</v>
      </c>
      <c r="C27" s="215"/>
      <c r="D27" s="215"/>
      <c r="E27" s="213" t="s">
        <v>355</v>
      </c>
      <c r="F27" s="213" t="s">
        <v>284</v>
      </c>
      <c r="G27" s="215"/>
      <c r="H27" s="215"/>
    </row>
    <row r="28" spans="1:8">
      <c r="A28" s="213" t="s">
        <v>309</v>
      </c>
      <c r="B28" s="213" t="s">
        <v>284</v>
      </c>
      <c r="C28" s="215"/>
      <c r="D28" s="215"/>
      <c r="E28" s="213" t="s">
        <v>356</v>
      </c>
      <c r="F28" s="213" t="s">
        <v>284</v>
      </c>
      <c r="G28" s="215"/>
      <c r="H28" s="215"/>
    </row>
    <row r="29" spans="1:8">
      <c r="A29" s="213" t="s">
        <v>310</v>
      </c>
      <c r="B29" s="213" t="s">
        <v>284</v>
      </c>
      <c r="C29" s="215"/>
      <c r="D29" s="214">
        <v>23677731.899999999</v>
      </c>
      <c r="E29" s="213" t="s">
        <v>357</v>
      </c>
      <c r="F29" s="213" t="s">
        <v>284</v>
      </c>
      <c r="G29" s="214">
        <v>8363282.1200000001</v>
      </c>
      <c r="H29" s="214">
        <v>234002.42</v>
      </c>
    </row>
    <row r="30" spans="1:8">
      <c r="A30" s="213" t="s">
        <v>311</v>
      </c>
      <c r="B30" s="213" t="s">
        <v>284</v>
      </c>
      <c r="C30" s="215"/>
      <c r="D30" s="215"/>
      <c r="E30" s="213" t="s">
        <v>358</v>
      </c>
      <c r="F30" s="213" t="s">
        <v>284</v>
      </c>
      <c r="G30" s="214">
        <v>67628600.290000007</v>
      </c>
      <c r="H30" s="214">
        <v>73273840.209999993</v>
      </c>
    </row>
    <row r="31" spans="1:8">
      <c r="A31" s="213" t="s">
        <v>312</v>
      </c>
      <c r="B31" s="213" t="s">
        <v>284</v>
      </c>
      <c r="C31" s="215"/>
      <c r="D31" s="215"/>
      <c r="E31" s="213" t="s">
        <v>359</v>
      </c>
      <c r="F31" s="213" t="s">
        <v>284</v>
      </c>
      <c r="G31" s="214">
        <v>1455288.83</v>
      </c>
      <c r="H31" s="214">
        <v>5180420.8</v>
      </c>
    </row>
    <row r="32" spans="1:8">
      <c r="A32" s="213" t="s">
        <v>313</v>
      </c>
      <c r="B32" s="213" t="s">
        <v>284</v>
      </c>
      <c r="C32" s="214">
        <v>267914083.22999999</v>
      </c>
      <c r="D32" s="214">
        <v>188124181.38</v>
      </c>
      <c r="E32" s="213" t="s">
        <v>360</v>
      </c>
      <c r="F32" s="213" t="s">
        <v>284</v>
      </c>
      <c r="G32" s="215"/>
      <c r="H32" s="215"/>
    </row>
    <row r="33" spans="1:8">
      <c r="A33" s="213" t="s">
        <v>314</v>
      </c>
      <c r="B33" s="213" t="s">
        <v>284</v>
      </c>
      <c r="C33" s="214">
        <v>53656748.659999996</v>
      </c>
      <c r="D33" s="214">
        <v>53566293.409999996</v>
      </c>
      <c r="E33" s="222" t="s">
        <v>361</v>
      </c>
      <c r="F33" s="213" t="s">
        <v>284</v>
      </c>
      <c r="G33" s="214">
        <v>77447171.239999995</v>
      </c>
      <c r="H33" s="214">
        <v>142988263.43000001</v>
      </c>
    </row>
    <row r="34" spans="1:8">
      <c r="A34" s="213" t="s">
        <v>315</v>
      </c>
      <c r="B34" s="213" t="s">
        <v>284</v>
      </c>
      <c r="C34" s="215"/>
      <c r="D34" s="215"/>
      <c r="E34" s="222" t="s">
        <v>362</v>
      </c>
      <c r="F34" s="213" t="s">
        <v>284</v>
      </c>
      <c r="G34" s="214">
        <v>3086518351.96</v>
      </c>
      <c r="H34" s="214">
        <v>4726395760.5600004</v>
      </c>
    </row>
    <row r="35" spans="1:8">
      <c r="A35" s="213" t="s">
        <v>316</v>
      </c>
      <c r="B35" s="213" t="s">
        <v>284</v>
      </c>
      <c r="C35" s="214">
        <v>16113352.41</v>
      </c>
      <c r="D35" s="215"/>
      <c r="E35" s="209" t="s">
        <v>363</v>
      </c>
      <c r="F35" s="217" t="s">
        <v>284</v>
      </c>
      <c r="G35" s="215"/>
      <c r="H35" s="215"/>
    </row>
    <row r="36" spans="1:8">
      <c r="A36" s="213" t="s">
        <v>317</v>
      </c>
      <c r="B36" s="213" t="s">
        <v>284</v>
      </c>
      <c r="C36" s="214">
        <v>240336881.59</v>
      </c>
      <c r="D36" s="214">
        <v>252327574.38</v>
      </c>
      <c r="E36" s="213" t="s">
        <v>364</v>
      </c>
      <c r="F36" s="213" t="s">
        <v>284</v>
      </c>
      <c r="G36" s="214">
        <v>622372316</v>
      </c>
      <c r="H36" s="214">
        <v>623515807</v>
      </c>
    </row>
    <row r="37" spans="1:8">
      <c r="A37" s="213" t="s">
        <v>318</v>
      </c>
      <c r="B37" s="213" t="s">
        <v>284</v>
      </c>
      <c r="C37" s="214">
        <v>251545437.47999999</v>
      </c>
      <c r="D37" s="214">
        <v>260803802.97999999</v>
      </c>
      <c r="E37" s="213" t="s">
        <v>365</v>
      </c>
      <c r="F37" s="213" t="s">
        <v>284</v>
      </c>
      <c r="G37" s="215"/>
      <c r="H37" s="215"/>
    </row>
    <row r="38" spans="1:8">
      <c r="A38" s="213" t="s">
        <v>319</v>
      </c>
      <c r="B38" s="213" t="s">
        <v>284</v>
      </c>
      <c r="C38" s="215"/>
      <c r="D38" s="215"/>
      <c r="E38" s="213" t="s">
        <v>356</v>
      </c>
      <c r="F38" s="213" t="s">
        <v>284</v>
      </c>
      <c r="G38" s="215"/>
      <c r="H38" s="215"/>
    </row>
    <row r="39" spans="1:8">
      <c r="A39" s="213" t="s">
        <v>320</v>
      </c>
      <c r="B39" s="213" t="s">
        <v>284</v>
      </c>
      <c r="C39" s="215"/>
      <c r="D39" s="215"/>
      <c r="E39" s="213" t="s">
        <v>366</v>
      </c>
      <c r="F39" s="213" t="s">
        <v>284</v>
      </c>
      <c r="G39" s="214">
        <v>2078156372.6800001</v>
      </c>
      <c r="H39" s="214">
        <v>2091171752.8900001</v>
      </c>
    </row>
    <row r="40" spans="1:8">
      <c r="A40" s="213" t="s">
        <v>321</v>
      </c>
      <c r="B40" s="213" t="s">
        <v>284</v>
      </c>
      <c r="C40" s="215"/>
      <c r="D40" s="215"/>
      <c r="E40" s="213" t="s">
        <v>367</v>
      </c>
      <c r="F40" s="213" t="s">
        <v>284</v>
      </c>
      <c r="G40" s="215"/>
      <c r="H40" s="215"/>
    </row>
    <row r="41" spans="1:8">
      <c r="A41" s="213" t="s">
        <v>322</v>
      </c>
      <c r="B41" s="213" t="s">
        <v>284</v>
      </c>
      <c r="C41" s="215"/>
      <c r="D41" s="215"/>
      <c r="E41" s="213" t="s">
        <v>368</v>
      </c>
      <c r="F41" s="213" t="s">
        <v>284</v>
      </c>
      <c r="G41" s="214">
        <v>-15751238.83</v>
      </c>
      <c r="H41" s="214">
        <v>1508416.92</v>
      </c>
    </row>
    <row r="42" spans="1:8">
      <c r="A42" s="213" t="s">
        <v>323</v>
      </c>
      <c r="B42" s="213" t="s">
        <v>284</v>
      </c>
      <c r="C42" s="214">
        <v>46582499.859999999</v>
      </c>
      <c r="D42" s="214">
        <v>63405749.630000003</v>
      </c>
      <c r="E42" s="213" t="s">
        <v>369</v>
      </c>
      <c r="F42" s="213" t="s">
        <v>284</v>
      </c>
      <c r="G42" s="215"/>
      <c r="H42" s="215"/>
    </row>
    <row r="43" spans="1:8">
      <c r="A43" s="218" t="s">
        <v>324</v>
      </c>
      <c r="B43" s="218" t="s">
        <v>284</v>
      </c>
      <c r="C43" s="219"/>
      <c r="D43" s="219"/>
      <c r="E43" s="213" t="s">
        <v>370</v>
      </c>
      <c r="F43" s="213" t="s">
        <v>284</v>
      </c>
      <c r="G43" s="214">
        <v>19062040.02</v>
      </c>
      <c r="H43" s="214">
        <v>19062040.02</v>
      </c>
    </row>
    <row r="44" spans="1:8">
      <c r="A44" s="218" t="s">
        <v>325</v>
      </c>
      <c r="B44" s="218" t="s">
        <v>284</v>
      </c>
      <c r="C44" s="219"/>
      <c r="D44" s="220">
        <v>1028261563.3200001</v>
      </c>
      <c r="E44" s="213" t="s">
        <v>371</v>
      </c>
      <c r="F44" s="213" t="s">
        <v>284</v>
      </c>
      <c r="G44" s="215"/>
      <c r="H44" s="215"/>
    </row>
    <row r="45" spans="1:8">
      <c r="A45" s="218" t="s">
        <v>326</v>
      </c>
      <c r="B45" s="218" t="s">
        <v>284</v>
      </c>
      <c r="C45" s="221">
        <v>22288879.280000001</v>
      </c>
      <c r="D45" s="221">
        <v>30540805.57</v>
      </c>
      <c r="E45" s="213" t="s">
        <v>372</v>
      </c>
      <c r="F45" s="213" t="s">
        <v>284</v>
      </c>
      <c r="G45" s="214">
        <v>-3172094908.6500001</v>
      </c>
      <c r="H45" s="214">
        <v>-125066537.89</v>
      </c>
    </row>
    <row r="46" spans="1:8">
      <c r="A46" s="218" t="s">
        <v>327</v>
      </c>
      <c r="B46" s="218" t="s">
        <v>284</v>
      </c>
      <c r="C46" s="221">
        <v>65132502.82</v>
      </c>
      <c r="D46" s="221">
        <v>29391914.899999999</v>
      </c>
      <c r="E46" s="213" t="s">
        <v>434</v>
      </c>
      <c r="F46" s="213" t="s">
        <v>284</v>
      </c>
      <c r="G46" s="234">
        <v>-468255418.77999997</v>
      </c>
      <c r="H46" s="234">
        <v>2610191478.9400001</v>
      </c>
    </row>
    <row r="47" spans="1:8">
      <c r="A47" s="218" t="s">
        <v>328</v>
      </c>
      <c r="B47" s="218" t="s">
        <v>284</v>
      </c>
      <c r="C47" s="221">
        <v>62678881.880000003</v>
      </c>
      <c r="D47" s="221">
        <v>79278074.200000003</v>
      </c>
      <c r="E47" s="213" t="s">
        <v>373</v>
      </c>
      <c r="F47" s="213" t="s">
        <v>284</v>
      </c>
      <c r="G47" s="214">
        <v>-89106.31</v>
      </c>
      <c r="H47" s="215"/>
    </row>
    <row r="48" spans="1:8">
      <c r="A48" s="223" t="s">
        <v>329</v>
      </c>
      <c r="B48" s="218" t="s">
        <v>284</v>
      </c>
      <c r="C48" s="221">
        <v>1026249267.21</v>
      </c>
      <c r="D48" s="220">
        <v>2009377691.6700001</v>
      </c>
      <c r="E48" s="209" t="s">
        <v>435</v>
      </c>
      <c r="F48" s="213" t="s">
        <v>284</v>
      </c>
      <c r="G48" s="214">
        <v>-468344525.08999997</v>
      </c>
      <c r="H48" s="214">
        <v>2610191478.9400001</v>
      </c>
    </row>
    <row r="49" spans="1:8">
      <c r="A49" s="224" t="s">
        <v>330</v>
      </c>
      <c r="B49" s="218" t="s">
        <v>284</v>
      </c>
      <c r="C49" s="221">
        <v>2618173826.8699999</v>
      </c>
      <c r="D49" s="220">
        <v>7336587239.5</v>
      </c>
      <c r="E49" s="209" t="s">
        <v>436</v>
      </c>
      <c r="F49" s="213" t="s">
        <v>284</v>
      </c>
      <c r="G49" s="214">
        <v>2618173826.8699999</v>
      </c>
      <c r="H49" s="214">
        <v>7336587239.5</v>
      </c>
    </row>
    <row r="93" spans="7:7">
      <c r="G93" s="225"/>
    </row>
  </sheetData>
  <phoneticPr fontId="3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C66"/>
  <sheetViews>
    <sheetView zoomScale="80" zoomScaleNormal="80" workbookViewId="0">
      <selection activeCell="C5" sqref="C5"/>
    </sheetView>
  </sheetViews>
  <sheetFormatPr defaultColWidth="9" defaultRowHeight="15.6"/>
  <cols>
    <col min="1" max="1" width="2.109375" style="62" customWidth="1"/>
    <col min="2" max="2" width="25.77734375" style="62" customWidth="1"/>
    <col min="3" max="3" width="20.44140625" style="63" customWidth="1"/>
    <col min="4" max="4" width="14.88671875" style="63" customWidth="1"/>
    <col min="5" max="5" width="15.109375" style="63" customWidth="1"/>
    <col min="6" max="6" width="9.44140625" style="64" customWidth="1"/>
    <col min="7" max="7" width="2.44140625" style="65" customWidth="1"/>
    <col min="8" max="8" width="2.44140625" style="62" customWidth="1"/>
    <col min="9" max="9" width="15" style="66" customWidth="1"/>
    <col min="10" max="10" width="15.44140625" style="66" customWidth="1"/>
    <col min="11" max="11" width="18.33203125" style="66" customWidth="1"/>
    <col min="12" max="12" width="15.33203125" style="66" customWidth="1"/>
    <col min="13" max="13" width="20.109375" style="66" customWidth="1"/>
    <col min="14" max="14" width="18.44140625" style="66" customWidth="1"/>
    <col min="15" max="15" width="16.21875" style="66" customWidth="1"/>
    <col min="16" max="16" width="17.33203125" style="66" customWidth="1"/>
    <col min="17" max="17" width="18.88671875" style="66" customWidth="1"/>
    <col min="18" max="18" width="17.6640625" style="66" customWidth="1"/>
    <col min="19" max="20" width="16.21875" style="66" customWidth="1"/>
    <col min="21" max="21" width="20.88671875" style="66" customWidth="1"/>
    <col min="22" max="26" width="17.88671875" style="66" customWidth="1"/>
    <col min="27" max="27" width="14.44140625" style="66" customWidth="1"/>
    <col min="28" max="29" width="9" style="66"/>
    <col min="30" max="16384" width="9" style="62"/>
  </cols>
  <sheetData>
    <row r="1" spans="2:29" ht="17.100000000000001" customHeight="1">
      <c r="B1" s="248" t="s">
        <v>235</v>
      </c>
      <c r="C1" s="249"/>
      <c r="D1" s="249"/>
      <c r="E1" s="249"/>
      <c r="J1" s="147" t="s">
        <v>236</v>
      </c>
    </row>
    <row r="2" spans="2:29" ht="17.100000000000001" customHeight="1">
      <c r="B2" s="250" t="s">
        <v>121</v>
      </c>
      <c r="C2" s="251"/>
      <c r="D2" s="251"/>
      <c r="E2" s="252"/>
      <c r="I2" s="244" t="s">
        <v>122</v>
      </c>
      <c r="J2" s="148" t="s">
        <v>237</v>
      </c>
      <c r="K2" s="149" t="s">
        <v>238</v>
      </c>
      <c r="L2" s="149" t="s">
        <v>239</v>
      </c>
      <c r="M2" s="149" t="s">
        <v>240</v>
      </c>
      <c r="N2" s="149" t="s">
        <v>241</v>
      </c>
      <c r="O2" s="149"/>
      <c r="P2" s="149"/>
      <c r="Q2" s="149" t="s">
        <v>242</v>
      </c>
      <c r="R2" s="149"/>
      <c r="S2" s="149"/>
      <c r="T2" s="149"/>
      <c r="U2" s="149" t="s">
        <v>243</v>
      </c>
      <c r="V2" s="149"/>
      <c r="W2" s="149"/>
      <c r="X2" s="149"/>
      <c r="Y2" s="149"/>
      <c r="Z2" s="191"/>
      <c r="AA2" s="192"/>
      <c r="AB2" s="192"/>
      <c r="AC2" s="192"/>
    </row>
    <row r="3" spans="2:29" ht="17.100000000000001" customHeight="1">
      <c r="B3" s="67" t="s">
        <v>123</v>
      </c>
      <c r="C3" s="68">
        <v>33975</v>
      </c>
      <c r="D3" s="69" t="s">
        <v>124</v>
      </c>
      <c r="E3" s="70">
        <f>C8/120</f>
        <v>523.95291666666662</v>
      </c>
      <c r="I3" s="245"/>
      <c r="J3" s="150" t="s">
        <v>244</v>
      </c>
      <c r="K3" s="151"/>
      <c r="L3" s="151"/>
      <c r="M3" s="151"/>
      <c r="N3" s="151" t="s">
        <v>245</v>
      </c>
      <c r="O3" s="151"/>
      <c r="P3" s="151" t="s">
        <v>246</v>
      </c>
      <c r="Q3" s="151"/>
      <c r="R3" s="151" t="s">
        <v>247</v>
      </c>
      <c r="S3" s="151"/>
      <c r="T3" s="151"/>
      <c r="U3" s="151" t="s">
        <v>248</v>
      </c>
      <c r="V3" s="151"/>
      <c r="W3" s="151"/>
      <c r="X3" s="151"/>
      <c r="Y3" s="151" t="s">
        <v>249</v>
      </c>
      <c r="Z3" s="193"/>
      <c r="AA3" s="192"/>
      <c r="AB3" s="192"/>
      <c r="AC3" s="192"/>
    </row>
    <row r="4" spans="2:29" ht="17.100000000000001" customHeight="1">
      <c r="B4" s="67" t="s">
        <v>125</v>
      </c>
      <c r="C4" s="68">
        <v>2</v>
      </c>
      <c r="D4" s="69" t="s">
        <v>126</v>
      </c>
      <c r="E4" s="70">
        <f>E3*1</f>
        <v>523.95291666666662</v>
      </c>
      <c r="I4" s="152" t="s">
        <v>127</v>
      </c>
      <c r="J4" s="253">
        <v>2020</v>
      </c>
      <c r="K4" s="253"/>
      <c r="L4" s="253"/>
      <c r="M4" s="253"/>
      <c r="N4" s="254">
        <v>2021</v>
      </c>
      <c r="O4" s="254"/>
      <c r="P4" s="254"/>
      <c r="Q4" s="254"/>
      <c r="R4" s="253">
        <v>2022</v>
      </c>
      <c r="S4" s="253"/>
      <c r="T4" s="253"/>
      <c r="U4" s="253"/>
      <c r="V4" s="246">
        <v>2023</v>
      </c>
      <c r="W4" s="246"/>
      <c r="X4" s="246"/>
      <c r="Y4" s="246"/>
      <c r="Z4" s="194" t="s">
        <v>128</v>
      </c>
    </row>
    <row r="5" spans="2:29" ht="17.100000000000001" customHeight="1">
      <c r="B5" s="67" t="s">
        <v>129</v>
      </c>
      <c r="C5" s="69">
        <f>C3*C4</f>
        <v>67950</v>
      </c>
      <c r="D5" s="69" t="s">
        <v>130</v>
      </c>
      <c r="E5" s="71">
        <v>0.35</v>
      </c>
      <c r="I5" s="153" t="s">
        <v>131</v>
      </c>
      <c r="J5" s="154" t="s">
        <v>132</v>
      </c>
      <c r="K5" s="154" t="s">
        <v>133</v>
      </c>
      <c r="L5" s="154" t="s">
        <v>134</v>
      </c>
      <c r="M5" s="154" t="s">
        <v>135</v>
      </c>
      <c r="N5" s="155" t="s">
        <v>132</v>
      </c>
      <c r="O5" s="155" t="s">
        <v>133</v>
      </c>
      <c r="P5" s="155" t="s">
        <v>134</v>
      </c>
      <c r="Q5" s="155" t="s">
        <v>135</v>
      </c>
      <c r="R5" s="154" t="s">
        <v>132</v>
      </c>
      <c r="S5" s="154" t="s">
        <v>133</v>
      </c>
      <c r="T5" s="154" t="s">
        <v>134</v>
      </c>
      <c r="U5" s="154" t="s">
        <v>135</v>
      </c>
      <c r="V5" s="155" t="s">
        <v>132</v>
      </c>
      <c r="W5" s="155" t="s">
        <v>133</v>
      </c>
      <c r="X5" s="155" t="s">
        <v>134</v>
      </c>
      <c r="Y5" s="155" t="s">
        <v>135</v>
      </c>
      <c r="Z5" s="195"/>
    </row>
    <row r="6" spans="2:29" ht="17.100000000000001" customHeight="1">
      <c r="B6" s="67" t="s">
        <v>136</v>
      </c>
      <c r="C6" s="69">
        <f>C3*0.8</f>
        <v>27180</v>
      </c>
      <c r="D6" s="69" t="s">
        <v>137</v>
      </c>
      <c r="E6" s="70">
        <v>4600</v>
      </c>
      <c r="I6" s="156" t="s">
        <v>138</v>
      </c>
      <c r="J6" s="157">
        <v>0</v>
      </c>
      <c r="K6" s="157">
        <v>0</v>
      </c>
      <c r="L6" s="157">
        <v>0</v>
      </c>
      <c r="M6" s="157">
        <v>0.3</v>
      </c>
      <c r="N6" s="158">
        <v>0.1</v>
      </c>
      <c r="O6" s="158">
        <v>0.05</v>
      </c>
      <c r="P6" s="159">
        <v>0.3</v>
      </c>
      <c r="Q6" s="158">
        <v>0.05</v>
      </c>
      <c r="R6" s="189">
        <v>0.05</v>
      </c>
      <c r="S6" s="189">
        <v>0.05</v>
      </c>
      <c r="T6" s="189">
        <v>0.05</v>
      </c>
      <c r="U6" s="189">
        <v>0.05</v>
      </c>
      <c r="V6" s="158"/>
      <c r="W6" s="158"/>
      <c r="X6" s="158"/>
      <c r="Y6" s="158"/>
      <c r="Z6" s="196">
        <f t="shared" ref="Z6:Z13" si="0">SUM(J6:Y6)</f>
        <v>1.0000000000000002</v>
      </c>
    </row>
    <row r="7" spans="2:29" ht="17.100000000000001" customHeight="1">
      <c r="B7" s="67" t="s">
        <v>139</v>
      </c>
      <c r="C7" s="69">
        <f>SUM(C5:C6)</f>
        <v>95130</v>
      </c>
      <c r="D7" s="69" t="s">
        <v>140</v>
      </c>
      <c r="E7" s="70">
        <f>C5-E6-E8</f>
        <v>62874.35</v>
      </c>
      <c r="I7" s="156" t="s">
        <v>141</v>
      </c>
      <c r="J7" s="160">
        <f>D42*J6</f>
        <v>0</v>
      </c>
      <c r="K7" s="160">
        <f>D42*K6</f>
        <v>0</v>
      </c>
      <c r="L7" s="160">
        <f>D42*L6</f>
        <v>0</v>
      </c>
      <c r="M7" s="160">
        <f>D42*M6</f>
        <v>52675.762499999997</v>
      </c>
      <c r="N7" s="161">
        <f>D42*N6</f>
        <v>17558.587500000001</v>
      </c>
      <c r="O7" s="161">
        <f>D42*O6</f>
        <v>8779.2937500000007</v>
      </c>
      <c r="P7" s="161">
        <f>D42*P6</f>
        <v>52675.762499999997</v>
      </c>
      <c r="Q7" s="161">
        <f>D42*Q6</f>
        <v>8779.2937500000007</v>
      </c>
      <c r="R7" s="160">
        <f>D42*R6</f>
        <v>8779.2937500000007</v>
      </c>
      <c r="S7" s="160">
        <f>D42*S6</f>
        <v>8779.2937500000007</v>
      </c>
      <c r="T7" s="160">
        <f>D42*T6</f>
        <v>8779.2937500000007</v>
      </c>
      <c r="U7" s="160">
        <f>D42*U6</f>
        <v>8779.2937500000007</v>
      </c>
      <c r="V7" s="161">
        <f>D42*V6</f>
        <v>0</v>
      </c>
      <c r="W7" s="161">
        <f>D42*W6</f>
        <v>0</v>
      </c>
      <c r="X7" s="161">
        <f>D42*X6</f>
        <v>0</v>
      </c>
      <c r="Y7" s="161">
        <f>D42*Y6</f>
        <v>0</v>
      </c>
      <c r="Z7" s="197">
        <f>SUM(J7:V7)</f>
        <v>175585.87500000006</v>
      </c>
    </row>
    <row r="8" spans="2:29" ht="17.100000000000001" customHeight="1">
      <c r="B8" s="72" t="s">
        <v>142</v>
      </c>
      <c r="C8" s="73">
        <f>E7</f>
        <v>62874.35</v>
      </c>
      <c r="D8" s="73" t="s">
        <v>143</v>
      </c>
      <c r="E8" s="74">
        <f>C5*0.7%</f>
        <v>475.65</v>
      </c>
      <c r="I8" s="162" t="s">
        <v>144</v>
      </c>
      <c r="J8" s="160"/>
      <c r="K8" s="160"/>
      <c r="L8" s="160"/>
      <c r="M8" s="160"/>
      <c r="N8" s="161"/>
      <c r="O8" s="161"/>
      <c r="P8" s="161"/>
      <c r="Q8" s="161"/>
      <c r="R8" s="160"/>
      <c r="S8" s="160"/>
      <c r="T8" s="160"/>
      <c r="U8" s="160"/>
      <c r="V8" s="161"/>
      <c r="W8" s="161"/>
      <c r="X8" s="161"/>
      <c r="Y8" s="161"/>
      <c r="Z8" s="198"/>
      <c r="AA8" s="199"/>
    </row>
    <row r="9" spans="2:29" ht="17.100000000000001" customHeight="1">
      <c r="B9" s="75" t="s">
        <v>145</v>
      </c>
      <c r="C9" s="76"/>
      <c r="D9" s="77"/>
      <c r="E9" s="78"/>
      <c r="I9" s="163" t="s">
        <v>146</v>
      </c>
      <c r="J9" s="160">
        <f>D11</f>
        <v>68132.519849999997</v>
      </c>
      <c r="K9" s="160"/>
      <c r="L9" s="160"/>
      <c r="M9" s="160"/>
      <c r="N9" s="161"/>
      <c r="O9" s="161"/>
      <c r="P9" s="161"/>
      <c r="Q9" s="161"/>
      <c r="R9" s="160"/>
      <c r="S9" s="160"/>
      <c r="T9" s="160"/>
      <c r="U9" s="160"/>
      <c r="V9" s="161"/>
      <c r="W9" s="161"/>
      <c r="X9" s="161"/>
      <c r="Y9" s="161"/>
      <c r="Z9" s="198">
        <f>SUM(J9:V9)</f>
        <v>68132.519849999997</v>
      </c>
      <c r="AA9" s="199"/>
    </row>
    <row r="10" spans="2:29" ht="17.100000000000001" customHeight="1">
      <c r="B10" s="79" t="s">
        <v>147</v>
      </c>
      <c r="C10" s="80" t="s">
        <v>148</v>
      </c>
      <c r="D10" s="80" t="s">
        <v>149</v>
      </c>
      <c r="E10" s="81" t="s">
        <v>150</v>
      </c>
      <c r="I10" s="163" t="s">
        <v>151</v>
      </c>
      <c r="J10" s="160"/>
      <c r="K10" s="160">
        <f>(D18+D19)*0.5</f>
        <v>1823.825</v>
      </c>
      <c r="L10" s="160">
        <f>(D18+D19)*0.2</f>
        <v>729.53000000000009</v>
      </c>
      <c r="M10" s="160">
        <f>(D18+D19)*0.1</f>
        <v>364.76500000000004</v>
      </c>
      <c r="N10" s="161">
        <f>(D18+D19)*0.2</f>
        <v>729.53000000000009</v>
      </c>
      <c r="O10" s="161"/>
      <c r="P10" s="161"/>
      <c r="Q10" s="161"/>
      <c r="R10" s="160"/>
      <c r="S10" s="160"/>
      <c r="T10" s="160"/>
      <c r="U10" s="160"/>
      <c r="V10" s="161"/>
      <c r="W10" s="161"/>
      <c r="X10" s="161"/>
      <c r="Y10" s="161"/>
      <c r="Z10" s="198">
        <f t="shared" si="0"/>
        <v>3647.65</v>
      </c>
      <c r="AA10" s="199">
        <f>Z10+Z11+Z12</f>
        <v>66470.362125000029</v>
      </c>
    </row>
    <row r="11" spans="2:29" ht="17.100000000000001" customHeight="1">
      <c r="B11" s="82" t="s">
        <v>152</v>
      </c>
      <c r="C11" s="83"/>
      <c r="D11" s="83">
        <f>SUM(D13:D15)</f>
        <v>68132.519849999997</v>
      </c>
      <c r="E11" s="84">
        <f>D11/C5*10000</f>
        <v>10026.860905077261</v>
      </c>
      <c r="F11" s="64">
        <f>D11+D16+D36+D50+D52+D54</f>
        <v>149172.31533946033</v>
      </c>
      <c r="I11" s="163" t="s">
        <v>153</v>
      </c>
      <c r="J11" s="160"/>
      <c r="K11" s="160"/>
      <c r="L11" s="160">
        <f>(D16-D18-D19)*0.1</f>
        <v>4878.8924000000006</v>
      </c>
      <c r="M11" s="160">
        <f>(D16-D18-D19)*0.1</f>
        <v>4878.8924000000006</v>
      </c>
      <c r="N11" s="161">
        <f>(D16-D18-D19)*0.2</f>
        <v>9757.7848000000013</v>
      </c>
      <c r="O11" s="161">
        <f>(D16-D18-D19)*0.2</f>
        <v>9757.7848000000013</v>
      </c>
      <c r="P11" s="161">
        <f>(D16-D18-D19)*0.05</f>
        <v>2439.4462000000003</v>
      </c>
      <c r="Q11" s="161">
        <f>(D16-D18-D19)*0.15</f>
        <v>7318.338600000001</v>
      </c>
      <c r="R11" s="160">
        <f>(D16-D18-D19)*0.025</f>
        <v>1219.7231000000002</v>
      </c>
      <c r="S11" s="160">
        <f>(D16-D18-D19)*0.025</f>
        <v>1219.7231000000002</v>
      </c>
      <c r="T11" s="160">
        <f>(D16-D18-D19)*0.025</f>
        <v>1219.7231000000002</v>
      </c>
      <c r="U11" s="160">
        <f>(D16-D18-D19)*0.025</f>
        <v>1219.7231000000002</v>
      </c>
      <c r="V11" s="161">
        <f>(D16-D18-D19)*0.025</f>
        <v>1219.7231000000002</v>
      </c>
      <c r="W11" s="161">
        <f>(D16-D18-D19)*0.025</f>
        <v>1219.7231000000002</v>
      </c>
      <c r="X11" s="161">
        <f>(D16-D18-D19)*0.025</f>
        <v>1219.7231000000002</v>
      </c>
      <c r="Y11" s="161">
        <f>(D16-D18-D19)*0.025</f>
        <v>1219.7231000000002</v>
      </c>
      <c r="Z11" s="198">
        <f t="shared" si="0"/>
        <v>48788.924000000028</v>
      </c>
      <c r="AA11" s="199"/>
    </row>
    <row r="12" spans="2:29" ht="17.100000000000001" customHeight="1">
      <c r="B12" s="85"/>
      <c r="C12" s="86" t="s">
        <v>154</v>
      </c>
      <c r="D12" s="86">
        <f>D13/1.09+D14+D15</f>
        <v>62704.312281192651</v>
      </c>
      <c r="E12" s="87"/>
      <c r="I12" s="163" t="s">
        <v>155</v>
      </c>
      <c r="J12" s="160"/>
      <c r="K12" s="160">
        <f>D36*0.05</f>
        <v>701.68940625000005</v>
      </c>
      <c r="L12" s="160">
        <f>D36*0.1</f>
        <v>1403.3788125000001</v>
      </c>
      <c r="M12" s="160">
        <f>D36*0.1</f>
        <v>1403.3788125000001</v>
      </c>
      <c r="N12" s="161">
        <f>D36*0.1</f>
        <v>1403.3788125000001</v>
      </c>
      <c r="O12" s="161">
        <f>D36*0.1</f>
        <v>1403.3788125000001</v>
      </c>
      <c r="P12" s="161">
        <f>D36*0.1</f>
        <v>1403.3788125000001</v>
      </c>
      <c r="Q12" s="161">
        <f>D36*0.1</f>
        <v>1403.3788125000001</v>
      </c>
      <c r="R12" s="160">
        <f>D36*0.05</f>
        <v>701.68940625000005</v>
      </c>
      <c r="S12" s="160">
        <f>D36*0.05</f>
        <v>701.68940625000005</v>
      </c>
      <c r="T12" s="160">
        <f>D36*0.05</f>
        <v>701.68940625000005</v>
      </c>
      <c r="U12" s="160">
        <f>D36*0.05</f>
        <v>701.68940625000005</v>
      </c>
      <c r="V12" s="161">
        <f>D36*0.05</f>
        <v>701.68940625000005</v>
      </c>
      <c r="W12" s="161">
        <f>D36*0.05</f>
        <v>701.68940625000005</v>
      </c>
      <c r="X12" s="161">
        <f>D36*0.05</f>
        <v>701.68940625000005</v>
      </c>
      <c r="Y12" s="161"/>
      <c r="Z12" s="198">
        <f t="shared" si="0"/>
        <v>14033.788124999999</v>
      </c>
      <c r="AA12" s="199"/>
    </row>
    <row r="13" spans="2:29" ht="17.100000000000001" customHeight="1">
      <c r="B13" s="88" t="s">
        <v>156</v>
      </c>
      <c r="C13" s="89" t="s">
        <v>157</v>
      </c>
      <c r="D13" s="89">
        <f>E13*C5/10000</f>
        <v>65741.625</v>
      </c>
      <c r="E13" s="90">
        <v>9675</v>
      </c>
      <c r="I13" s="163" t="s">
        <v>158</v>
      </c>
      <c r="J13" s="160"/>
      <c r="K13" s="160"/>
      <c r="L13" s="160"/>
      <c r="M13" s="160">
        <f t="shared" ref="M13:U13" si="1">M7*0.05</f>
        <v>2633.788125</v>
      </c>
      <c r="N13" s="161">
        <f t="shared" si="1"/>
        <v>877.92937500000016</v>
      </c>
      <c r="O13" s="161">
        <f t="shared" si="1"/>
        <v>438.96468750000008</v>
      </c>
      <c r="P13" s="161">
        <f t="shared" si="1"/>
        <v>2633.788125</v>
      </c>
      <c r="Q13" s="161">
        <f t="shared" si="1"/>
        <v>438.96468750000008</v>
      </c>
      <c r="R13" s="160">
        <f t="shared" si="1"/>
        <v>438.96468750000008</v>
      </c>
      <c r="S13" s="160">
        <f t="shared" si="1"/>
        <v>438.96468750000008</v>
      </c>
      <c r="T13" s="160">
        <f t="shared" si="1"/>
        <v>438.96468750000008</v>
      </c>
      <c r="U13" s="160">
        <f t="shared" si="1"/>
        <v>438.96468750000008</v>
      </c>
      <c r="V13" s="161"/>
      <c r="W13" s="161"/>
      <c r="X13" s="161"/>
      <c r="Y13" s="161">
        <f>I49-14234.58</f>
        <v>-14234.58</v>
      </c>
      <c r="Z13" s="198">
        <f t="shared" si="0"/>
        <v>-5455.2862499999992</v>
      </c>
      <c r="AA13" s="199"/>
    </row>
    <row r="14" spans="2:29" ht="17.100000000000001" customHeight="1">
      <c r="B14" s="91" t="s">
        <v>159</v>
      </c>
      <c r="C14" s="92">
        <v>0.03</v>
      </c>
      <c r="D14" s="93">
        <f>D13*C14</f>
        <v>1972.24875</v>
      </c>
      <c r="E14" s="90">
        <f>E13*C14</f>
        <v>290.25</v>
      </c>
      <c r="F14" s="94"/>
      <c r="G14" s="64"/>
      <c r="I14" s="164" t="s">
        <v>128</v>
      </c>
      <c r="J14" s="165">
        <f t="shared" ref="J14:Z14" si="2">SUM(J9:J13)</f>
        <v>68132.519849999997</v>
      </c>
      <c r="K14" s="165">
        <f t="shared" si="2"/>
        <v>2525.5144062500003</v>
      </c>
      <c r="L14" s="165">
        <f t="shared" si="2"/>
        <v>7011.8012125000005</v>
      </c>
      <c r="M14" s="165">
        <f t="shared" si="2"/>
        <v>9280.824337500002</v>
      </c>
      <c r="N14" s="166">
        <f t="shared" si="2"/>
        <v>12768.622987500003</v>
      </c>
      <c r="O14" s="166">
        <f t="shared" si="2"/>
        <v>11600.1283</v>
      </c>
      <c r="P14" s="166">
        <f t="shared" si="2"/>
        <v>6476.6131375000004</v>
      </c>
      <c r="Q14" s="166">
        <f t="shared" si="2"/>
        <v>9160.6821000000018</v>
      </c>
      <c r="R14" s="165">
        <f t="shared" si="2"/>
        <v>2360.3771937500005</v>
      </c>
      <c r="S14" s="165">
        <f t="shared" si="2"/>
        <v>2360.3771937500005</v>
      </c>
      <c r="T14" s="165">
        <f t="shared" si="2"/>
        <v>2360.3771937500005</v>
      </c>
      <c r="U14" s="165">
        <f t="shared" si="2"/>
        <v>2360.3771937500005</v>
      </c>
      <c r="V14" s="166">
        <f t="shared" si="2"/>
        <v>1921.4125062500002</v>
      </c>
      <c r="W14" s="166">
        <f t="shared" si="2"/>
        <v>1921.4125062500002</v>
      </c>
      <c r="X14" s="166">
        <f t="shared" si="2"/>
        <v>1921.4125062500002</v>
      </c>
      <c r="Y14" s="166">
        <f t="shared" si="2"/>
        <v>-13014.856899999999</v>
      </c>
      <c r="Z14" s="200">
        <f t="shared" si="2"/>
        <v>129147.59572500002</v>
      </c>
      <c r="AA14" s="199"/>
    </row>
    <row r="15" spans="2:29" ht="17.100000000000001" customHeight="1">
      <c r="B15" s="91" t="s">
        <v>160</v>
      </c>
      <c r="C15" s="93" t="s">
        <v>161</v>
      </c>
      <c r="D15" s="93">
        <f>(C8*60+E6*90)/10000</f>
        <v>418.64609999999999</v>
      </c>
      <c r="E15" s="90">
        <f>D15/C5*10000</f>
        <v>61.610905077262693</v>
      </c>
      <c r="F15" s="94"/>
      <c r="G15" s="64"/>
      <c r="I15" s="167" t="s">
        <v>162</v>
      </c>
      <c r="J15" s="168"/>
      <c r="K15" s="168"/>
      <c r="L15" s="168"/>
      <c r="M15" s="168"/>
      <c r="N15" s="169"/>
      <c r="O15" s="169"/>
      <c r="P15" s="169"/>
      <c r="Q15" s="169"/>
      <c r="R15" s="168"/>
      <c r="S15" s="168"/>
      <c r="T15" s="168"/>
      <c r="U15" s="168"/>
      <c r="V15" s="169"/>
      <c r="W15" s="169"/>
      <c r="X15" s="169"/>
      <c r="Y15" s="169"/>
      <c r="Z15" s="201">
        <f>SUM(J15:V15)</f>
        <v>0</v>
      </c>
      <c r="AA15" s="199"/>
    </row>
    <row r="16" spans="2:29" ht="17.100000000000001" customHeight="1">
      <c r="B16" s="85" t="s">
        <v>163</v>
      </c>
      <c r="C16" s="95" t="s">
        <v>164</v>
      </c>
      <c r="D16" s="96">
        <f>D18+D19+D20+D26+D32+D33+D34+D35</f>
        <v>52436.574000000008</v>
      </c>
      <c r="E16" s="97">
        <f>D16/C5*10000</f>
        <v>7716.9350993377493</v>
      </c>
      <c r="F16" s="94"/>
      <c r="G16" s="64"/>
      <c r="I16" s="170" t="s">
        <v>165</v>
      </c>
      <c r="J16" s="171">
        <f>D11</f>
        <v>68132.519849999997</v>
      </c>
      <c r="K16" s="160"/>
      <c r="L16" s="160"/>
      <c r="M16" s="160"/>
      <c r="N16" s="172"/>
      <c r="O16" s="172"/>
      <c r="P16" s="172"/>
      <c r="Q16" s="172"/>
      <c r="R16" s="190"/>
      <c r="S16" s="190"/>
      <c r="T16" s="190"/>
      <c r="U16" s="190"/>
      <c r="V16" s="172"/>
      <c r="W16" s="172"/>
      <c r="X16" s="172"/>
      <c r="Y16" s="172"/>
      <c r="Z16" s="202"/>
      <c r="AA16" s="199"/>
    </row>
    <row r="17" spans="2:27" s="62" customFormat="1">
      <c r="B17" s="85"/>
      <c r="C17" s="95" t="s">
        <v>166</v>
      </c>
      <c r="D17" s="96">
        <f>D16/1.09</f>
        <v>48106.948623853212</v>
      </c>
      <c r="E17" s="97"/>
      <c r="F17" s="94"/>
      <c r="G17" s="64"/>
      <c r="I17" s="156" t="s">
        <v>167</v>
      </c>
      <c r="J17" s="160">
        <f>-J16</f>
        <v>-68132.519849999997</v>
      </c>
      <c r="K17" s="160">
        <f t="shared" ref="K17:Y17" si="3">J24</f>
        <v>0</v>
      </c>
      <c r="L17" s="160">
        <f t="shared" si="3"/>
        <v>-2525.5144062500003</v>
      </c>
      <c r="M17" s="160">
        <f t="shared" si="3"/>
        <v>30462.684381250001</v>
      </c>
      <c r="N17" s="161">
        <f t="shared" si="3"/>
        <v>73857.622543749996</v>
      </c>
      <c r="O17" s="161">
        <f t="shared" si="3"/>
        <v>33647.587056249991</v>
      </c>
      <c r="P17" s="161">
        <f t="shared" si="3"/>
        <v>-9173.2474937500083</v>
      </c>
      <c r="Q17" s="161">
        <f t="shared" si="3"/>
        <v>14907.901868749985</v>
      </c>
      <c r="R17" s="160">
        <f t="shared" si="3"/>
        <v>14526.513518749984</v>
      </c>
      <c r="S17" s="160">
        <f t="shared" si="3"/>
        <v>-29054.569925000018</v>
      </c>
      <c r="T17" s="160">
        <f t="shared" si="3"/>
        <v>-22635.653368750016</v>
      </c>
      <c r="U17" s="160">
        <f t="shared" si="3"/>
        <v>-16216.736812500014</v>
      </c>
      <c r="V17" s="161">
        <f t="shared" si="3"/>
        <v>-9797.8202562500119</v>
      </c>
      <c r="W17" s="161">
        <f t="shared" si="3"/>
        <v>-11719.232762500013</v>
      </c>
      <c r="X17" s="161">
        <f t="shared" si="3"/>
        <v>-13640.645268750013</v>
      </c>
      <c r="Y17" s="161">
        <f t="shared" si="3"/>
        <v>-15562.057775000014</v>
      </c>
      <c r="Z17" s="198"/>
      <c r="AA17" s="199"/>
    </row>
    <row r="18" spans="2:27" s="62" customFormat="1" ht="21.6">
      <c r="B18" s="91" t="s">
        <v>168</v>
      </c>
      <c r="C18" s="93" t="s">
        <v>169</v>
      </c>
      <c r="D18" s="93">
        <f>E18*C7/10000</f>
        <v>475.65</v>
      </c>
      <c r="E18" s="90">
        <v>50</v>
      </c>
      <c r="F18" s="64"/>
      <c r="G18" s="65"/>
      <c r="I18" s="156" t="s">
        <v>170</v>
      </c>
      <c r="J18" s="160"/>
      <c r="K18" s="160">
        <f t="shared" ref="K18:Y18" si="4">-K10-K11-K12</f>
        <v>-2525.5144062500003</v>
      </c>
      <c r="L18" s="160">
        <f t="shared" si="4"/>
        <v>-7011.8012125000005</v>
      </c>
      <c r="M18" s="160">
        <f t="shared" si="4"/>
        <v>-6647.0362125000011</v>
      </c>
      <c r="N18" s="161">
        <f t="shared" si="4"/>
        <v>-11890.693612500003</v>
      </c>
      <c r="O18" s="161">
        <f t="shared" si="4"/>
        <v>-11161.1636125</v>
      </c>
      <c r="P18" s="161">
        <f t="shared" si="4"/>
        <v>-3842.8250125000004</v>
      </c>
      <c r="Q18" s="161">
        <f t="shared" si="4"/>
        <v>-8721.717412500002</v>
      </c>
      <c r="R18" s="160">
        <f t="shared" si="4"/>
        <v>-1921.4125062500002</v>
      </c>
      <c r="S18" s="160">
        <f t="shared" si="4"/>
        <v>-1921.4125062500002</v>
      </c>
      <c r="T18" s="160">
        <f t="shared" si="4"/>
        <v>-1921.4125062500002</v>
      </c>
      <c r="U18" s="160">
        <f t="shared" si="4"/>
        <v>-1921.4125062500002</v>
      </c>
      <c r="V18" s="161">
        <f t="shared" si="4"/>
        <v>-1921.4125062500002</v>
      </c>
      <c r="W18" s="161">
        <f t="shared" si="4"/>
        <v>-1921.4125062500002</v>
      </c>
      <c r="X18" s="161">
        <f t="shared" si="4"/>
        <v>-1921.4125062500002</v>
      </c>
      <c r="Y18" s="161">
        <f t="shared" si="4"/>
        <v>-1219.7231000000002</v>
      </c>
      <c r="Z18" s="198">
        <f t="shared" ref="Z18:Z23" si="5">SUM(J18:Y18)</f>
        <v>-66470.362125000029</v>
      </c>
      <c r="AA18" s="199"/>
    </row>
    <row r="19" spans="2:27" s="62" customFormat="1">
      <c r="B19" s="91" t="s">
        <v>151</v>
      </c>
      <c r="C19" s="93" t="s">
        <v>171</v>
      </c>
      <c r="D19" s="93">
        <v>3172</v>
      </c>
      <c r="E19" s="90">
        <f>D19/C5*10000</f>
        <v>466.81383370125093</v>
      </c>
      <c r="F19" s="64" t="s">
        <v>164</v>
      </c>
      <c r="G19" s="65"/>
      <c r="I19" s="156" t="s">
        <v>172</v>
      </c>
      <c r="J19" s="160"/>
      <c r="K19" s="160"/>
      <c r="L19" s="160"/>
      <c r="M19" s="160"/>
      <c r="N19" s="161"/>
      <c r="O19" s="161">
        <f>-10000</f>
        <v>-10000</v>
      </c>
      <c r="P19" s="161"/>
      <c r="Q19" s="161"/>
      <c r="R19" s="160">
        <v>-50000</v>
      </c>
      <c r="S19" s="160"/>
      <c r="T19" s="160"/>
      <c r="U19" s="160"/>
      <c r="V19" s="161">
        <v>0</v>
      </c>
      <c r="W19" s="161"/>
      <c r="X19" s="161"/>
      <c r="Y19" s="161"/>
      <c r="Z19" s="198">
        <f t="shared" si="5"/>
        <v>-60000</v>
      </c>
      <c r="AA19" s="199"/>
    </row>
    <row r="20" spans="2:27" s="62" customFormat="1">
      <c r="B20" s="91" t="s">
        <v>173</v>
      </c>
      <c r="C20" s="93">
        <f>C5</f>
        <v>67950</v>
      </c>
      <c r="D20" s="93">
        <f>SUM(D21:D25)</f>
        <v>41381.550000000003</v>
      </c>
      <c r="E20" s="98">
        <f>D20/C20*10000</f>
        <v>6090.0000000000009</v>
      </c>
      <c r="F20" s="99">
        <f>D16/C5*10000</f>
        <v>7716.9350993377493</v>
      </c>
      <c r="G20" s="65"/>
      <c r="I20" s="156" t="s">
        <v>174</v>
      </c>
      <c r="J20" s="160"/>
      <c r="K20" s="160"/>
      <c r="L20" s="160"/>
      <c r="M20" s="160">
        <v>-30000</v>
      </c>
      <c r="N20" s="161">
        <v>-60000</v>
      </c>
      <c r="O20" s="161">
        <v>-30000</v>
      </c>
      <c r="P20" s="161">
        <v>-22118</v>
      </c>
      <c r="Q20" s="161"/>
      <c r="R20" s="160">
        <v>0</v>
      </c>
      <c r="S20" s="160"/>
      <c r="T20" s="160"/>
      <c r="U20" s="160"/>
      <c r="V20" s="161">
        <v>0</v>
      </c>
      <c r="W20" s="161"/>
      <c r="X20" s="161"/>
      <c r="Y20" s="161"/>
      <c r="Z20" s="198">
        <f t="shared" si="5"/>
        <v>-142118</v>
      </c>
      <c r="AA20" s="199"/>
    </row>
    <row r="21" spans="2:27" s="62" customFormat="1">
      <c r="B21" s="100" t="s">
        <v>250</v>
      </c>
      <c r="C21" s="101">
        <f>C5</f>
        <v>67950</v>
      </c>
      <c r="D21" s="102">
        <f t="shared" ref="D21:D25" si="6">E21*C21/10000</f>
        <v>4416.75</v>
      </c>
      <c r="E21" s="103">
        <v>650</v>
      </c>
      <c r="F21" s="94" t="s">
        <v>166</v>
      </c>
      <c r="G21" s="65"/>
      <c r="I21" s="156" t="s">
        <v>175</v>
      </c>
      <c r="J21" s="160"/>
      <c r="K21" s="160"/>
      <c r="L21" s="160">
        <v>40000</v>
      </c>
      <c r="M21" s="160">
        <v>30000</v>
      </c>
      <c r="N21" s="161">
        <v>15000</v>
      </c>
      <c r="O21" s="161"/>
      <c r="P21" s="161"/>
      <c r="Q21" s="161"/>
      <c r="R21" s="160">
        <v>0</v>
      </c>
      <c r="S21" s="160"/>
      <c r="T21" s="160"/>
      <c r="U21" s="160"/>
      <c r="V21" s="161">
        <v>0</v>
      </c>
      <c r="W21" s="161"/>
      <c r="X21" s="161"/>
      <c r="Y21" s="161"/>
      <c r="Z21" s="198">
        <f t="shared" si="5"/>
        <v>85000</v>
      </c>
      <c r="AA21" s="199"/>
    </row>
    <row r="22" spans="2:27" s="62" customFormat="1">
      <c r="B22" s="100" t="s">
        <v>176</v>
      </c>
      <c r="C22" s="101">
        <f>C6</f>
        <v>27180</v>
      </c>
      <c r="D22" s="102">
        <f t="shared" si="6"/>
        <v>6387.3</v>
      </c>
      <c r="E22" s="103">
        <v>2350</v>
      </c>
      <c r="F22" s="94">
        <f>D17/C5*10000</f>
        <v>7079.756971869494</v>
      </c>
      <c r="G22" s="65"/>
      <c r="I22" s="156" t="s">
        <v>177</v>
      </c>
      <c r="J22" s="160"/>
      <c r="K22" s="160"/>
      <c r="L22" s="160"/>
      <c r="M22" s="160">
        <f t="shared" ref="M22:Y22" si="7">M7</f>
        <v>52675.762499999997</v>
      </c>
      <c r="N22" s="161">
        <f t="shared" si="7"/>
        <v>17558.587500000001</v>
      </c>
      <c r="O22" s="161">
        <f t="shared" si="7"/>
        <v>8779.2937500000007</v>
      </c>
      <c r="P22" s="161">
        <f t="shared" si="7"/>
        <v>52675.762499999997</v>
      </c>
      <c r="Q22" s="161">
        <f t="shared" si="7"/>
        <v>8779.2937500000007</v>
      </c>
      <c r="R22" s="160">
        <f t="shared" si="7"/>
        <v>8779.2937500000007</v>
      </c>
      <c r="S22" s="160">
        <f t="shared" si="7"/>
        <v>8779.2937500000007</v>
      </c>
      <c r="T22" s="160">
        <f t="shared" si="7"/>
        <v>8779.2937500000007</v>
      </c>
      <c r="U22" s="160">
        <f t="shared" si="7"/>
        <v>8779.2937500000007</v>
      </c>
      <c r="V22" s="161">
        <f t="shared" si="7"/>
        <v>0</v>
      </c>
      <c r="W22" s="161">
        <f t="shared" si="7"/>
        <v>0</v>
      </c>
      <c r="X22" s="161">
        <f t="shared" si="7"/>
        <v>0</v>
      </c>
      <c r="Y22" s="161">
        <f t="shared" si="7"/>
        <v>0</v>
      </c>
      <c r="Z22" s="198">
        <f t="shared" si="5"/>
        <v>175585.87500000006</v>
      </c>
      <c r="AA22" s="199"/>
    </row>
    <row r="23" spans="2:27" s="62" customFormat="1">
      <c r="B23" s="100" t="s">
        <v>178</v>
      </c>
      <c r="C23" s="101">
        <f>C5</f>
        <v>67950</v>
      </c>
      <c r="D23" s="102">
        <f t="shared" si="6"/>
        <v>14949</v>
      </c>
      <c r="E23" s="103">
        <v>2200</v>
      </c>
      <c r="F23" s="94"/>
      <c r="G23" s="65"/>
      <c r="I23" s="170" t="s">
        <v>179</v>
      </c>
      <c r="J23" s="160"/>
      <c r="K23" s="160"/>
      <c r="L23" s="160"/>
      <c r="M23" s="160">
        <f t="shared" ref="M23:Y23" si="8">-M13</f>
        <v>-2633.788125</v>
      </c>
      <c r="N23" s="161">
        <f t="shared" si="8"/>
        <v>-877.92937500000016</v>
      </c>
      <c r="O23" s="161">
        <f t="shared" si="8"/>
        <v>-438.96468750000008</v>
      </c>
      <c r="P23" s="161">
        <f t="shared" si="8"/>
        <v>-2633.788125</v>
      </c>
      <c r="Q23" s="161">
        <f t="shared" si="8"/>
        <v>-438.96468750000008</v>
      </c>
      <c r="R23" s="160">
        <f t="shared" si="8"/>
        <v>-438.96468750000008</v>
      </c>
      <c r="S23" s="160">
        <f t="shared" si="8"/>
        <v>-438.96468750000008</v>
      </c>
      <c r="T23" s="160">
        <f t="shared" si="8"/>
        <v>-438.96468750000008</v>
      </c>
      <c r="U23" s="160">
        <f t="shared" si="8"/>
        <v>-438.96468750000008</v>
      </c>
      <c r="V23" s="161">
        <f t="shared" si="8"/>
        <v>0</v>
      </c>
      <c r="W23" s="161">
        <f t="shared" si="8"/>
        <v>0</v>
      </c>
      <c r="X23" s="161">
        <f t="shared" si="8"/>
        <v>0</v>
      </c>
      <c r="Y23" s="161">
        <f t="shared" si="8"/>
        <v>14234.58</v>
      </c>
      <c r="Z23" s="198">
        <f t="shared" si="5"/>
        <v>5455.2862499999992</v>
      </c>
      <c r="AA23" s="199"/>
    </row>
    <row r="24" spans="2:27" s="62" customFormat="1">
      <c r="B24" s="100" t="s">
        <v>180</v>
      </c>
      <c r="C24" s="101">
        <f>C5</f>
        <v>67950</v>
      </c>
      <c r="D24" s="102">
        <f t="shared" si="6"/>
        <v>8833.5</v>
      </c>
      <c r="E24" s="103">
        <v>1300</v>
      </c>
      <c r="F24" s="94"/>
      <c r="G24" s="65"/>
      <c r="I24" s="156" t="s">
        <v>181</v>
      </c>
      <c r="J24" s="160">
        <f t="shared" ref="J24:Y24" si="9">SUM(J16:J23)</f>
        <v>0</v>
      </c>
      <c r="K24" s="160">
        <f t="shared" si="9"/>
        <v>-2525.5144062500003</v>
      </c>
      <c r="L24" s="160">
        <f t="shared" si="9"/>
        <v>30462.684381250001</v>
      </c>
      <c r="M24" s="160">
        <f t="shared" si="9"/>
        <v>73857.622543749996</v>
      </c>
      <c r="N24" s="161">
        <f t="shared" si="9"/>
        <v>33647.587056249991</v>
      </c>
      <c r="O24" s="161">
        <f t="shared" si="9"/>
        <v>-9173.2474937500083</v>
      </c>
      <c r="P24" s="161">
        <f t="shared" si="9"/>
        <v>14907.901868749985</v>
      </c>
      <c r="Q24" s="161">
        <f t="shared" si="9"/>
        <v>14526.513518749984</v>
      </c>
      <c r="R24" s="160">
        <f t="shared" si="9"/>
        <v>-29054.569925000018</v>
      </c>
      <c r="S24" s="160">
        <f t="shared" si="9"/>
        <v>-22635.653368750016</v>
      </c>
      <c r="T24" s="160">
        <f t="shared" si="9"/>
        <v>-16216.736812500014</v>
      </c>
      <c r="U24" s="160">
        <f t="shared" si="9"/>
        <v>-9797.8202562500119</v>
      </c>
      <c r="V24" s="161">
        <f t="shared" si="9"/>
        <v>-11719.232762500013</v>
      </c>
      <c r="W24" s="161">
        <f t="shared" si="9"/>
        <v>-13640.645268750013</v>
      </c>
      <c r="X24" s="161">
        <f t="shared" si="9"/>
        <v>-15562.057775000014</v>
      </c>
      <c r="Y24" s="161">
        <f t="shared" si="9"/>
        <v>-2547.200875000015</v>
      </c>
      <c r="Z24" s="198">
        <f>SUM(Z18:Z23)</f>
        <v>-2547.2008749999859</v>
      </c>
      <c r="AA24" s="199"/>
    </row>
    <row r="25" spans="2:27" s="62" customFormat="1">
      <c r="B25" s="100" t="s">
        <v>251</v>
      </c>
      <c r="C25" s="101">
        <f>C5</f>
        <v>67950</v>
      </c>
      <c r="D25" s="102">
        <f t="shared" si="6"/>
        <v>6795</v>
      </c>
      <c r="E25" s="103">
        <v>1000</v>
      </c>
      <c r="F25" s="94"/>
      <c r="G25" s="65"/>
      <c r="I25" s="173" t="s">
        <v>182</v>
      </c>
      <c r="J25" s="247">
        <f>M24</f>
        <v>73857.622543749996</v>
      </c>
      <c r="K25" s="247"/>
      <c r="L25" s="247"/>
      <c r="M25" s="247"/>
      <c r="N25" s="247">
        <f>Q24</f>
        <v>14526.513518749984</v>
      </c>
      <c r="O25" s="247"/>
      <c r="P25" s="247"/>
      <c r="Q25" s="247"/>
      <c r="R25" s="247">
        <f>U24</f>
        <v>-9797.8202562500119</v>
      </c>
      <c r="S25" s="247"/>
      <c r="T25" s="247"/>
      <c r="U25" s="247"/>
      <c r="V25" s="247">
        <f>Y24</f>
        <v>-2547.200875000015</v>
      </c>
      <c r="W25" s="247"/>
      <c r="X25" s="247"/>
      <c r="Y25" s="247"/>
      <c r="Z25" s="203"/>
      <c r="AA25" s="199"/>
    </row>
    <row r="26" spans="2:27" s="62" customFormat="1">
      <c r="B26" s="91" t="s">
        <v>252</v>
      </c>
      <c r="C26" s="93"/>
      <c r="D26" s="93"/>
      <c r="E26" s="98">
        <v>0</v>
      </c>
      <c r="F26" s="94"/>
      <c r="G26" s="65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199"/>
    </row>
    <row r="27" spans="2:27" s="62" customFormat="1">
      <c r="B27" s="104" t="s">
        <v>183</v>
      </c>
      <c r="C27" s="105"/>
      <c r="D27" s="106"/>
      <c r="E27" s="107"/>
      <c r="F27" s="94"/>
      <c r="G27" s="65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199"/>
    </row>
    <row r="28" spans="2:27" s="62" customFormat="1">
      <c r="B28" s="104" t="s">
        <v>184</v>
      </c>
      <c r="C28" s="105"/>
      <c r="D28" s="106"/>
      <c r="E28" s="107"/>
      <c r="F28" s="94"/>
      <c r="G28" s="65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199"/>
    </row>
    <row r="29" spans="2:27" s="62" customFormat="1">
      <c r="B29" s="104" t="s">
        <v>185</v>
      </c>
      <c r="C29" s="105"/>
      <c r="D29" s="106"/>
      <c r="E29" s="107"/>
      <c r="F29" s="94"/>
      <c r="G29" s="65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</row>
    <row r="30" spans="2:27" s="62" customFormat="1">
      <c r="B30" s="104" t="s">
        <v>186</v>
      </c>
      <c r="C30" s="105"/>
      <c r="D30" s="106"/>
      <c r="E30" s="107"/>
      <c r="F30" s="94"/>
      <c r="G30" s="65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</row>
    <row r="31" spans="2:27" s="62" customFormat="1">
      <c r="B31" s="104" t="s">
        <v>187</v>
      </c>
      <c r="C31" s="105"/>
      <c r="D31" s="106"/>
      <c r="E31" s="107"/>
      <c r="F31" s="94"/>
      <c r="G31" s="65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</row>
    <row r="32" spans="2:27" s="62" customFormat="1" ht="16.2">
      <c r="B32" s="91" t="s">
        <v>188</v>
      </c>
      <c r="C32" s="93">
        <f>C5</f>
        <v>67950</v>
      </c>
      <c r="D32" s="93">
        <f t="shared" ref="D32:D34" si="10">E32*C32/10000</f>
        <v>543.6</v>
      </c>
      <c r="E32" s="90">
        <v>80</v>
      </c>
      <c r="F32" s="94"/>
      <c r="G32" s="65"/>
      <c r="I32" s="174" t="s">
        <v>189</v>
      </c>
      <c r="J32" s="175" t="s">
        <v>190</v>
      </c>
      <c r="K32" s="175"/>
      <c r="L32" s="175"/>
      <c r="M32" s="175"/>
      <c r="N32" s="237">
        <f>J38</f>
        <v>0.13464359540011772</v>
      </c>
      <c r="O32" s="237"/>
      <c r="P32" s="237"/>
      <c r="Q32" s="237"/>
      <c r="R32" s="237"/>
      <c r="S32" s="237"/>
      <c r="T32" s="237"/>
      <c r="U32" s="237"/>
      <c r="V32" s="237"/>
      <c r="W32" s="237"/>
      <c r="X32" s="237"/>
      <c r="Y32" s="237"/>
      <c r="Z32" s="238"/>
      <c r="AA32" s="66"/>
    </row>
    <row r="33" spans="2:26" s="62" customFormat="1">
      <c r="B33" s="91" t="s">
        <v>191</v>
      </c>
      <c r="C33" s="93">
        <f>C5</f>
        <v>67950</v>
      </c>
      <c r="D33" s="93">
        <f t="shared" si="10"/>
        <v>1494.9</v>
      </c>
      <c r="E33" s="90">
        <v>220</v>
      </c>
      <c r="F33" s="94"/>
      <c r="G33" s="65"/>
      <c r="I33" s="176" t="s">
        <v>192</v>
      </c>
      <c r="J33" s="177" t="s">
        <v>193</v>
      </c>
      <c r="K33" s="177"/>
      <c r="L33" s="177"/>
      <c r="M33" s="177"/>
      <c r="N33" s="239">
        <f>D55/J16</f>
        <v>0.37643646079829907</v>
      </c>
      <c r="O33" s="239"/>
      <c r="P33" s="239"/>
      <c r="Q33" s="239"/>
      <c r="R33" s="239"/>
      <c r="S33" s="239"/>
      <c r="T33" s="239"/>
      <c r="U33" s="239"/>
      <c r="V33" s="239"/>
      <c r="W33" s="239"/>
      <c r="X33" s="239"/>
      <c r="Y33" s="239"/>
      <c r="Z33" s="240"/>
    </row>
    <row r="34" spans="2:26" s="62" customFormat="1">
      <c r="B34" s="91" t="s">
        <v>194</v>
      </c>
      <c r="C34" s="93">
        <f>C5*E5</f>
        <v>23782.5</v>
      </c>
      <c r="D34" s="93">
        <f t="shared" si="10"/>
        <v>2853.9</v>
      </c>
      <c r="E34" s="90">
        <v>1200</v>
      </c>
      <c r="F34" s="94"/>
      <c r="G34" s="65"/>
      <c r="I34" s="66"/>
      <c r="J34" s="66"/>
      <c r="K34" s="66"/>
      <c r="L34" s="66"/>
      <c r="M34" s="66"/>
      <c r="N34" s="66">
        <f>D55/J42</f>
        <v>-0.56994588083564124</v>
      </c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spans="2:26" s="62" customFormat="1">
      <c r="B35" s="108" t="s">
        <v>195</v>
      </c>
      <c r="C35" s="109">
        <f>C5</f>
        <v>67950</v>
      </c>
      <c r="D35" s="109">
        <f>E35*E7/10000</f>
        <v>2514.9740000000002</v>
      </c>
      <c r="E35" s="110">
        <v>400</v>
      </c>
      <c r="F35" s="94"/>
      <c r="G35" s="65"/>
      <c r="I35" s="66"/>
      <c r="J35" s="178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>
        <f>Y24</f>
        <v>-2547.200875000015</v>
      </c>
      <c r="Z35" s="66"/>
    </row>
    <row r="36" spans="2:26" s="62" customFormat="1">
      <c r="B36" s="85" t="s">
        <v>196</v>
      </c>
      <c r="C36" s="111" t="s">
        <v>197</v>
      </c>
      <c r="D36" s="96">
        <f>SUM(D37:D41)</f>
        <v>14033.788124999999</v>
      </c>
      <c r="E36" s="97">
        <f>D36/C5*10000</f>
        <v>2065.3109823399559</v>
      </c>
      <c r="F36" s="94">
        <f>D11+D17+D36</f>
        <v>130273.25659885322</v>
      </c>
      <c r="G36" s="65"/>
      <c r="I36" s="179" t="s">
        <v>198</v>
      </c>
      <c r="J36" s="180" t="s">
        <v>199</v>
      </c>
      <c r="K36" s="141">
        <v>2020</v>
      </c>
      <c r="L36" s="141">
        <v>2021</v>
      </c>
      <c r="M36" s="141">
        <v>2022</v>
      </c>
      <c r="N36" s="141">
        <v>2023</v>
      </c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 spans="2:26" s="62" customFormat="1">
      <c r="B37" s="91" t="s">
        <v>200</v>
      </c>
      <c r="C37" s="93" t="s">
        <v>201</v>
      </c>
      <c r="D37" s="93">
        <f>800*4</f>
        <v>3200</v>
      </c>
      <c r="E37" s="90">
        <f>D37/C5*10000</f>
        <v>470.93451066961001</v>
      </c>
      <c r="F37" s="94"/>
      <c r="G37" s="65"/>
      <c r="I37" s="179"/>
      <c r="J37" s="181">
        <f>J17</f>
        <v>-68132.519849999997</v>
      </c>
      <c r="K37" s="141">
        <f>J25</f>
        <v>73857.622543749996</v>
      </c>
      <c r="L37" s="141">
        <f>N25</f>
        <v>14526.513518749984</v>
      </c>
      <c r="M37" s="141">
        <f>R25</f>
        <v>-9797.8202562500119</v>
      </c>
      <c r="N37" s="141">
        <f>V25</f>
        <v>-2547.200875000015</v>
      </c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spans="2:26" s="62" customFormat="1">
      <c r="B38" s="91" t="s">
        <v>202</v>
      </c>
      <c r="C38" s="112"/>
      <c r="D38" s="113">
        <v>0</v>
      </c>
      <c r="E38" s="90">
        <f>D38/C5*10000</f>
        <v>0</v>
      </c>
      <c r="F38" s="94"/>
      <c r="G38" s="65"/>
      <c r="I38" s="179" t="s">
        <v>203</v>
      </c>
      <c r="J38" s="182">
        <f>IRR(J37:N37)</f>
        <v>0.13464359540011772</v>
      </c>
      <c r="K38" s="141"/>
      <c r="L38" s="141"/>
      <c r="M38" s="141"/>
      <c r="N38" s="141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 spans="2:26" s="62" customFormat="1">
      <c r="B39" s="114" t="s">
        <v>204</v>
      </c>
      <c r="C39" s="113" t="s">
        <v>253</v>
      </c>
      <c r="D39" s="113">
        <f>300000*0.008</f>
        <v>2400</v>
      </c>
      <c r="E39" s="115"/>
      <c r="F39" s="94"/>
      <c r="G39" s="65"/>
      <c r="I39" s="183"/>
      <c r="J39" s="184"/>
      <c r="K39" s="183"/>
      <c r="L39" s="185"/>
      <c r="M39" s="184"/>
      <c r="N39" s="183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 spans="2:26" s="62" customFormat="1">
      <c r="B40" s="114" t="s">
        <v>205</v>
      </c>
      <c r="C40" s="113" t="s">
        <v>254</v>
      </c>
      <c r="D40" s="113">
        <f>50000*0.058*2</f>
        <v>5800</v>
      </c>
      <c r="E40" s="115"/>
      <c r="F40" s="94"/>
      <c r="G40" s="65"/>
      <c r="I40" s="66"/>
      <c r="J40" s="178"/>
      <c r="K40" s="186"/>
      <c r="L40" s="187"/>
      <c r="M40" s="178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 spans="2:26" s="62" customFormat="1">
      <c r="B41" s="116" t="s">
        <v>206</v>
      </c>
      <c r="C41" s="117" t="s">
        <v>207</v>
      </c>
      <c r="D41" s="117">
        <f>D42*1.5%</f>
        <v>2633.788125</v>
      </c>
      <c r="E41" s="118">
        <f>D41/C5*10000</f>
        <v>387.60678807947022</v>
      </c>
      <c r="F41" s="94"/>
      <c r="G41" s="65"/>
      <c r="I41" s="179" t="s">
        <v>198</v>
      </c>
      <c r="J41" s="180" t="s">
        <v>208</v>
      </c>
      <c r="K41" s="141">
        <v>2020</v>
      </c>
      <c r="L41" s="141">
        <v>2021</v>
      </c>
      <c r="M41" s="141">
        <v>2022</v>
      </c>
      <c r="N41" s="141">
        <v>2023</v>
      </c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 spans="2:26" s="62" customFormat="1">
      <c r="B42" s="241" t="s">
        <v>209</v>
      </c>
      <c r="C42" s="119" t="s">
        <v>210</v>
      </c>
      <c r="D42" s="120">
        <f>SUM(D45:D48)</f>
        <v>175585.875</v>
      </c>
      <c r="E42" s="121">
        <f>D42/C5*10000</f>
        <v>25840.452538631347</v>
      </c>
      <c r="F42" s="94"/>
      <c r="G42" s="65"/>
      <c r="I42" s="179"/>
      <c r="J42" s="181">
        <v>-45000</v>
      </c>
      <c r="K42" s="141">
        <f>J25</f>
        <v>73857.622543749996</v>
      </c>
      <c r="L42" s="141">
        <f>N25</f>
        <v>14526.513518749984</v>
      </c>
      <c r="M42" s="141">
        <f>M37</f>
        <v>-9797.8202562500119</v>
      </c>
      <c r="N42" s="141">
        <f>N37</f>
        <v>-2547.200875000015</v>
      </c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 spans="2:26" s="62" customFormat="1">
      <c r="B43" s="242"/>
      <c r="C43" s="122" t="s">
        <v>211</v>
      </c>
      <c r="D43" s="123">
        <f>D42/1.09</f>
        <v>161087.95871559632</v>
      </c>
      <c r="E43" s="124">
        <f>E42/1.09</f>
        <v>23706.837191404902</v>
      </c>
      <c r="F43" s="94">
        <f>D43</f>
        <v>161087.95871559632</v>
      </c>
      <c r="G43" s="65"/>
      <c r="I43" s="179" t="s">
        <v>203</v>
      </c>
      <c r="J43" s="182">
        <f>IRR(J42:N42)</f>
        <v>0.74412162151252237</v>
      </c>
      <c r="K43" s="141"/>
      <c r="L43" s="141"/>
      <c r="M43" s="141"/>
      <c r="N43" s="141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 spans="2:26" s="62" customFormat="1">
      <c r="B44" s="242"/>
      <c r="C44" s="125" t="s">
        <v>212</v>
      </c>
      <c r="D44" s="126"/>
      <c r="E44" s="127"/>
      <c r="F44" s="94"/>
      <c r="G44" s="65"/>
      <c r="I44" s="183"/>
      <c r="J44" s="184"/>
      <c r="K44" s="183"/>
      <c r="L44" s="185"/>
      <c r="M44" s="184"/>
      <c r="N44" s="183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 spans="2:26" s="62" customFormat="1">
      <c r="B45" s="91" t="s">
        <v>213</v>
      </c>
      <c r="C45" s="128">
        <v>23500</v>
      </c>
      <c r="D45" s="129">
        <f>C45*C8/10000</f>
        <v>147754.7225</v>
      </c>
      <c r="E45" s="90"/>
      <c r="F45" s="94"/>
      <c r="G45" s="65"/>
      <c r="I45" s="66"/>
      <c r="J45" s="178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spans="2:26" s="62" customFormat="1">
      <c r="B46" s="91" t="s">
        <v>214</v>
      </c>
      <c r="C46" s="128">
        <v>0</v>
      </c>
      <c r="D46" s="129">
        <v>0</v>
      </c>
      <c r="E46" s="130"/>
      <c r="F46" s="94"/>
      <c r="G46" s="65"/>
      <c r="I46" s="66"/>
      <c r="J46" s="188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 spans="2:26" s="62" customFormat="1">
      <c r="B47" s="91" t="s">
        <v>215</v>
      </c>
      <c r="C47" s="128">
        <v>40000</v>
      </c>
      <c r="D47" s="129">
        <f>C47*E6/10000</f>
        <v>18400</v>
      </c>
      <c r="E47" s="130"/>
      <c r="F47" s="94"/>
      <c r="G47" s="65"/>
      <c r="I47" s="66"/>
      <c r="J47" s="188"/>
      <c r="K47" s="178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spans="2:26" s="62" customFormat="1">
      <c r="B48" s="116" t="s">
        <v>216</v>
      </c>
      <c r="C48" s="131">
        <v>180000</v>
      </c>
      <c r="D48" s="132">
        <f>C48*E4/10000</f>
        <v>9431.1524999999983</v>
      </c>
      <c r="E48" s="118"/>
      <c r="F48" s="94"/>
      <c r="G48" s="65"/>
      <c r="I48" s="66"/>
      <c r="J48" s="178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spans="2:10" s="62" customFormat="1">
      <c r="B49" s="85" t="s">
        <v>217</v>
      </c>
      <c r="C49" s="133"/>
      <c r="D49" s="133">
        <f>D50+D52+D51</f>
        <v>6786.2401748615212</v>
      </c>
      <c r="E49" s="87">
        <f>D49/C5*10000</f>
        <v>998.71084251089337</v>
      </c>
      <c r="F49" s="64">
        <f>D49</f>
        <v>6786.2401748615212</v>
      </c>
      <c r="G49" s="65"/>
      <c r="I49" s="66"/>
      <c r="J49" s="178"/>
    </row>
    <row r="50" spans="2:10" s="62" customFormat="1">
      <c r="B50" s="91" t="s">
        <v>218</v>
      </c>
      <c r="C50" s="129">
        <f>D42-D43-(D16-D17)-(D11-D12)</f>
        <v>4740.0833394495348</v>
      </c>
      <c r="D50" s="129">
        <f>((D42-D11)/1.09*0.09-D16/1.09*0.09-D41/1.06*0.06)</f>
        <v>4393.5876565128965</v>
      </c>
      <c r="E50" s="90"/>
      <c r="F50" s="65" t="s">
        <v>219</v>
      </c>
      <c r="G50" s="65"/>
      <c r="I50" s="66"/>
      <c r="J50" s="66"/>
    </row>
    <row r="51" spans="2:10" s="62" customFormat="1">
      <c r="B51" s="243" t="s">
        <v>220</v>
      </c>
      <c r="C51" s="129" t="s">
        <v>221</v>
      </c>
      <c r="D51" s="129">
        <f>(D48+D47)/1.09*0.03</f>
        <v>765.99502293577962</v>
      </c>
      <c r="E51" s="90"/>
      <c r="F51" s="65"/>
      <c r="G51" s="65"/>
      <c r="I51" s="66"/>
      <c r="J51" s="66"/>
    </row>
    <row r="52" spans="2:10" s="62" customFormat="1">
      <c r="B52" s="243"/>
      <c r="C52" s="129" t="s">
        <v>222</v>
      </c>
      <c r="D52" s="129">
        <f>D45/1.09*0.02*60%</f>
        <v>1626.6574954128441</v>
      </c>
      <c r="E52" s="130"/>
      <c r="F52" s="134">
        <f>(D43-((D11/1.09+D17)*1.3)-D50)/(D11/1.09+D17)*1.3</f>
        <v>0.15156583333831877</v>
      </c>
      <c r="G52" s="65"/>
      <c r="I52" s="66"/>
      <c r="J52" s="66"/>
    </row>
    <row r="53" spans="2:10" s="62" customFormat="1">
      <c r="B53" s="85" t="s">
        <v>223</v>
      </c>
      <c r="C53" s="133"/>
      <c r="D53" s="133">
        <f>D42-D11-D16-D36-D49</f>
        <v>34196.752850138473</v>
      </c>
      <c r="E53" s="87"/>
      <c r="F53" s="64">
        <f>F43-F36-F49</f>
        <v>24028.461941881586</v>
      </c>
      <c r="G53" s="65"/>
      <c r="I53" s="66"/>
      <c r="J53" s="66"/>
    </row>
    <row r="54" spans="2:10" s="62" customFormat="1">
      <c r="B54" s="135" t="s">
        <v>224</v>
      </c>
      <c r="C54" s="136"/>
      <c r="D54" s="136">
        <f>D53*0.25</f>
        <v>8549.1882125346183</v>
      </c>
      <c r="E54" s="87"/>
      <c r="F54" s="64"/>
      <c r="G54" s="134"/>
      <c r="I54" s="66"/>
      <c r="J54" s="66"/>
    </row>
    <row r="55" spans="2:10" s="62" customFormat="1">
      <c r="B55" s="137" t="s">
        <v>117</v>
      </c>
      <c r="C55" s="138"/>
      <c r="D55" s="139">
        <f>D53-D54</f>
        <v>25647.564637603857</v>
      </c>
      <c r="E55" s="140"/>
      <c r="F55" s="64">
        <f>D55</f>
        <v>25647.564637603857</v>
      </c>
      <c r="G55" s="65"/>
      <c r="I55" s="66"/>
      <c r="J55" s="66"/>
    </row>
    <row r="56" spans="2:10" s="62" customFormat="1">
      <c r="B56" s="141" t="s">
        <v>225</v>
      </c>
      <c r="C56" s="142">
        <f>J38</f>
        <v>0.13464359540011772</v>
      </c>
      <c r="D56" s="143" t="s">
        <v>226</v>
      </c>
      <c r="E56" s="144">
        <f>D55/D11</f>
        <v>0.37643646079829907</v>
      </c>
      <c r="F56" s="64"/>
      <c r="G56" s="65"/>
      <c r="I56" s="66"/>
      <c r="J56" s="66"/>
    </row>
    <row r="57" spans="2:10" s="62" customFormat="1">
      <c r="B57" s="141"/>
      <c r="C57" s="142"/>
      <c r="D57" s="143"/>
      <c r="E57" s="144"/>
      <c r="F57" s="64"/>
      <c r="G57" s="65"/>
      <c r="I57" s="66"/>
      <c r="J57" s="66"/>
    </row>
    <row r="58" spans="2:10" s="62" customFormat="1">
      <c r="B58" s="145" t="s">
        <v>227</v>
      </c>
      <c r="C58" s="146"/>
      <c r="D58" s="146"/>
      <c r="E58" s="146"/>
      <c r="F58" s="64">
        <f>D50+D52+D54</f>
        <v>14569.433364460359</v>
      </c>
      <c r="G58" s="65"/>
      <c r="I58" s="66"/>
      <c r="J58" s="66"/>
    </row>
    <row r="59" spans="2:10" s="62" customFormat="1">
      <c r="B59" s="145" t="s">
        <v>228</v>
      </c>
      <c r="C59" s="146">
        <f>36889+33975</f>
        <v>70864</v>
      </c>
      <c r="D59" s="146"/>
      <c r="E59" s="146"/>
      <c r="F59" s="64"/>
      <c r="G59" s="65"/>
      <c r="I59" s="66"/>
      <c r="J59" s="66"/>
    </row>
    <row r="60" spans="2:10" s="62" customFormat="1">
      <c r="B60" s="145" t="s">
        <v>229</v>
      </c>
      <c r="C60" s="146" t="s">
        <v>230</v>
      </c>
      <c r="D60" s="146"/>
      <c r="E60" s="146"/>
      <c r="F60" s="64"/>
      <c r="G60" s="65"/>
      <c r="I60" s="66"/>
      <c r="J60" s="66"/>
    </row>
    <row r="61" spans="2:10" s="62" customFormat="1">
      <c r="B61" s="145" t="s">
        <v>231</v>
      </c>
      <c r="C61" s="146" t="s">
        <v>255</v>
      </c>
      <c r="D61" s="146"/>
      <c r="E61" s="146"/>
      <c r="F61" s="64"/>
      <c r="G61" s="65"/>
      <c r="I61" s="66"/>
      <c r="J61" s="66"/>
    </row>
    <row r="62" spans="2:10" s="62" customFormat="1">
      <c r="B62" s="145" t="s">
        <v>232</v>
      </c>
      <c r="C62" s="146" t="s">
        <v>17</v>
      </c>
      <c r="D62" s="146"/>
      <c r="E62" s="146"/>
      <c r="F62" s="64"/>
      <c r="G62" s="65"/>
      <c r="I62" s="66"/>
      <c r="J62" s="66"/>
    </row>
    <row r="63" spans="2:10" s="62" customFormat="1">
      <c r="B63" s="145" t="s">
        <v>233</v>
      </c>
      <c r="C63" s="146" t="s">
        <v>234</v>
      </c>
      <c r="D63" s="146"/>
      <c r="E63" s="146"/>
      <c r="F63" s="64"/>
      <c r="G63" s="65"/>
      <c r="I63" s="66"/>
      <c r="J63" s="66"/>
    </row>
    <row r="64" spans="2:10" s="62" customFormat="1">
      <c r="B64" s="145"/>
      <c r="C64" s="146"/>
      <c r="D64" s="146"/>
      <c r="E64" s="146"/>
      <c r="F64" s="64"/>
      <c r="G64" s="65"/>
      <c r="I64" s="66"/>
      <c r="J64" s="66"/>
    </row>
    <row r="65" spans="2:5" s="62" customFormat="1">
      <c r="B65" s="145"/>
      <c r="C65" s="146"/>
      <c r="D65" s="146"/>
      <c r="E65" s="146"/>
    </row>
    <row r="66" spans="2:5" s="62" customFormat="1">
      <c r="B66" s="145"/>
      <c r="C66" s="146"/>
      <c r="D66" s="146"/>
      <c r="E66" s="146"/>
    </row>
  </sheetData>
  <mergeCells count="15">
    <mergeCell ref="B1:E1"/>
    <mergeCell ref="B2:E2"/>
    <mergeCell ref="J4:M4"/>
    <mergeCell ref="N4:Q4"/>
    <mergeCell ref="R4:U4"/>
    <mergeCell ref="N32:Z32"/>
    <mergeCell ref="N33:Z33"/>
    <mergeCell ref="B42:B44"/>
    <mergeCell ref="B51:B52"/>
    <mergeCell ref="I2:I3"/>
    <mergeCell ref="V4:Y4"/>
    <mergeCell ref="J25:M25"/>
    <mergeCell ref="N25:Q25"/>
    <mergeCell ref="R25:U25"/>
    <mergeCell ref="V25:Y25"/>
  </mergeCells>
  <phoneticPr fontId="38" type="noConversion"/>
  <printOptions horizontalCentered="1"/>
  <pageMargins left="0.511811023622047" right="0.511811023622047" top="0.55118110236220497" bottom="0.55118110236220497" header="0.31496062992126" footer="0.31496062992126"/>
  <pageSetup paperSize="9" scale="9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9"/>
  <sheetViews>
    <sheetView zoomScale="80" zoomScaleNormal="80" workbookViewId="0">
      <selection activeCell="G49" sqref="G49"/>
    </sheetView>
  </sheetViews>
  <sheetFormatPr defaultColWidth="9.88671875" defaultRowHeight="16.8"/>
  <cols>
    <col min="1" max="1" width="18.88671875" style="2" customWidth="1"/>
    <col min="2" max="2" width="13.44140625" style="3" customWidth="1"/>
    <col min="3" max="3" width="13.21875" style="3" customWidth="1"/>
    <col min="4" max="4" width="10.77734375" style="3" customWidth="1"/>
    <col min="5" max="5" width="14.44140625" style="3" customWidth="1"/>
    <col min="6" max="6" width="11.109375" style="3" customWidth="1"/>
    <col min="7" max="7" width="46.44140625" style="2" customWidth="1"/>
    <col min="8" max="8" width="45.6640625" style="2" customWidth="1"/>
    <col min="9" max="9" width="51" style="2" customWidth="1"/>
    <col min="10" max="10" width="12.88671875" style="3" customWidth="1"/>
    <col min="11" max="11" width="11.88671875" style="3" customWidth="1"/>
    <col min="12" max="12" width="13.77734375" style="3" customWidth="1"/>
    <col min="13" max="13" width="10.77734375" style="2" customWidth="1"/>
    <col min="14" max="16384" width="9.88671875" style="2"/>
  </cols>
  <sheetData>
    <row r="1" spans="1:13" ht="23.4">
      <c r="A1" s="236" t="s">
        <v>256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</row>
    <row r="2" spans="1:13" s="1" customFormat="1" ht="33.6">
      <c r="A2" s="4" t="s">
        <v>1</v>
      </c>
      <c r="B2" s="4" t="s">
        <v>2</v>
      </c>
      <c r="C2" s="5" t="s">
        <v>3</v>
      </c>
      <c r="D2" s="5" t="s">
        <v>4</v>
      </c>
      <c r="E2" s="5" t="s">
        <v>257</v>
      </c>
      <c r="F2" s="5" t="s">
        <v>4</v>
      </c>
      <c r="G2" s="6" t="s">
        <v>6</v>
      </c>
      <c r="H2" s="7" t="s">
        <v>7</v>
      </c>
      <c r="I2" s="45" t="s">
        <v>8</v>
      </c>
      <c r="J2" s="6" t="s">
        <v>9</v>
      </c>
      <c r="K2" s="6" t="s">
        <v>10</v>
      </c>
      <c r="L2" s="46" t="s">
        <v>11</v>
      </c>
      <c r="M2" s="6" t="s">
        <v>12</v>
      </c>
    </row>
    <row r="3" spans="1:13">
      <c r="A3" s="8" t="s">
        <v>13</v>
      </c>
      <c r="B3" s="9">
        <v>-25000</v>
      </c>
      <c r="C3" s="10">
        <f>B3*0.65</f>
        <v>-16250</v>
      </c>
      <c r="D3" s="11">
        <f>C3</f>
        <v>-16250</v>
      </c>
      <c r="E3" s="10">
        <f>B3*0.35</f>
        <v>-8750</v>
      </c>
      <c r="F3" s="9">
        <f>E3</f>
        <v>-8750</v>
      </c>
      <c r="G3" s="12" t="s">
        <v>14</v>
      </c>
      <c r="H3" s="13" t="s">
        <v>258</v>
      </c>
      <c r="I3" s="47" t="s">
        <v>16</v>
      </c>
      <c r="J3" s="48">
        <v>0</v>
      </c>
      <c r="K3" s="42"/>
      <c r="L3" s="42"/>
      <c r="M3" s="49">
        <v>0</v>
      </c>
    </row>
    <row r="4" spans="1:13">
      <c r="A4" s="14" t="s">
        <v>17</v>
      </c>
      <c r="B4" s="15">
        <v>0</v>
      </c>
      <c r="C4" s="16"/>
      <c r="D4" s="17">
        <f t="shared" ref="D4:D39" si="0">D3+C4</f>
        <v>-16250</v>
      </c>
      <c r="E4" s="16"/>
      <c r="F4" s="15">
        <f t="shared" ref="F4:F15" si="1">E4+F3</f>
        <v>-8750</v>
      </c>
      <c r="G4" s="18" t="s">
        <v>18</v>
      </c>
      <c r="H4" s="19"/>
      <c r="I4" s="24"/>
      <c r="J4" s="50">
        <v>0</v>
      </c>
      <c r="K4" s="42"/>
      <c r="L4" s="42"/>
      <c r="M4" s="51"/>
    </row>
    <row r="5" spans="1:13">
      <c r="A5" s="20" t="s">
        <v>19</v>
      </c>
      <c r="B5" s="15"/>
      <c r="C5" s="16">
        <v>-3250</v>
      </c>
      <c r="D5" s="17">
        <f t="shared" si="0"/>
        <v>-19500</v>
      </c>
      <c r="E5" s="16">
        <v>-1750</v>
      </c>
      <c r="F5" s="15">
        <f t="shared" si="1"/>
        <v>-10500</v>
      </c>
      <c r="G5" s="18" t="s">
        <v>20</v>
      </c>
      <c r="H5" s="19" t="s">
        <v>21</v>
      </c>
      <c r="I5" s="24" t="s">
        <v>22</v>
      </c>
      <c r="J5" s="50">
        <v>0</v>
      </c>
      <c r="K5" s="42"/>
      <c r="L5" s="42"/>
      <c r="M5" s="51">
        <v>6000</v>
      </c>
    </row>
    <row r="6" spans="1:13">
      <c r="A6" s="20" t="s">
        <v>23</v>
      </c>
      <c r="B6" s="15">
        <f>-50700</f>
        <v>-50700</v>
      </c>
      <c r="C6" s="16"/>
      <c r="D6" s="17">
        <f t="shared" si="0"/>
        <v>-19500</v>
      </c>
      <c r="E6" s="16">
        <f>-151400*0.5-E3-C3</f>
        <v>-50700</v>
      </c>
      <c r="F6" s="15">
        <f t="shared" si="1"/>
        <v>-61200</v>
      </c>
      <c r="G6" s="18" t="s">
        <v>24</v>
      </c>
      <c r="H6" s="19" t="s">
        <v>259</v>
      </c>
      <c r="I6" s="24" t="s">
        <v>26</v>
      </c>
      <c r="J6" s="50">
        <v>0</v>
      </c>
      <c r="K6" s="42"/>
      <c r="L6" s="42"/>
      <c r="M6" s="51">
        <f>M5-B7</f>
        <v>6600</v>
      </c>
    </row>
    <row r="7" spans="1:13">
      <c r="A7" s="21" t="s">
        <v>27</v>
      </c>
      <c r="B7" s="19">
        <v>-600</v>
      </c>
      <c r="C7" s="22"/>
      <c r="D7" s="17">
        <f t="shared" si="0"/>
        <v>-19500</v>
      </c>
      <c r="E7" s="22"/>
      <c r="F7" s="15">
        <f t="shared" si="1"/>
        <v>-61200</v>
      </c>
      <c r="G7" s="18" t="s">
        <v>28</v>
      </c>
      <c r="H7" s="19" t="s">
        <v>29</v>
      </c>
      <c r="I7" s="24" t="s">
        <v>26</v>
      </c>
      <c r="J7" s="50">
        <v>0</v>
      </c>
      <c r="K7" s="42"/>
      <c r="L7" s="42"/>
      <c r="M7" s="51">
        <f>M5+B7+J7+K7</f>
        <v>5400</v>
      </c>
    </row>
    <row r="8" spans="1:13">
      <c r="A8" s="20" t="s">
        <v>30</v>
      </c>
      <c r="B8" s="15">
        <f>B3+B6</f>
        <v>-75700</v>
      </c>
      <c r="C8" s="16">
        <f>-151400-C3-E3-E6-E8</f>
        <v>-55150</v>
      </c>
      <c r="D8" s="17">
        <f t="shared" si="0"/>
        <v>-74650</v>
      </c>
      <c r="E8" s="16">
        <v>-20550</v>
      </c>
      <c r="F8" s="15">
        <f t="shared" si="1"/>
        <v>-81750</v>
      </c>
      <c r="G8" s="18" t="s">
        <v>31</v>
      </c>
      <c r="H8" s="19" t="s">
        <v>260</v>
      </c>
      <c r="I8" s="24" t="s">
        <v>26</v>
      </c>
      <c r="J8" s="50">
        <v>0</v>
      </c>
      <c r="K8" s="42"/>
      <c r="L8" s="42"/>
      <c r="M8" s="51">
        <f>M7</f>
        <v>5400</v>
      </c>
    </row>
    <row r="9" spans="1:13">
      <c r="A9" s="14" t="s">
        <v>33</v>
      </c>
      <c r="B9" s="15">
        <v>-4542</v>
      </c>
      <c r="C9" s="23"/>
      <c r="D9" s="15">
        <f t="shared" si="0"/>
        <v>-74650</v>
      </c>
      <c r="E9" s="23"/>
      <c r="F9" s="15">
        <f t="shared" si="1"/>
        <v>-81750</v>
      </c>
      <c r="G9" s="18" t="s">
        <v>34</v>
      </c>
      <c r="H9" s="19" t="s">
        <v>261</v>
      </c>
      <c r="I9" s="24" t="s">
        <v>26</v>
      </c>
      <c r="J9" s="50">
        <v>0</v>
      </c>
      <c r="K9" s="42"/>
      <c r="L9" s="42"/>
      <c r="M9" s="51">
        <f>M8+K9+J9-C9-E9+B9</f>
        <v>858</v>
      </c>
    </row>
    <row r="10" spans="1:13">
      <c r="A10" s="14" t="s">
        <v>36</v>
      </c>
      <c r="B10" s="15">
        <v>-948</v>
      </c>
      <c r="C10" s="23"/>
      <c r="D10" s="15">
        <f t="shared" si="0"/>
        <v>-74650</v>
      </c>
      <c r="E10" s="23"/>
      <c r="F10" s="15">
        <f t="shared" si="1"/>
        <v>-81750</v>
      </c>
      <c r="G10" s="18" t="s">
        <v>37</v>
      </c>
      <c r="H10" s="19" t="s">
        <v>262</v>
      </c>
      <c r="I10" s="24" t="s">
        <v>26</v>
      </c>
      <c r="J10" s="50">
        <v>0</v>
      </c>
      <c r="K10" s="42"/>
      <c r="L10" s="42"/>
      <c r="M10" s="51">
        <f>M9+K10+J10-C10-E10+B10</f>
        <v>-90</v>
      </c>
    </row>
    <row r="11" spans="1:13">
      <c r="A11" s="21" t="s">
        <v>39</v>
      </c>
      <c r="B11" s="19">
        <v>-200</v>
      </c>
      <c r="C11" s="24"/>
      <c r="D11" s="15">
        <f t="shared" si="0"/>
        <v>-74650</v>
      </c>
      <c r="E11" s="24"/>
      <c r="F11" s="15">
        <f t="shared" si="1"/>
        <v>-81750</v>
      </c>
      <c r="G11" s="18" t="s">
        <v>40</v>
      </c>
      <c r="H11" s="19" t="s">
        <v>263</v>
      </c>
      <c r="I11" s="24" t="s">
        <v>26</v>
      </c>
      <c r="J11" s="50">
        <v>0</v>
      </c>
      <c r="K11" s="42"/>
      <c r="L11" s="42"/>
      <c r="M11" s="51">
        <f t="shared" ref="M11:M39" si="2">M10+K11+J11-C11-E11+B11</f>
        <v>-290</v>
      </c>
    </row>
    <row r="12" spans="1:13">
      <c r="A12" s="21" t="s">
        <v>42</v>
      </c>
      <c r="B12" s="19">
        <v>0</v>
      </c>
      <c r="C12" s="24"/>
      <c r="D12" s="15">
        <f t="shared" si="0"/>
        <v>-74650</v>
      </c>
      <c r="E12" s="24"/>
      <c r="F12" s="15">
        <f t="shared" si="1"/>
        <v>-81750</v>
      </c>
      <c r="G12" s="18" t="s">
        <v>43</v>
      </c>
      <c r="H12" s="18" t="s">
        <v>264</v>
      </c>
      <c r="I12" s="24" t="s">
        <v>26</v>
      </c>
      <c r="J12" s="50">
        <v>0</v>
      </c>
      <c r="K12" s="42">
        <v>30000</v>
      </c>
      <c r="L12" s="42"/>
      <c r="M12" s="51">
        <f t="shared" si="2"/>
        <v>29710</v>
      </c>
    </row>
    <row r="13" spans="1:13">
      <c r="A13" s="21" t="s">
        <v>45</v>
      </c>
      <c r="B13" s="19">
        <v>0</v>
      </c>
      <c r="C13" s="24"/>
      <c r="D13" s="15">
        <f t="shared" si="0"/>
        <v>-74650</v>
      </c>
      <c r="E13" s="24">
        <v>30000</v>
      </c>
      <c r="F13" s="15">
        <f t="shared" si="1"/>
        <v>-51750</v>
      </c>
      <c r="G13" s="18"/>
      <c r="H13" s="18" t="s">
        <v>46</v>
      </c>
      <c r="I13" s="24" t="s">
        <v>26</v>
      </c>
      <c r="J13" s="50">
        <v>0</v>
      </c>
      <c r="K13" s="42"/>
      <c r="L13" s="42"/>
      <c r="M13" s="51">
        <f t="shared" si="2"/>
        <v>-290</v>
      </c>
    </row>
    <row r="14" spans="1:13">
      <c r="A14" s="21" t="s">
        <v>47</v>
      </c>
      <c r="B14" s="19">
        <v>-500</v>
      </c>
      <c r="C14" s="24"/>
      <c r="D14" s="15">
        <f t="shared" si="0"/>
        <v>-74650</v>
      </c>
      <c r="E14" s="24"/>
      <c r="F14" s="15">
        <f t="shared" si="1"/>
        <v>-51750</v>
      </c>
      <c r="G14" s="18" t="s">
        <v>265</v>
      </c>
      <c r="H14" s="18" t="s">
        <v>49</v>
      </c>
      <c r="I14" s="24" t="s">
        <v>26</v>
      </c>
      <c r="J14" s="50">
        <v>0</v>
      </c>
      <c r="K14" s="42">
        <v>20000</v>
      </c>
      <c r="L14" s="42"/>
      <c r="M14" s="51">
        <f t="shared" si="2"/>
        <v>19210</v>
      </c>
    </row>
    <row r="15" spans="1:13">
      <c r="A15" s="21" t="s">
        <v>50</v>
      </c>
      <c r="B15" s="19">
        <v>0</v>
      </c>
      <c r="C15" s="24"/>
      <c r="D15" s="15">
        <f t="shared" si="0"/>
        <v>-74650</v>
      </c>
      <c r="E15" s="24">
        <v>20000</v>
      </c>
      <c r="F15" s="15">
        <f t="shared" si="1"/>
        <v>-31750</v>
      </c>
      <c r="G15" s="18" t="s">
        <v>51</v>
      </c>
      <c r="H15" s="18" t="s">
        <v>266</v>
      </c>
      <c r="I15" s="24" t="s">
        <v>53</v>
      </c>
      <c r="J15" s="50">
        <v>0</v>
      </c>
      <c r="K15" s="42"/>
      <c r="L15" s="42"/>
      <c r="M15" s="51">
        <f t="shared" si="2"/>
        <v>-790</v>
      </c>
    </row>
    <row r="16" spans="1:13">
      <c r="A16" s="21" t="s">
        <v>54</v>
      </c>
      <c r="B16" s="19">
        <v>-500</v>
      </c>
      <c r="C16" s="24"/>
      <c r="D16" s="15">
        <f t="shared" si="0"/>
        <v>-74650</v>
      </c>
      <c r="E16" s="24"/>
      <c r="F16" s="15">
        <f t="shared" ref="F16:F39" si="3">E16+F15</f>
        <v>-31750</v>
      </c>
      <c r="G16" s="18" t="s">
        <v>55</v>
      </c>
      <c r="I16" s="24" t="s">
        <v>53</v>
      </c>
      <c r="J16" s="50">
        <v>0</v>
      </c>
      <c r="K16" s="42"/>
      <c r="L16" s="42"/>
      <c r="M16" s="51">
        <f t="shared" si="2"/>
        <v>-1290</v>
      </c>
    </row>
    <row r="17" spans="1:14" ht="18.899999999999999" customHeight="1">
      <c r="A17" s="21" t="s">
        <v>54</v>
      </c>
      <c r="B17" s="19">
        <v>0</v>
      </c>
      <c r="C17" s="24"/>
      <c r="D17" s="15">
        <f t="shared" si="0"/>
        <v>-74650</v>
      </c>
      <c r="E17" s="24"/>
      <c r="F17" s="15">
        <f t="shared" si="3"/>
        <v>-31750</v>
      </c>
      <c r="G17" s="18"/>
      <c r="H17" s="25"/>
      <c r="I17" s="24" t="s">
        <v>53</v>
      </c>
      <c r="J17" s="50">
        <v>0</v>
      </c>
      <c r="K17" s="42"/>
      <c r="L17" s="52"/>
      <c r="M17" s="51">
        <f t="shared" si="2"/>
        <v>-1290</v>
      </c>
    </row>
    <row r="18" spans="1:14" ht="18.899999999999999" customHeight="1">
      <c r="A18" s="21" t="s">
        <v>57</v>
      </c>
      <c r="B18" s="19"/>
      <c r="C18" s="24"/>
      <c r="D18" s="15"/>
      <c r="E18" s="24"/>
      <c r="F18" s="15">
        <f t="shared" si="3"/>
        <v>-31750</v>
      </c>
      <c r="G18" s="18" t="s">
        <v>267</v>
      </c>
      <c r="H18" s="25"/>
      <c r="I18" s="24" t="s">
        <v>268</v>
      </c>
      <c r="J18" s="50"/>
      <c r="K18" s="42"/>
      <c r="L18" s="52"/>
      <c r="M18" s="51"/>
    </row>
    <row r="19" spans="1:14" ht="18.899999999999999" customHeight="1">
      <c r="A19" s="26" t="s">
        <v>269</v>
      </c>
      <c r="B19" s="15">
        <v>0</v>
      </c>
      <c r="C19" s="23"/>
      <c r="D19" s="15">
        <f>D17+C19</f>
        <v>-74650</v>
      </c>
      <c r="E19" s="23">
        <v>6154.5</v>
      </c>
      <c r="F19" s="15">
        <f t="shared" si="3"/>
        <v>-25595.5</v>
      </c>
      <c r="G19" s="18" t="s">
        <v>58</v>
      </c>
      <c r="H19" s="18" t="s">
        <v>270</v>
      </c>
      <c r="I19" s="24" t="s">
        <v>60</v>
      </c>
      <c r="J19" s="50">
        <v>10000</v>
      </c>
      <c r="K19" s="42">
        <v>10000</v>
      </c>
      <c r="L19" s="52">
        <v>-10000</v>
      </c>
      <c r="M19" s="51">
        <f>M17+K19+J19-C19-E19+B19</f>
        <v>12555.5</v>
      </c>
    </row>
    <row r="20" spans="1:14" ht="18.899999999999999" customHeight="1">
      <c r="A20" s="14" t="s">
        <v>271</v>
      </c>
      <c r="B20" s="15">
        <v>-3000</v>
      </c>
      <c r="C20" s="23"/>
      <c r="D20" s="15">
        <f t="shared" si="0"/>
        <v>-74650</v>
      </c>
      <c r="E20" s="23" t="s">
        <v>272</v>
      </c>
      <c r="F20" s="15">
        <f>F19</f>
        <v>-25595.5</v>
      </c>
      <c r="G20" s="18" t="s">
        <v>62</v>
      </c>
      <c r="H20" s="19" t="s">
        <v>273</v>
      </c>
      <c r="I20" s="24" t="s">
        <v>63</v>
      </c>
      <c r="J20" s="50">
        <v>15000</v>
      </c>
      <c r="K20" s="42"/>
      <c r="L20" s="52">
        <f>-J20-J19</f>
        <v>-25000</v>
      </c>
      <c r="M20" s="51" t="e">
        <f t="shared" si="2"/>
        <v>#VALUE!</v>
      </c>
    </row>
    <row r="21" spans="1:14" ht="18.899999999999999" customHeight="1">
      <c r="A21" s="14" t="s">
        <v>64</v>
      </c>
      <c r="B21" s="19">
        <v>-10000</v>
      </c>
      <c r="C21" s="24"/>
      <c r="D21" s="15">
        <f t="shared" si="0"/>
        <v>-74650</v>
      </c>
      <c r="E21" s="24">
        <v>24000</v>
      </c>
      <c r="F21" s="15">
        <f>E21+F20</f>
        <v>-1595.5</v>
      </c>
      <c r="G21" s="18"/>
      <c r="H21" s="19" t="s">
        <v>274</v>
      </c>
      <c r="I21" s="24" t="s">
        <v>66</v>
      </c>
      <c r="J21" s="50">
        <v>10000</v>
      </c>
      <c r="K21" s="42">
        <v>30000</v>
      </c>
      <c r="L21" s="52">
        <v>-45000</v>
      </c>
      <c r="M21" s="51" t="e">
        <f t="shared" si="2"/>
        <v>#VALUE!</v>
      </c>
    </row>
    <row r="22" spans="1:14" ht="18.899999999999999" customHeight="1">
      <c r="A22" s="27" t="s">
        <v>67</v>
      </c>
      <c r="B22" s="28">
        <v>-5000</v>
      </c>
      <c r="C22" s="29">
        <v>47535.5</v>
      </c>
      <c r="D22" s="30">
        <f t="shared" si="0"/>
        <v>-27114.5</v>
      </c>
      <c r="E22" s="29">
        <v>19770</v>
      </c>
      <c r="F22" s="15">
        <f t="shared" si="3"/>
        <v>18174.5</v>
      </c>
      <c r="G22" s="31" t="s">
        <v>275</v>
      </c>
      <c r="H22" s="32" t="s">
        <v>276</v>
      </c>
      <c r="I22" s="24" t="s">
        <v>70</v>
      </c>
      <c r="J22" s="50">
        <v>60000</v>
      </c>
      <c r="K22" s="42">
        <v>10000</v>
      </c>
      <c r="L22" s="52">
        <v>-50000</v>
      </c>
      <c r="M22" s="51" t="e">
        <f t="shared" si="2"/>
        <v>#VALUE!</v>
      </c>
    </row>
    <row r="23" spans="1:14" ht="18.899999999999999" customHeight="1">
      <c r="A23" s="14" t="s">
        <v>71</v>
      </c>
      <c r="B23" s="19">
        <v>-5000</v>
      </c>
      <c r="C23" s="24">
        <f>25000*0.65</f>
        <v>16250</v>
      </c>
      <c r="D23" s="15">
        <f t="shared" si="0"/>
        <v>-10864.5</v>
      </c>
      <c r="E23" s="24">
        <f>25000*0.35</f>
        <v>8750</v>
      </c>
      <c r="F23" s="15">
        <f t="shared" si="3"/>
        <v>26924.5</v>
      </c>
      <c r="H23" s="19" t="s">
        <v>277</v>
      </c>
      <c r="I23" s="24" t="s">
        <v>72</v>
      </c>
      <c r="J23" s="50">
        <v>30000</v>
      </c>
      <c r="K23" s="42"/>
      <c r="L23" s="52">
        <v>-40000</v>
      </c>
      <c r="M23" s="51" t="e">
        <f t="shared" si="2"/>
        <v>#VALUE!</v>
      </c>
    </row>
    <row r="24" spans="1:14" ht="18.899999999999999" customHeight="1">
      <c r="A24" s="14" t="s">
        <v>73</v>
      </c>
      <c r="B24" s="19">
        <v>-6000</v>
      </c>
      <c r="C24" s="24">
        <f>20000*0.65</f>
        <v>13000</v>
      </c>
      <c r="D24" s="15">
        <f t="shared" si="0"/>
        <v>2135.5</v>
      </c>
      <c r="E24" s="24">
        <f>20000*0.35</f>
        <v>7000</v>
      </c>
      <c r="F24" s="15">
        <f t="shared" si="3"/>
        <v>33924.5</v>
      </c>
      <c r="G24" s="2" t="s">
        <v>74</v>
      </c>
      <c r="H24" s="19" t="s">
        <v>278</v>
      </c>
      <c r="I24" s="24" t="s">
        <v>75</v>
      </c>
      <c r="J24" s="50">
        <v>25000</v>
      </c>
      <c r="K24" s="42"/>
      <c r="L24" s="52">
        <v>-35000</v>
      </c>
      <c r="M24" s="51" t="e">
        <f t="shared" si="2"/>
        <v>#VALUE!</v>
      </c>
    </row>
    <row r="25" spans="1:14" ht="18.899999999999999" customHeight="1">
      <c r="A25" s="14" t="s">
        <v>76</v>
      </c>
      <c r="B25" s="19">
        <v>0</v>
      </c>
      <c r="C25" s="24"/>
      <c r="D25" s="15">
        <f t="shared" si="0"/>
        <v>2135.5</v>
      </c>
      <c r="E25" s="24"/>
      <c r="F25" s="15">
        <f t="shared" si="3"/>
        <v>33924.5</v>
      </c>
      <c r="G25" s="2" t="s">
        <v>77</v>
      </c>
      <c r="H25" s="19" t="s">
        <v>59</v>
      </c>
      <c r="I25" s="2" t="s">
        <v>78</v>
      </c>
      <c r="J25" s="53"/>
      <c r="K25" s="54"/>
      <c r="L25" s="55">
        <v>-35000</v>
      </c>
      <c r="M25" s="51" t="e">
        <f t="shared" si="2"/>
        <v>#VALUE!</v>
      </c>
      <c r="N25" s="56"/>
    </row>
    <row r="26" spans="1:14" ht="18.899999999999999" customHeight="1">
      <c r="A26" s="14" t="s">
        <v>79</v>
      </c>
      <c r="B26" s="15">
        <v>-8000</v>
      </c>
      <c r="C26" s="23"/>
      <c r="D26" s="15">
        <f t="shared" si="0"/>
        <v>2135.5</v>
      </c>
      <c r="E26" s="23"/>
      <c r="F26" s="15">
        <f t="shared" si="3"/>
        <v>33924.5</v>
      </c>
      <c r="G26" s="18" t="s">
        <v>80</v>
      </c>
      <c r="H26" s="19" t="s">
        <v>59</v>
      </c>
      <c r="I26" s="2" t="s">
        <v>81</v>
      </c>
      <c r="J26" s="50">
        <v>10000</v>
      </c>
      <c r="K26" s="42"/>
      <c r="L26" s="52">
        <v>-30000</v>
      </c>
      <c r="M26" s="51" t="e">
        <f t="shared" si="2"/>
        <v>#VALUE!</v>
      </c>
    </row>
    <row r="27" spans="1:14" ht="18.899999999999999" customHeight="1">
      <c r="A27" s="14" t="s">
        <v>82</v>
      </c>
      <c r="B27" s="19">
        <v>-5000</v>
      </c>
      <c r="C27" s="24"/>
      <c r="D27" s="15">
        <f t="shared" si="0"/>
        <v>2135.5</v>
      </c>
      <c r="E27" s="24"/>
      <c r="F27" s="15">
        <f t="shared" si="3"/>
        <v>33924.5</v>
      </c>
      <c r="G27" s="18"/>
      <c r="H27" s="19" t="s">
        <v>59</v>
      </c>
      <c r="I27" s="2" t="s">
        <v>72</v>
      </c>
      <c r="J27" s="50">
        <v>5000</v>
      </c>
      <c r="K27" s="42">
        <v>-30000</v>
      </c>
      <c r="L27" s="52">
        <v>-3000</v>
      </c>
      <c r="M27" s="51" t="e">
        <f t="shared" si="2"/>
        <v>#VALUE!</v>
      </c>
    </row>
    <row r="28" spans="1:14" ht="18.899999999999999" customHeight="1">
      <c r="A28" s="14" t="s">
        <v>83</v>
      </c>
      <c r="B28" s="19">
        <v>-6000</v>
      </c>
      <c r="C28" s="24"/>
      <c r="D28" s="15">
        <f t="shared" si="0"/>
        <v>2135.5</v>
      </c>
      <c r="E28" s="24"/>
      <c r="F28" s="15">
        <f t="shared" si="3"/>
        <v>33924.5</v>
      </c>
      <c r="G28" s="18"/>
      <c r="H28" s="19" t="s">
        <v>59</v>
      </c>
      <c r="I28" s="2" t="s">
        <v>84</v>
      </c>
      <c r="J28" s="50">
        <v>35000</v>
      </c>
      <c r="K28" s="42">
        <v>-30000</v>
      </c>
      <c r="L28" s="52">
        <v>-28000</v>
      </c>
      <c r="M28" s="51" t="e">
        <f t="shared" si="2"/>
        <v>#VALUE!</v>
      </c>
    </row>
    <row r="29" spans="1:14" ht="18.899999999999999" customHeight="1">
      <c r="A29" s="14" t="s">
        <v>85</v>
      </c>
      <c r="B29" s="15">
        <v>-12000</v>
      </c>
      <c r="C29" s="23"/>
      <c r="D29" s="15">
        <f t="shared" si="0"/>
        <v>2135.5</v>
      </c>
      <c r="E29" s="23"/>
      <c r="F29" s="15">
        <f t="shared" si="3"/>
        <v>33924.5</v>
      </c>
      <c r="G29" s="18" t="s">
        <v>86</v>
      </c>
      <c r="H29" s="19" t="s">
        <v>59</v>
      </c>
      <c r="I29" s="24" t="s">
        <v>87</v>
      </c>
      <c r="J29" s="50">
        <v>10000</v>
      </c>
      <c r="K29" s="42"/>
      <c r="L29" s="52">
        <v>-25000</v>
      </c>
      <c r="M29" s="51" t="e">
        <f t="shared" si="2"/>
        <v>#VALUE!</v>
      </c>
    </row>
    <row r="30" spans="1:14" ht="18.899999999999999" customHeight="1">
      <c r="A30" s="14" t="s">
        <v>88</v>
      </c>
      <c r="B30" s="19">
        <v>-15000</v>
      </c>
      <c r="C30" s="24"/>
      <c r="D30" s="15">
        <f t="shared" si="0"/>
        <v>2135.5</v>
      </c>
      <c r="E30" s="24"/>
      <c r="F30" s="15">
        <f t="shared" si="3"/>
        <v>33924.5</v>
      </c>
      <c r="H30" s="19" t="s">
        <v>59</v>
      </c>
      <c r="I30" s="24" t="s">
        <v>89</v>
      </c>
      <c r="J30" s="50">
        <v>20000</v>
      </c>
      <c r="K30" s="42"/>
      <c r="L30" s="52">
        <v>-20000</v>
      </c>
      <c r="M30" s="51" t="e">
        <f t="shared" si="2"/>
        <v>#VALUE!</v>
      </c>
    </row>
    <row r="31" spans="1:14" ht="18.899999999999999" customHeight="1">
      <c r="A31" s="21" t="s">
        <v>90</v>
      </c>
      <c r="B31" s="19">
        <v>-15000</v>
      </c>
      <c r="C31" s="24"/>
      <c r="D31" s="15">
        <f t="shared" si="0"/>
        <v>2135.5</v>
      </c>
      <c r="E31" s="24"/>
      <c r="F31" s="15">
        <f t="shared" si="3"/>
        <v>33924.5</v>
      </c>
      <c r="G31" s="18" t="s">
        <v>91</v>
      </c>
      <c r="H31" s="19" t="s">
        <v>59</v>
      </c>
      <c r="I31" s="24" t="s">
        <v>92</v>
      </c>
      <c r="J31" s="50">
        <v>10000</v>
      </c>
      <c r="K31" s="42"/>
      <c r="L31" s="52">
        <v>-20000</v>
      </c>
      <c r="M31" s="51" t="e">
        <f t="shared" si="2"/>
        <v>#VALUE!</v>
      </c>
    </row>
    <row r="32" spans="1:14" ht="18.899999999999999" customHeight="1">
      <c r="A32" s="21" t="s">
        <v>93</v>
      </c>
      <c r="B32" s="15">
        <v>-15000</v>
      </c>
      <c r="C32" s="23"/>
      <c r="D32" s="15">
        <f t="shared" si="0"/>
        <v>2135.5</v>
      </c>
      <c r="E32" s="24"/>
      <c r="F32" s="15">
        <f t="shared" si="3"/>
        <v>33924.5</v>
      </c>
      <c r="G32" s="18" t="s">
        <v>94</v>
      </c>
      <c r="H32" s="19" t="s">
        <v>59</v>
      </c>
      <c r="I32" s="2" t="s">
        <v>95</v>
      </c>
      <c r="J32" s="50">
        <v>55000</v>
      </c>
      <c r="K32" s="42">
        <v>-30000</v>
      </c>
      <c r="L32" s="52">
        <v>-15000</v>
      </c>
      <c r="M32" s="51" t="e">
        <f t="shared" si="2"/>
        <v>#VALUE!</v>
      </c>
    </row>
    <row r="33" spans="1:13" ht="18.899999999999999" customHeight="1">
      <c r="A33" s="33" t="s">
        <v>96</v>
      </c>
      <c r="B33" s="19">
        <v>-12000</v>
      </c>
      <c r="C33" s="24">
        <f>20000*0.65</f>
        <v>13000</v>
      </c>
      <c r="D33" s="15">
        <f t="shared" si="0"/>
        <v>15135.5</v>
      </c>
      <c r="E33" s="24">
        <f>20000*0.35</f>
        <v>7000</v>
      </c>
      <c r="F33" s="15">
        <f t="shared" si="3"/>
        <v>40924.5</v>
      </c>
      <c r="G33" s="18" t="s">
        <v>97</v>
      </c>
      <c r="H33" s="19" t="s">
        <v>59</v>
      </c>
      <c r="I33" s="24" t="s">
        <v>98</v>
      </c>
      <c r="J33" s="50">
        <v>35000</v>
      </c>
      <c r="K33" s="42">
        <v>-10000</v>
      </c>
      <c r="L33" s="52">
        <v>-5000</v>
      </c>
      <c r="M33" s="51" t="e">
        <f t="shared" si="2"/>
        <v>#VALUE!</v>
      </c>
    </row>
    <row r="34" spans="1:13">
      <c r="A34" s="21" t="s">
        <v>99</v>
      </c>
      <c r="B34" s="19">
        <v>-12000</v>
      </c>
      <c r="C34" s="24"/>
      <c r="D34" s="15">
        <f t="shared" si="0"/>
        <v>15135.5</v>
      </c>
      <c r="E34" s="24"/>
      <c r="F34" s="15">
        <f t="shared" si="3"/>
        <v>40924.5</v>
      </c>
      <c r="G34" s="18" t="s">
        <v>100</v>
      </c>
      <c r="H34" s="19" t="s">
        <v>59</v>
      </c>
      <c r="I34" s="2" t="s">
        <v>101</v>
      </c>
      <c r="J34" s="50">
        <v>38000</v>
      </c>
      <c r="K34" s="42"/>
      <c r="L34" s="52">
        <v>-5000</v>
      </c>
      <c r="M34" s="51" t="e">
        <f t="shared" si="2"/>
        <v>#VALUE!</v>
      </c>
    </row>
    <row r="35" spans="1:13">
      <c r="A35" s="21" t="s">
        <v>102</v>
      </c>
      <c r="B35" s="19">
        <v>-19000</v>
      </c>
      <c r="C35" s="22"/>
      <c r="D35" s="15">
        <f t="shared" si="0"/>
        <v>15135.5</v>
      </c>
      <c r="E35" s="22"/>
      <c r="F35" s="15">
        <f t="shared" si="3"/>
        <v>40924.5</v>
      </c>
      <c r="G35" s="18" t="s">
        <v>103</v>
      </c>
      <c r="H35" s="19" t="s">
        <v>104</v>
      </c>
      <c r="I35" s="24" t="s">
        <v>105</v>
      </c>
      <c r="J35" s="50">
        <v>8000</v>
      </c>
      <c r="K35" s="42"/>
      <c r="L35" s="52">
        <v>-5000</v>
      </c>
      <c r="M35" s="51" t="e">
        <f t="shared" si="2"/>
        <v>#VALUE!</v>
      </c>
    </row>
    <row r="36" spans="1:13">
      <c r="A36" s="21">
        <v>2023.12</v>
      </c>
      <c r="B36" s="19">
        <v>-20000</v>
      </c>
      <c r="D36" s="15">
        <f t="shared" si="0"/>
        <v>15135.5</v>
      </c>
      <c r="F36" s="15">
        <f t="shared" si="3"/>
        <v>40924.5</v>
      </c>
      <c r="G36" s="18" t="s">
        <v>106</v>
      </c>
      <c r="H36" s="19" t="s">
        <v>59</v>
      </c>
      <c r="I36" s="24" t="s">
        <v>107</v>
      </c>
      <c r="J36" s="50">
        <v>5000</v>
      </c>
      <c r="K36" s="42"/>
      <c r="L36" s="52">
        <v>-5000</v>
      </c>
      <c r="M36" s="51" t="e">
        <f t="shared" si="2"/>
        <v>#VALUE!</v>
      </c>
    </row>
    <row r="37" spans="1:13">
      <c r="A37" s="21" t="s">
        <v>108</v>
      </c>
      <c r="B37" s="19">
        <v>-4000</v>
      </c>
      <c r="C37" s="22">
        <f>-4000*0.65</f>
        <v>-2600</v>
      </c>
      <c r="D37" s="15">
        <f t="shared" si="0"/>
        <v>12535.5</v>
      </c>
      <c r="E37" s="22">
        <f>-4000*0.35</f>
        <v>-1400</v>
      </c>
      <c r="F37" s="15">
        <f t="shared" si="3"/>
        <v>39524.5</v>
      </c>
      <c r="G37" s="18"/>
      <c r="H37" s="19" t="s">
        <v>104</v>
      </c>
      <c r="I37" s="24" t="s">
        <v>109</v>
      </c>
      <c r="J37" s="50">
        <v>5000</v>
      </c>
      <c r="K37" s="42"/>
      <c r="L37" s="52">
        <v>0</v>
      </c>
      <c r="M37" s="51" t="e">
        <f t="shared" si="2"/>
        <v>#VALUE!</v>
      </c>
    </row>
    <row r="38" spans="1:13">
      <c r="A38" s="21" t="s">
        <v>110</v>
      </c>
      <c r="B38" s="19">
        <v>-4000</v>
      </c>
      <c r="C38" s="22">
        <f>-4000*0.65</f>
        <v>-2600</v>
      </c>
      <c r="D38" s="15">
        <f t="shared" si="0"/>
        <v>9935.5</v>
      </c>
      <c r="E38" s="22">
        <f>-4000*0.35</f>
        <v>-1400</v>
      </c>
      <c r="F38" s="15">
        <f t="shared" si="3"/>
        <v>38124.5</v>
      </c>
      <c r="G38" s="18" t="s">
        <v>111</v>
      </c>
      <c r="H38" s="19" t="s">
        <v>104</v>
      </c>
      <c r="I38" s="24"/>
      <c r="J38" s="50">
        <v>0</v>
      </c>
      <c r="K38" s="42"/>
      <c r="L38" s="42">
        <v>0</v>
      </c>
      <c r="M38" s="51" t="e">
        <f t="shared" si="2"/>
        <v>#VALUE!</v>
      </c>
    </row>
    <row r="39" spans="1:13">
      <c r="A39" s="34" t="s">
        <v>112</v>
      </c>
      <c r="B39" s="19">
        <v>-2500</v>
      </c>
      <c r="C39" s="22">
        <f>-8190*0.65</f>
        <v>-5323.5</v>
      </c>
      <c r="D39" s="15">
        <f t="shared" si="0"/>
        <v>4612</v>
      </c>
      <c r="E39" s="22">
        <f>-8190*0.35</f>
        <v>-2866.5</v>
      </c>
      <c r="F39" s="15">
        <f t="shared" si="3"/>
        <v>35258</v>
      </c>
      <c r="H39" s="19" t="s">
        <v>104</v>
      </c>
      <c r="I39" s="24" t="s">
        <v>113</v>
      </c>
      <c r="J39" s="50">
        <v>0</v>
      </c>
      <c r="K39" s="42"/>
      <c r="L39" s="42">
        <v>0</v>
      </c>
      <c r="M39" s="51" t="e">
        <f t="shared" si="2"/>
        <v>#VALUE!</v>
      </c>
    </row>
    <row r="40" spans="1:13">
      <c r="A40" s="35" t="s">
        <v>114</v>
      </c>
      <c r="B40" s="36">
        <f>SUM(B3:B39)</f>
        <v>-337190</v>
      </c>
      <c r="C40" s="37"/>
      <c r="D40" s="37"/>
      <c r="E40" s="37"/>
      <c r="F40" s="37"/>
      <c r="G40" s="38"/>
      <c r="H40" s="36"/>
      <c r="I40" s="37"/>
      <c r="J40" s="57">
        <f>SUM(J19:J39)</f>
        <v>386000</v>
      </c>
      <c r="K40" s="57">
        <f>SUM(K12:K39)</f>
        <v>0</v>
      </c>
      <c r="L40" s="57">
        <v>0</v>
      </c>
      <c r="M40" s="58">
        <f>J40+B40</f>
        <v>48810</v>
      </c>
    </row>
    <row r="41" spans="1:13">
      <c r="A41" s="35"/>
      <c r="B41" s="39" t="s">
        <v>115</v>
      </c>
      <c r="C41" s="39"/>
      <c r="D41" s="39"/>
      <c r="E41" s="39"/>
      <c r="F41" s="39"/>
      <c r="G41" s="39"/>
      <c r="H41" s="39"/>
      <c r="I41" s="39"/>
      <c r="J41" s="59" t="s">
        <v>116</v>
      </c>
      <c r="K41" s="59"/>
      <c r="L41" s="59"/>
      <c r="M41" s="60" t="s">
        <v>117</v>
      </c>
    </row>
    <row r="42" spans="1:13">
      <c r="A42" s="40" t="s">
        <v>118</v>
      </c>
      <c r="B42" s="41">
        <f>151400/15.6484</f>
        <v>9675.1105544336806</v>
      </c>
      <c r="C42" s="41"/>
      <c r="D42" s="41"/>
      <c r="E42" s="41">
        <f>D39+F39</f>
        <v>39870</v>
      </c>
      <c r="F42" s="41"/>
      <c r="G42" s="41" t="s">
        <v>119</v>
      </c>
      <c r="H42" s="42">
        <f>118000/15.6484</f>
        <v>7540.7070371411774</v>
      </c>
      <c r="I42" s="61" t="s">
        <v>120</v>
      </c>
      <c r="J42" s="41">
        <f>J40/15.6484</f>
        <v>24667.058613021138</v>
      </c>
      <c r="K42" s="42"/>
      <c r="L42" s="42"/>
      <c r="M42" s="43"/>
    </row>
    <row r="43" spans="1:13">
      <c r="B43" s="42"/>
      <c r="C43" s="42"/>
      <c r="D43" s="42"/>
      <c r="E43" s="42"/>
      <c r="F43" s="42"/>
      <c r="G43" s="43"/>
      <c r="H43" s="43"/>
      <c r="I43" s="43"/>
      <c r="J43" s="42"/>
      <c r="K43" s="42"/>
      <c r="L43" s="42"/>
      <c r="M43" s="43"/>
    </row>
    <row r="44" spans="1:13">
      <c r="B44" s="2"/>
    </row>
    <row r="45" spans="1:13">
      <c r="B45" s="2"/>
    </row>
    <row r="46" spans="1:13">
      <c r="B46" s="2"/>
    </row>
    <row r="49" spans="1:2">
      <c r="A49" s="3"/>
      <c r="B49" s="44"/>
    </row>
  </sheetData>
  <mergeCells count="1">
    <mergeCell ref="A1:M1"/>
  </mergeCells>
  <phoneticPr fontId="38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9"/>
  <sheetViews>
    <sheetView workbookViewId="0">
      <selection activeCell="B7" sqref="B7"/>
    </sheetView>
  </sheetViews>
  <sheetFormatPr defaultRowHeight="14.4"/>
  <cols>
    <col min="1" max="1" width="54.44140625" style="206" bestFit="1" customWidth="1"/>
    <col min="2" max="2" width="8.44140625" style="207" bestFit="1" customWidth="1"/>
    <col min="3" max="3" width="17.109375" style="207" bestFit="1" customWidth="1"/>
    <col min="4" max="4" width="16.44140625" style="207" bestFit="1" customWidth="1"/>
  </cols>
  <sheetData>
    <row r="1" spans="1:4">
      <c r="A1" s="226" t="s">
        <v>279</v>
      </c>
      <c r="B1" s="226" t="s">
        <v>280</v>
      </c>
      <c r="C1" s="226" t="s">
        <v>374</v>
      </c>
      <c r="D1" s="226" t="s">
        <v>375</v>
      </c>
    </row>
    <row r="2" spans="1:4">
      <c r="A2" s="210" t="s">
        <v>376</v>
      </c>
      <c r="B2" s="231" t="s">
        <v>284</v>
      </c>
      <c r="C2" s="228">
        <v>1556985105.98</v>
      </c>
      <c r="D2" s="228">
        <v>6759565820.3599997</v>
      </c>
    </row>
    <row r="3" spans="1:4">
      <c r="A3" s="227" t="s">
        <v>377</v>
      </c>
      <c r="B3" s="231" t="s">
        <v>284</v>
      </c>
      <c r="C3" s="228">
        <v>1556985105.98</v>
      </c>
      <c r="D3" s="228">
        <v>6759565820.3599997</v>
      </c>
    </row>
    <row r="4" spans="1:4">
      <c r="A4" s="229" t="s">
        <v>378</v>
      </c>
      <c r="B4" s="231" t="s">
        <v>284</v>
      </c>
      <c r="C4" s="230"/>
      <c r="D4" s="230"/>
    </row>
    <row r="5" spans="1:4">
      <c r="A5" s="229" t="s">
        <v>379</v>
      </c>
      <c r="B5" s="231" t="s">
        <v>284</v>
      </c>
      <c r="C5" s="230"/>
      <c r="D5" s="230"/>
    </row>
    <row r="6" spans="1:4">
      <c r="A6" s="229" t="s">
        <v>380</v>
      </c>
      <c r="B6" s="231" t="s">
        <v>284</v>
      </c>
      <c r="C6" s="230"/>
      <c r="D6" s="230"/>
    </row>
    <row r="7" spans="1:4">
      <c r="A7" s="210" t="s">
        <v>381</v>
      </c>
      <c r="B7" s="231" t="s">
        <v>284</v>
      </c>
      <c r="C7" s="228">
        <v>2043002451.71</v>
      </c>
      <c r="D7" s="228">
        <v>6566582322.6300001</v>
      </c>
    </row>
    <row r="8" spans="1:4">
      <c r="A8" s="227" t="s">
        <v>382</v>
      </c>
      <c r="B8" s="231" t="s">
        <v>284</v>
      </c>
      <c r="C8" s="228">
        <v>1550744992.3399999</v>
      </c>
      <c r="D8" s="228">
        <v>6116617137.5100002</v>
      </c>
    </row>
    <row r="9" spans="1:4">
      <c r="A9" s="229" t="s">
        <v>383</v>
      </c>
      <c r="B9" s="231" t="s">
        <v>284</v>
      </c>
      <c r="C9" s="230"/>
      <c r="D9" s="230"/>
    </row>
    <row r="10" spans="1:4">
      <c r="A10" s="229" t="s">
        <v>384</v>
      </c>
      <c r="B10" s="231" t="s">
        <v>284</v>
      </c>
      <c r="C10" s="230"/>
      <c r="D10" s="230"/>
    </row>
    <row r="11" spans="1:4">
      <c r="A11" s="229" t="s">
        <v>385</v>
      </c>
      <c r="B11" s="231" t="s">
        <v>284</v>
      </c>
      <c r="C11" s="230"/>
      <c r="D11" s="230"/>
    </row>
    <row r="12" spans="1:4">
      <c r="A12" s="229" t="s">
        <v>386</v>
      </c>
      <c r="B12" s="231" t="s">
        <v>284</v>
      </c>
      <c r="C12" s="230"/>
      <c r="D12" s="230"/>
    </row>
    <row r="13" spans="1:4">
      <c r="A13" s="229" t="s">
        <v>387</v>
      </c>
      <c r="B13" s="231" t="s">
        <v>284</v>
      </c>
      <c r="C13" s="230"/>
      <c r="D13" s="230"/>
    </row>
    <row r="14" spans="1:4">
      <c r="A14" s="229" t="s">
        <v>388</v>
      </c>
      <c r="B14" s="231" t="s">
        <v>284</v>
      </c>
      <c r="C14" s="230"/>
      <c r="D14" s="230"/>
    </row>
    <row r="15" spans="1:4">
      <c r="A15" s="229" t="s">
        <v>389</v>
      </c>
      <c r="B15" s="231" t="s">
        <v>284</v>
      </c>
      <c r="C15" s="230"/>
      <c r="D15" s="230"/>
    </row>
    <row r="16" spans="1:4">
      <c r="A16" s="229" t="s">
        <v>390</v>
      </c>
      <c r="B16" s="231" t="s">
        <v>284</v>
      </c>
      <c r="C16" s="228">
        <v>11267529.220000001</v>
      </c>
      <c r="D16" s="228">
        <v>21277357.489999998</v>
      </c>
    </row>
    <row r="17" spans="1:4">
      <c r="A17" s="229" t="s">
        <v>391</v>
      </c>
      <c r="B17" s="231" t="s">
        <v>284</v>
      </c>
      <c r="C17" s="228">
        <v>50291080.619999997</v>
      </c>
      <c r="D17" s="228">
        <v>44574538.140000001</v>
      </c>
    </row>
    <row r="18" spans="1:4">
      <c r="A18" s="229" t="s">
        <v>392</v>
      </c>
      <c r="B18" s="231" t="s">
        <v>284</v>
      </c>
      <c r="C18" s="228">
        <v>160653154.13</v>
      </c>
      <c r="D18" s="228">
        <v>151242477.75999999</v>
      </c>
    </row>
    <row r="19" spans="1:4">
      <c r="A19" s="229" t="s">
        <v>393</v>
      </c>
      <c r="B19" s="231" t="s">
        <v>284</v>
      </c>
      <c r="C19" s="228">
        <v>133058192.36</v>
      </c>
      <c r="D19" s="228">
        <v>124449915.89</v>
      </c>
    </row>
    <row r="20" spans="1:4">
      <c r="A20" s="229" t="s">
        <v>394</v>
      </c>
      <c r="B20" s="231" t="s">
        <v>284</v>
      </c>
      <c r="C20" s="228">
        <v>136987503.03999999</v>
      </c>
      <c r="D20" s="228">
        <v>108420895.84</v>
      </c>
    </row>
    <row r="21" spans="1:4">
      <c r="A21" s="229" t="s">
        <v>395</v>
      </c>
      <c r="B21" s="231" t="s">
        <v>284</v>
      </c>
      <c r="C21" s="228">
        <v>148310424.03999999</v>
      </c>
      <c r="D21" s="228">
        <v>145541924.84</v>
      </c>
    </row>
    <row r="22" spans="1:4">
      <c r="A22" s="229" t="s">
        <v>378</v>
      </c>
      <c r="B22" s="231" t="s">
        <v>284</v>
      </c>
      <c r="C22" s="228">
        <v>14889300</v>
      </c>
      <c r="D22" s="228">
        <v>13039887.66</v>
      </c>
    </row>
    <row r="23" spans="1:4">
      <c r="A23" s="227" t="s">
        <v>396</v>
      </c>
      <c r="B23" s="231" t="s">
        <v>284</v>
      </c>
      <c r="C23" s="228">
        <v>31947302.16</v>
      </c>
      <c r="D23" s="228">
        <v>83798457.420000002</v>
      </c>
    </row>
    <row r="24" spans="1:4">
      <c r="A24" s="229" t="s">
        <v>397</v>
      </c>
      <c r="B24" s="231" t="s">
        <v>284</v>
      </c>
      <c r="C24" s="228">
        <v>834590.36</v>
      </c>
      <c r="D24" s="228">
        <v>3551950.26</v>
      </c>
    </row>
    <row r="25" spans="1:4">
      <c r="A25" s="227" t="s">
        <v>437</v>
      </c>
      <c r="B25" s="231" t="s">
        <v>284</v>
      </c>
      <c r="C25" s="228">
        <v>834590.36</v>
      </c>
      <c r="D25" s="228">
        <v>1875733.16</v>
      </c>
    </row>
    <row r="26" spans="1:4">
      <c r="A26" s="227" t="s">
        <v>398</v>
      </c>
      <c r="B26" s="256" t="s">
        <v>284</v>
      </c>
      <c r="C26" s="257"/>
      <c r="D26" s="257"/>
    </row>
    <row r="27" spans="1:4">
      <c r="A27" s="227" t="s">
        <v>399</v>
      </c>
      <c r="B27" s="256"/>
      <c r="C27" s="257"/>
      <c r="D27" s="257"/>
    </row>
    <row r="28" spans="1:4">
      <c r="A28" s="229" t="s">
        <v>400</v>
      </c>
      <c r="B28" s="231" t="s">
        <v>284</v>
      </c>
      <c r="C28" s="230"/>
      <c r="D28" s="230"/>
    </row>
    <row r="29" spans="1:4">
      <c r="A29" s="229" t="s">
        <v>401</v>
      </c>
      <c r="B29" s="231" t="s">
        <v>284</v>
      </c>
      <c r="C29" s="230"/>
      <c r="D29" s="230"/>
    </row>
    <row r="30" spans="1:4" ht="14.1" customHeight="1">
      <c r="A30" s="227" t="s">
        <v>438</v>
      </c>
      <c r="B30" s="231" t="s">
        <v>284</v>
      </c>
      <c r="C30" s="228">
        <v>-7564379.4900000002</v>
      </c>
      <c r="D30" s="230"/>
    </row>
    <row r="31" spans="1:4">
      <c r="A31" s="229" t="s">
        <v>402</v>
      </c>
      <c r="B31" s="231" t="s">
        <v>284</v>
      </c>
      <c r="C31" s="228">
        <v>-209517117.19999999</v>
      </c>
      <c r="D31" s="230"/>
    </row>
    <row r="32" spans="1:4">
      <c r="A32" s="229" t="s">
        <v>403</v>
      </c>
      <c r="B32" s="231" t="s">
        <v>284</v>
      </c>
      <c r="C32" s="228">
        <v>-2403205485.5900002</v>
      </c>
      <c r="D32" s="228">
        <v>-492789569.94999999</v>
      </c>
    </row>
    <row r="33" spans="1:4">
      <c r="A33" s="229" t="s">
        <v>404</v>
      </c>
      <c r="B33" s="231" t="s">
        <v>284</v>
      </c>
      <c r="C33" s="228">
        <v>-43943.58</v>
      </c>
      <c r="D33" s="228">
        <v>74397.88</v>
      </c>
    </row>
    <row r="34" spans="1:4">
      <c r="A34" s="210" t="s">
        <v>405</v>
      </c>
      <c r="B34" s="231" t="s">
        <v>284</v>
      </c>
      <c r="C34" s="228">
        <v>-3073566379.0700002</v>
      </c>
      <c r="D34" s="228">
        <v>-212381266.66</v>
      </c>
    </row>
    <row r="35" spans="1:4">
      <c r="A35" s="227" t="s">
        <v>406</v>
      </c>
      <c r="B35" s="231" t="s">
        <v>284</v>
      </c>
      <c r="C35" s="228">
        <v>14306304.34</v>
      </c>
      <c r="D35" s="228">
        <v>513651.81</v>
      </c>
    </row>
    <row r="36" spans="1:4">
      <c r="A36" s="227" t="s">
        <v>407</v>
      </c>
      <c r="B36" s="231" t="s">
        <v>284</v>
      </c>
      <c r="C36" s="228">
        <v>23968132.079999998</v>
      </c>
      <c r="D36" s="228">
        <v>1113558.0900000001</v>
      </c>
    </row>
    <row r="37" spans="1:4">
      <c r="A37" s="210" t="s">
        <v>408</v>
      </c>
      <c r="B37" s="231" t="s">
        <v>284</v>
      </c>
      <c r="C37" s="228">
        <v>-3083228206.8099999</v>
      </c>
      <c r="D37" s="228">
        <v>-212981172.94</v>
      </c>
    </row>
    <row r="38" spans="1:4">
      <c r="A38" s="227" t="s">
        <v>409</v>
      </c>
      <c r="B38" s="231" t="s">
        <v>284</v>
      </c>
      <c r="C38" s="228">
        <v>-36110729.740000002</v>
      </c>
      <c r="D38" s="228">
        <v>54174557.439999998</v>
      </c>
    </row>
    <row r="39" spans="1:4">
      <c r="A39" s="210" t="s">
        <v>410</v>
      </c>
      <c r="B39" s="231" t="s">
        <v>284</v>
      </c>
      <c r="C39" s="228">
        <v>-3047117477.0700002</v>
      </c>
      <c r="D39" s="228">
        <v>-267155730.38</v>
      </c>
    </row>
    <row r="40" spans="1:4">
      <c r="A40" s="255" t="s">
        <v>411</v>
      </c>
      <c r="B40" s="255"/>
      <c r="C40" s="255"/>
      <c r="D40" s="255"/>
    </row>
    <row r="41" spans="1:4">
      <c r="A41" s="227" t="s">
        <v>439</v>
      </c>
      <c r="B41" s="231" t="s">
        <v>284</v>
      </c>
      <c r="C41" s="228">
        <v>-3047092689.23</v>
      </c>
      <c r="D41" s="228">
        <v>-267155730.38</v>
      </c>
    </row>
    <row r="42" spans="1:4" ht="14.1" customHeight="1">
      <c r="A42" s="227" t="s">
        <v>440</v>
      </c>
      <c r="B42" s="231" t="s">
        <v>284</v>
      </c>
      <c r="C42" s="228">
        <v>-24787.84</v>
      </c>
      <c r="D42" s="230"/>
    </row>
    <row r="43" spans="1:4">
      <c r="A43" s="255" t="s">
        <v>412</v>
      </c>
      <c r="B43" s="255"/>
      <c r="C43" s="255"/>
      <c r="D43" s="255"/>
    </row>
    <row r="44" spans="1:4">
      <c r="A44" s="227" t="s">
        <v>441</v>
      </c>
      <c r="B44" s="231" t="s">
        <v>284</v>
      </c>
      <c r="C44" s="228">
        <v>-3047028370.7600002</v>
      </c>
      <c r="D44" s="228">
        <v>-267155730.38</v>
      </c>
    </row>
    <row r="45" spans="1:4">
      <c r="A45" s="229" t="s">
        <v>413</v>
      </c>
      <c r="B45" s="231" t="s">
        <v>284</v>
      </c>
      <c r="C45" s="228">
        <v>-89106.31</v>
      </c>
      <c r="D45" s="230"/>
    </row>
    <row r="46" spans="1:4">
      <c r="A46" s="210" t="s">
        <v>414</v>
      </c>
      <c r="B46" s="231" t="s">
        <v>284</v>
      </c>
      <c r="C46" s="228">
        <v>-17259655.75</v>
      </c>
      <c r="D46" s="228">
        <v>2563206.29</v>
      </c>
    </row>
    <row r="47" spans="1:4">
      <c r="A47" s="227" t="s">
        <v>442</v>
      </c>
      <c r="B47" s="231" t="s">
        <v>284</v>
      </c>
      <c r="C47" s="228">
        <v>-17259655.75</v>
      </c>
      <c r="D47" s="228">
        <v>2563206.29</v>
      </c>
    </row>
    <row r="48" spans="1:4">
      <c r="A48" s="229" t="s">
        <v>415</v>
      </c>
      <c r="B48" s="231" t="s">
        <v>284</v>
      </c>
      <c r="C48" s="230"/>
      <c r="D48" s="230"/>
    </row>
    <row r="49" spans="1:4">
      <c r="A49" s="227" t="s">
        <v>416</v>
      </c>
      <c r="B49" s="231" t="s">
        <v>284</v>
      </c>
      <c r="C49" s="230"/>
      <c r="D49" s="230"/>
    </row>
    <row r="50" spans="1:4">
      <c r="A50" s="227" t="s">
        <v>417</v>
      </c>
      <c r="B50" s="231" t="s">
        <v>284</v>
      </c>
      <c r="C50" s="230"/>
      <c r="D50" s="230"/>
    </row>
    <row r="51" spans="1:4">
      <c r="A51" s="227" t="s">
        <v>418</v>
      </c>
      <c r="B51" s="231" t="s">
        <v>284</v>
      </c>
      <c r="C51" s="230"/>
      <c r="D51" s="230"/>
    </row>
    <row r="52" spans="1:4">
      <c r="A52" s="227" t="s">
        <v>419</v>
      </c>
      <c r="B52" s="231" t="s">
        <v>284</v>
      </c>
      <c r="C52" s="230"/>
      <c r="D52" s="230"/>
    </row>
    <row r="53" spans="1:4">
      <c r="A53" s="229" t="s">
        <v>420</v>
      </c>
      <c r="B53" s="231" t="s">
        <v>284</v>
      </c>
      <c r="C53" s="228">
        <v>-17259655.75</v>
      </c>
      <c r="D53" s="228">
        <v>2563206.29</v>
      </c>
    </row>
    <row r="54" spans="1:4">
      <c r="A54" s="227" t="s">
        <v>421</v>
      </c>
      <c r="B54" s="231" t="s">
        <v>284</v>
      </c>
      <c r="C54" s="230"/>
      <c r="D54" s="230"/>
    </row>
    <row r="55" spans="1:4">
      <c r="A55" s="227" t="s">
        <v>422</v>
      </c>
      <c r="B55" s="231" t="s">
        <v>284</v>
      </c>
      <c r="C55" s="230"/>
      <c r="D55" s="230"/>
    </row>
    <row r="56" spans="1:4">
      <c r="A56" s="227" t="s">
        <v>423</v>
      </c>
      <c r="B56" s="231" t="s">
        <v>284</v>
      </c>
      <c r="C56" s="230"/>
      <c r="D56" s="230"/>
    </row>
    <row r="57" spans="1:4" ht="14.1" customHeight="1">
      <c r="A57" s="227" t="s">
        <v>443</v>
      </c>
      <c r="B57" s="231" t="s">
        <v>284</v>
      </c>
      <c r="C57" s="230"/>
      <c r="D57" s="230"/>
    </row>
    <row r="58" spans="1:4" ht="14.1" customHeight="1">
      <c r="A58" s="227" t="s">
        <v>444</v>
      </c>
      <c r="B58" s="231" t="s">
        <v>284</v>
      </c>
      <c r="C58" s="230"/>
      <c r="D58" s="230"/>
    </row>
    <row r="59" spans="1:4">
      <c r="A59" s="227" t="s">
        <v>424</v>
      </c>
      <c r="B59" s="231" t="s">
        <v>284</v>
      </c>
      <c r="C59" s="230"/>
      <c r="D59" s="230"/>
    </row>
    <row r="60" spans="1:4">
      <c r="A60" s="227" t="s">
        <v>445</v>
      </c>
      <c r="B60" s="231" t="s">
        <v>284</v>
      </c>
      <c r="C60" s="230"/>
      <c r="D60" s="230"/>
    </row>
    <row r="61" spans="1:4">
      <c r="A61" s="227" t="s">
        <v>425</v>
      </c>
      <c r="B61" s="231" t="s">
        <v>284</v>
      </c>
      <c r="C61" s="228">
        <v>-17259655.75</v>
      </c>
      <c r="D61" s="228">
        <v>2563206.29</v>
      </c>
    </row>
    <row r="62" spans="1:4">
      <c r="A62" s="227" t="s">
        <v>426</v>
      </c>
      <c r="B62" s="231" t="s">
        <v>284</v>
      </c>
      <c r="C62" s="230"/>
      <c r="D62" s="230"/>
    </row>
    <row r="63" spans="1:4" ht="14.1" customHeight="1">
      <c r="A63" s="227" t="s">
        <v>446</v>
      </c>
      <c r="B63" s="231" t="s">
        <v>284</v>
      </c>
      <c r="C63" s="230"/>
      <c r="D63" s="230"/>
    </row>
    <row r="64" spans="1:4">
      <c r="A64" s="210" t="s">
        <v>427</v>
      </c>
      <c r="B64" s="231" t="s">
        <v>284</v>
      </c>
      <c r="C64" s="228">
        <v>-3064377132.8200002</v>
      </c>
      <c r="D64" s="228">
        <v>-264592524.09</v>
      </c>
    </row>
    <row r="65" spans="1:4">
      <c r="A65" s="227" t="s">
        <v>447</v>
      </c>
      <c r="B65" s="231" t="s">
        <v>284</v>
      </c>
      <c r="C65" s="228">
        <v>-3064288026.5100002</v>
      </c>
      <c r="D65" s="228">
        <v>-264592524.09</v>
      </c>
    </row>
    <row r="66" spans="1:4">
      <c r="A66" s="227" t="s">
        <v>428</v>
      </c>
      <c r="B66" s="231" t="s">
        <v>284</v>
      </c>
      <c r="C66" s="228">
        <v>-89106.31</v>
      </c>
      <c r="D66" s="230"/>
    </row>
    <row r="67" spans="1:4">
      <c r="A67" s="210" t="s">
        <v>429</v>
      </c>
      <c r="B67" s="232" t="s">
        <v>284</v>
      </c>
      <c r="C67" s="230"/>
      <c r="D67" s="230"/>
    </row>
    <row r="68" spans="1:4">
      <c r="A68" s="227" t="s">
        <v>430</v>
      </c>
      <c r="B68" s="231" t="s">
        <v>284</v>
      </c>
      <c r="C68" s="228">
        <v>-4.8906000000000001</v>
      </c>
      <c r="D68" s="228">
        <v>-0.42849999999999999</v>
      </c>
    </row>
    <row r="69" spans="1:4">
      <c r="A69" s="227" t="s">
        <v>431</v>
      </c>
      <c r="B69" s="231" t="s">
        <v>284</v>
      </c>
      <c r="C69" s="228">
        <v>-4.8906000000000001</v>
      </c>
      <c r="D69" s="228">
        <v>-0.42849999999999999</v>
      </c>
    </row>
  </sheetData>
  <mergeCells count="5">
    <mergeCell ref="A43:D43"/>
    <mergeCell ref="A40:D40"/>
    <mergeCell ref="B26:B27"/>
    <mergeCell ref="C26:C27"/>
    <mergeCell ref="D26:D27"/>
  </mergeCells>
  <phoneticPr fontId="3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现金流计划</vt:lpstr>
      <vt:lpstr>资产负债表</vt:lpstr>
      <vt:lpstr>zx16b</vt:lpstr>
      <vt:lpstr>Sheet1</vt:lpstr>
      <vt:lpstr>利润表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investor</cp:lastModifiedBy>
  <cp:lastPrinted>2020-06-03T03:50:00Z</cp:lastPrinted>
  <dcterms:created xsi:type="dcterms:W3CDTF">2020-04-30T08:04:00Z</dcterms:created>
  <dcterms:modified xsi:type="dcterms:W3CDTF">2022-05-03T12:51:02Z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