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lenium/Documents/bb_models/very_new/"/>
    </mc:Choice>
  </mc:AlternateContent>
  <xr:revisionPtr revIDLastSave="0" documentId="13_ncr:1_{79544E27-9A20-0549-A1C5-C90BAE2671F4}" xr6:coauthVersionLast="28" xr6:coauthVersionMax="28" xr10:uidLastSave="{00000000-0000-0000-0000-000000000000}"/>
  <bookViews>
    <workbookView xWindow="37360" yWindow="-1560" windowWidth="26440" windowHeight="15060" xr2:uid="{79CB0C42-E4EC-334C-97F0-C5A929240E96}"/>
  </bookViews>
  <sheets>
    <sheet name="Sheet1" sheetId="1" r:id="rId1"/>
  </sheets>
  <externalReferences>
    <externalReference r:id="rId2"/>
  </externalReferences>
  <definedNames>
    <definedName name="filename_b_59">[1]b593!$A:$A</definedName>
    <definedName name="filename_b_60">[1]b603!$A:$A</definedName>
    <definedName name="hgb_b_59">[1]b593!$AA:$AA</definedName>
    <definedName name="hgb_b_60">[1]b603!$AA:$AA</definedName>
    <definedName name="hgb_b_61">[1]b613!$AA:$AA</definedName>
    <definedName name="lymph_b_59">[1]b593!$AG:$AG</definedName>
    <definedName name="lymph_b_60">[1]b603!$AG:$AG</definedName>
    <definedName name="lymph_b_61">[1]b613!$AG:$AG</definedName>
    <definedName name="mch_b_59">[1]b593!$AE:$AE</definedName>
    <definedName name="mch_b_60">[1]b603!$AE:$AE</definedName>
    <definedName name="mch_b_61">[1]b613!$AE:$AE</definedName>
    <definedName name="mchc_b_59">[1]b593!$AD:$AD</definedName>
    <definedName name="mchc_b_60">[1]b603!$AD:$AD</definedName>
    <definedName name="mchc_b_61">[1]b613!$AD:$AD</definedName>
    <definedName name="mcv_b_59">[1]b593!$AC:$AC</definedName>
    <definedName name="mcv_b_60">[1]b603!$AC:$AC</definedName>
    <definedName name="mcv_b_61">[1]b613!$AC:$AC</definedName>
    <definedName name="mono_b_59">[1]b593!$AH:$AH</definedName>
    <definedName name="mono_b_60">[1]b603!$AH:$AH</definedName>
    <definedName name="mono_b_61">[1]b613!$AH:$AH</definedName>
    <definedName name="name_b_59">[1]b593!$F:$F</definedName>
    <definedName name="name_b_60">[1]b603!$F:$F</definedName>
    <definedName name="name_b_61">[1]b613!$F:$F</definedName>
    <definedName name="platelet_b_59">[1]b593!$Y:$Y</definedName>
    <definedName name="platelet_b_60">[1]b603!$Y:$Y</definedName>
    <definedName name="platelet_b_61">[1]b613!$Y:$Y</definedName>
    <definedName name="protein_refract_b_59">[1]b593!$AQ:$AQ</definedName>
    <definedName name="protein_refract_b_60">[1]b603!$AQ:$AQ</definedName>
    <definedName name="protein_refract_b_61">[1]b613!$AQ:$AQ</definedName>
    <definedName name="rbc_b_59">[1]b593!$AB:$AB</definedName>
    <definedName name="rbc_b_60">[1]b603!$AB:$AB</definedName>
    <definedName name="rbc_b_61">[1]b613!$AB:$AB</definedName>
    <definedName name="rdw_b_59">[1]b593!$AU:$AU</definedName>
    <definedName name="rdw_b_60">[1]b603!$AU:$AU</definedName>
    <definedName name="rdw_b_61">[1]b613!$AU:$AU</definedName>
    <definedName name="segs_b_59">[1]b593!$AF:$AF</definedName>
    <definedName name="segs_b_60">[1]b603!$AF:$AF</definedName>
    <definedName name="segs_b_61">[1]b613!$AF:$AF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85" i="1" l="1"/>
  <c r="Y85" i="1"/>
  <c r="X85" i="1"/>
  <c r="W85" i="1"/>
  <c r="V85" i="1"/>
  <c r="U85" i="1"/>
  <c r="T85" i="1"/>
  <c r="S85" i="1"/>
  <c r="R85" i="1"/>
  <c r="Q85" i="1"/>
  <c r="P85" i="1"/>
  <c r="O85" i="1"/>
  <c r="AH84" i="1"/>
  <c r="Y84" i="1"/>
  <c r="X84" i="1"/>
  <c r="W84" i="1"/>
  <c r="V84" i="1"/>
  <c r="U84" i="1"/>
  <c r="T84" i="1"/>
  <c r="S84" i="1"/>
  <c r="R84" i="1"/>
  <c r="Q84" i="1"/>
  <c r="P84" i="1"/>
  <c r="O84" i="1"/>
  <c r="AH83" i="1"/>
  <c r="Y83" i="1"/>
  <c r="X83" i="1"/>
  <c r="W83" i="1"/>
  <c r="V83" i="1"/>
  <c r="U83" i="1"/>
  <c r="T83" i="1"/>
  <c r="S83" i="1"/>
  <c r="R83" i="1"/>
  <c r="Q83" i="1"/>
  <c r="P83" i="1"/>
  <c r="O83" i="1"/>
  <c r="AH82" i="1"/>
  <c r="Y82" i="1"/>
  <c r="X82" i="1"/>
  <c r="W82" i="1"/>
  <c r="V82" i="1"/>
  <c r="U82" i="1"/>
  <c r="T82" i="1"/>
  <c r="S82" i="1"/>
  <c r="R82" i="1"/>
  <c r="Q82" i="1"/>
  <c r="P82" i="1"/>
  <c r="O82" i="1"/>
  <c r="AH81" i="1"/>
  <c r="Y81" i="1"/>
  <c r="X81" i="1"/>
  <c r="W81" i="1"/>
  <c r="V81" i="1"/>
  <c r="U81" i="1"/>
  <c r="T81" i="1"/>
  <c r="S81" i="1"/>
  <c r="R81" i="1"/>
  <c r="Q81" i="1"/>
  <c r="P81" i="1"/>
  <c r="O81" i="1"/>
  <c r="AH80" i="1"/>
  <c r="Y80" i="1"/>
  <c r="X80" i="1"/>
  <c r="W80" i="1"/>
  <c r="V80" i="1"/>
  <c r="U80" i="1"/>
  <c r="T80" i="1"/>
  <c r="S80" i="1"/>
  <c r="R80" i="1"/>
  <c r="Q80" i="1"/>
  <c r="P80" i="1"/>
  <c r="O80" i="1"/>
  <c r="AH79" i="1"/>
  <c r="Y79" i="1"/>
  <c r="X79" i="1"/>
  <c r="W79" i="1"/>
  <c r="V79" i="1"/>
  <c r="U79" i="1"/>
  <c r="T79" i="1"/>
  <c r="S79" i="1"/>
  <c r="R79" i="1"/>
  <c r="Q79" i="1"/>
  <c r="P79" i="1"/>
  <c r="O79" i="1"/>
  <c r="AH78" i="1"/>
  <c r="Y78" i="1"/>
  <c r="X78" i="1"/>
  <c r="W78" i="1"/>
  <c r="V78" i="1"/>
  <c r="U78" i="1"/>
  <c r="T78" i="1"/>
  <c r="S78" i="1"/>
  <c r="R78" i="1"/>
  <c r="Q78" i="1"/>
  <c r="P78" i="1"/>
  <c r="O78" i="1"/>
  <c r="AH77" i="1"/>
  <c r="Y77" i="1"/>
  <c r="X77" i="1"/>
  <c r="W77" i="1"/>
  <c r="V77" i="1"/>
  <c r="U77" i="1"/>
  <c r="T77" i="1"/>
  <c r="S77" i="1"/>
  <c r="R77" i="1"/>
  <c r="Q77" i="1"/>
  <c r="P77" i="1"/>
  <c r="O77" i="1"/>
  <c r="AH76" i="1"/>
  <c r="Y76" i="1"/>
  <c r="X76" i="1"/>
  <c r="W76" i="1"/>
  <c r="V76" i="1"/>
  <c r="U76" i="1"/>
  <c r="T76" i="1"/>
  <c r="S76" i="1"/>
  <c r="R76" i="1"/>
  <c r="Q76" i="1"/>
  <c r="P76" i="1"/>
  <c r="O76" i="1"/>
  <c r="AH75" i="1"/>
  <c r="Y75" i="1"/>
  <c r="X75" i="1"/>
  <c r="W75" i="1"/>
  <c r="V75" i="1"/>
  <c r="U75" i="1"/>
  <c r="T75" i="1"/>
  <c r="S75" i="1"/>
  <c r="R75" i="1"/>
  <c r="Q75" i="1"/>
  <c r="P75" i="1"/>
  <c r="O75" i="1"/>
  <c r="AH74" i="1"/>
  <c r="Y74" i="1"/>
  <c r="X74" i="1"/>
  <c r="W74" i="1"/>
  <c r="V74" i="1"/>
  <c r="U74" i="1"/>
  <c r="T74" i="1"/>
  <c r="S74" i="1"/>
  <c r="R74" i="1"/>
  <c r="Q74" i="1"/>
  <c r="P74" i="1"/>
  <c r="O74" i="1"/>
  <c r="AH73" i="1"/>
  <c r="Y73" i="1"/>
  <c r="X73" i="1"/>
  <c r="W73" i="1"/>
  <c r="V73" i="1"/>
  <c r="U73" i="1"/>
  <c r="T73" i="1"/>
  <c r="S73" i="1"/>
  <c r="R73" i="1"/>
  <c r="Q73" i="1"/>
  <c r="P73" i="1"/>
  <c r="O73" i="1"/>
  <c r="AH72" i="1"/>
  <c r="Y72" i="1"/>
  <c r="X72" i="1"/>
  <c r="W72" i="1"/>
  <c r="V72" i="1"/>
  <c r="U72" i="1"/>
  <c r="T72" i="1"/>
  <c r="S72" i="1"/>
  <c r="R72" i="1"/>
  <c r="Q72" i="1"/>
  <c r="P72" i="1"/>
  <c r="O72" i="1"/>
  <c r="AH71" i="1"/>
  <c r="Y71" i="1"/>
  <c r="X71" i="1"/>
  <c r="W71" i="1"/>
  <c r="V71" i="1"/>
  <c r="U71" i="1"/>
  <c r="T71" i="1"/>
  <c r="S71" i="1"/>
  <c r="R71" i="1"/>
  <c r="Q71" i="1"/>
  <c r="P71" i="1"/>
  <c r="O71" i="1"/>
  <c r="AH70" i="1"/>
  <c r="Y70" i="1"/>
  <c r="X70" i="1"/>
  <c r="W70" i="1"/>
  <c r="V70" i="1"/>
  <c r="U70" i="1"/>
  <c r="T70" i="1"/>
  <c r="S70" i="1"/>
  <c r="R70" i="1"/>
  <c r="Q70" i="1"/>
  <c r="P70" i="1"/>
  <c r="O70" i="1"/>
  <c r="AH69" i="1"/>
  <c r="Y69" i="1"/>
  <c r="X69" i="1"/>
  <c r="W69" i="1"/>
  <c r="V69" i="1"/>
  <c r="U69" i="1"/>
  <c r="T69" i="1"/>
  <c r="S69" i="1"/>
  <c r="R69" i="1"/>
  <c r="Q69" i="1"/>
  <c r="P69" i="1"/>
  <c r="O69" i="1"/>
  <c r="AH68" i="1"/>
  <c r="Y68" i="1"/>
  <c r="X68" i="1"/>
  <c r="W68" i="1"/>
  <c r="V68" i="1"/>
  <c r="U68" i="1"/>
  <c r="T68" i="1"/>
  <c r="S68" i="1"/>
  <c r="R68" i="1"/>
  <c r="Q68" i="1"/>
  <c r="P68" i="1"/>
  <c r="O68" i="1"/>
  <c r="AH67" i="1"/>
  <c r="Y67" i="1"/>
  <c r="X67" i="1"/>
  <c r="W67" i="1"/>
  <c r="V67" i="1"/>
  <c r="U67" i="1"/>
  <c r="T67" i="1"/>
  <c r="S67" i="1"/>
  <c r="R67" i="1"/>
  <c r="Q67" i="1"/>
  <c r="P67" i="1"/>
  <c r="O67" i="1"/>
  <c r="AH66" i="1"/>
  <c r="Y66" i="1"/>
  <c r="X66" i="1"/>
  <c r="W66" i="1"/>
  <c r="V66" i="1"/>
  <c r="U66" i="1"/>
  <c r="T66" i="1"/>
  <c r="S66" i="1"/>
  <c r="R66" i="1"/>
  <c r="Q66" i="1"/>
  <c r="P66" i="1"/>
  <c r="O66" i="1"/>
  <c r="AH65" i="1"/>
  <c r="Y65" i="1"/>
  <c r="X65" i="1"/>
  <c r="W65" i="1"/>
  <c r="V65" i="1"/>
  <c r="U65" i="1"/>
  <c r="T65" i="1"/>
  <c r="S65" i="1"/>
  <c r="R65" i="1"/>
  <c r="Q65" i="1"/>
  <c r="P65" i="1"/>
  <c r="O65" i="1"/>
  <c r="AH64" i="1"/>
  <c r="Y64" i="1"/>
  <c r="X64" i="1"/>
  <c r="W64" i="1"/>
  <c r="V64" i="1"/>
  <c r="U64" i="1"/>
  <c r="T64" i="1"/>
  <c r="S64" i="1"/>
  <c r="R64" i="1"/>
  <c r="Q64" i="1"/>
  <c r="P64" i="1"/>
  <c r="O64" i="1"/>
  <c r="AH63" i="1"/>
  <c r="Y63" i="1"/>
  <c r="X63" i="1"/>
  <c r="W63" i="1"/>
  <c r="V63" i="1"/>
  <c r="U63" i="1"/>
  <c r="T63" i="1"/>
  <c r="S63" i="1"/>
  <c r="R63" i="1"/>
  <c r="Q63" i="1"/>
  <c r="P63" i="1"/>
  <c r="O63" i="1"/>
  <c r="AH62" i="1"/>
  <c r="Y62" i="1"/>
  <c r="X62" i="1"/>
  <c r="W62" i="1"/>
  <c r="V62" i="1"/>
  <c r="U62" i="1"/>
  <c r="T62" i="1"/>
  <c r="S62" i="1"/>
  <c r="R62" i="1"/>
  <c r="Q62" i="1"/>
  <c r="P62" i="1"/>
  <c r="O62" i="1"/>
  <c r="AH61" i="1"/>
  <c r="Y61" i="1"/>
  <c r="X61" i="1"/>
  <c r="W61" i="1"/>
  <c r="V61" i="1"/>
  <c r="U61" i="1"/>
  <c r="T61" i="1"/>
  <c r="S61" i="1"/>
  <c r="R61" i="1"/>
  <c r="Q61" i="1"/>
  <c r="P61" i="1"/>
  <c r="O61" i="1"/>
  <c r="AH60" i="1"/>
  <c r="Y60" i="1"/>
  <c r="X60" i="1"/>
  <c r="W60" i="1"/>
  <c r="V60" i="1"/>
  <c r="U60" i="1"/>
  <c r="T60" i="1"/>
  <c r="S60" i="1"/>
  <c r="R60" i="1"/>
  <c r="Q60" i="1"/>
  <c r="P60" i="1"/>
  <c r="O60" i="1"/>
  <c r="AH59" i="1"/>
  <c r="Y59" i="1"/>
  <c r="X59" i="1"/>
  <c r="W59" i="1"/>
  <c r="V59" i="1"/>
  <c r="U59" i="1"/>
  <c r="T59" i="1"/>
  <c r="S59" i="1"/>
  <c r="R59" i="1"/>
  <c r="Q59" i="1"/>
  <c r="P59" i="1"/>
  <c r="O59" i="1"/>
  <c r="AH58" i="1"/>
  <c r="Y58" i="1"/>
  <c r="X58" i="1"/>
  <c r="W58" i="1"/>
  <c r="V58" i="1"/>
  <c r="U58" i="1"/>
  <c r="T58" i="1"/>
  <c r="S58" i="1"/>
  <c r="R58" i="1"/>
  <c r="Q58" i="1"/>
  <c r="P58" i="1"/>
  <c r="O58" i="1"/>
  <c r="AH57" i="1"/>
  <c r="Y57" i="1"/>
  <c r="X57" i="1"/>
  <c r="W57" i="1"/>
  <c r="V57" i="1"/>
  <c r="U57" i="1"/>
  <c r="T57" i="1"/>
  <c r="S57" i="1"/>
  <c r="R57" i="1"/>
  <c r="Q57" i="1"/>
  <c r="P57" i="1"/>
  <c r="O57" i="1"/>
  <c r="AH56" i="1"/>
  <c r="Y56" i="1"/>
  <c r="X56" i="1"/>
  <c r="W56" i="1"/>
  <c r="V56" i="1"/>
  <c r="U56" i="1"/>
  <c r="T56" i="1"/>
  <c r="S56" i="1"/>
  <c r="R56" i="1"/>
  <c r="Q56" i="1"/>
  <c r="P56" i="1"/>
  <c r="O56" i="1"/>
  <c r="AH55" i="1"/>
  <c r="Y55" i="1"/>
  <c r="X55" i="1"/>
  <c r="W55" i="1"/>
  <c r="V55" i="1"/>
  <c r="U55" i="1"/>
  <c r="T55" i="1"/>
  <c r="S55" i="1"/>
  <c r="R55" i="1"/>
  <c r="Q55" i="1"/>
  <c r="P55" i="1"/>
  <c r="O55" i="1"/>
  <c r="AH54" i="1"/>
  <c r="Y54" i="1"/>
  <c r="X54" i="1"/>
  <c r="W54" i="1"/>
  <c r="V54" i="1"/>
  <c r="U54" i="1"/>
  <c r="T54" i="1"/>
  <c r="S54" i="1"/>
  <c r="R54" i="1"/>
  <c r="Q54" i="1"/>
  <c r="P54" i="1"/>
  <c r="O54" i="1"/>
  <c r="AH53" i="1"/>
  <c r="Y53" i="1"/>
  <c r="X53" i="1"/>
  <c r="W53" i="1"/>
  <c r="V53" i="1"/>
  <c r="U53" i="1"/>
  <c r="T53" i="1"/>
  <c r="S53" i="1"/>
  <c r="R53" i="1"/>
  <c r="Q53" i="1"/>
  <c r="P53" i="1"/>
  <c r="O53" i="1"/>
  <c r="AH52" i="1"/>
  <c r="Y52" i="1"/>
  <c r="X52" i="1"/>
  <c r="W52" i="1"/>
  <c r="V52" i="1"/>
  <c r="U52" i="1"/>
  <c r="T52" i="1"/>
  <c r="S52" i="1"/>
  <c r="R52" i="1"/>
  <c r="Q52" i="1"/>
  <c r="P52" i="1"/>
  <c r="O52" i="1"/>
  <c r="AH51" i="1"/>
  <c r="Y51" i="1"/>
  <c r="X51" i="1"/>
  <c r="W51" i="1"/>
  <c r="V51" i="1"/>
  <c r="U51" i="1"/>
  <c r="T51" i="1"/>
  <c r="S51" i="1"/>
  <c r="R51" i="1"/>
  <c r="Q51" i="1"/>
  <c r="P51" i="1"/>
  <c r="O51" i="1"/>
  <c r="AH50" i="1"/>
  <c r="Y50" i="1"/>
  <c r="X50" i="1"/>
  <c r="W50" i="1"/>
  <c r="V50" i="1"/>
  <c r="U50" i="1"/>
  <c r="T50" i="1"/>
  <c r="S50" i="1"/>
  <c r="R50" i="1"/>
  <c r="Q50" i="1"/>
  <c r="P50" i="1"/>
  <c r="O50" i="1"/>
  <c r="AH49" i="1"/>
  <c r="Y49" i="1"/>
  <c r="X49" i="1"/>
  <c r="W49" i="1"/>
  <c r="V49" i="1"/>
  <c r="U49" i="1"/>
  <c r="T49" i="1"/>
  <c r="S49" i="1"/>
  <c r="R49" i="1"/>
  <c r="Q49" i="1"/>
  <c r="P49" i="1"/>
  <c r="O49" i="1"/>
  <c r="AH48" i="1"/>
  <c r="Y48" i="1"/>
  <c r="X48" i="1"/>
  <c r="W48" i="1"/>
  <c r="V48" i="1"/>
  <c r="U48" i="1"/>
  <c r="T48" i="1"/>
  <c r="S48" i="1"/>
  <c r="R48" i="1"/>
  <c r="Q48" i="1"/>
  <c r="P48" i="1"/>
  <c r="O48" i="1"/>
  <c r="AH47" i="1"/>
  <c r="Y47" i="1"/>
  <c r="X47" i="1"/>
  <c r="W47" i="1"/>
  <c r="V47" i="1"/>
  <c r="U47" i="1"/>
  <c r="T47" i="1"/>
  <c r="S47" i="1"/>
  <c r="R47" i="1"/>
  <c r="Q47" i="1"/>
  <c r="P47" i="1"/>
  <c r="O47" i="1"/>
  <c r="AH46" i="1"/>
  <c r="Y46" i="1"/>
  <c r="X46" i="1"/>
  <c r="W46" i="1"/>
  <c r="V46" i="1"/>
  <c r="U46" i="1"/>
  <c r="T46" i="1"/>
  <c r="S46" i="1"/>
  <c r="R46" i="1"/>
  <c r="Q46" i="1"/>
  <c r="P46" i="1"/>
  <c r="O46" i="1"/>
  <c r="AH45" i="1"/>
  <c r="Y45" i="1"/>
  <c r="X45" i="1"/>
  <c r="W45" i="1"/>
  <c r="V45" i="1"/>
  <c r="U45" i="1"/>
  <c r="T45" i="1"/>
  <c r="S45" i="1"/>
  <c r="R45" i="1"/>
  <c r="Q45" i="1"/>
  <c r="P45" i="1"/>
  <c r="O45" i="1"/>
  <c r="AH44" i="1"/>
  <c r="Y44" i="1"/>
  <c r="X44" i="1"/>
  <c r="W44" i="1"/>
  <c r="V44" i="1"/>
  <c r="U44" i="1"/>
  <c r="T44" i="1"/>
  <c r="S44" i="1"/>
  <c r="R44" i="1"/>
  <c r="Q44" i="1"/>
  <c r="P44" i="1"/>
  <c r="O44" i="1"/>
  <c r="AH43" i="1"/>
  <c r="Y43" i="1"/>
  <c r="X43" i="1"/>
  <c r="W43" i="1"/>
  <c r="V43" i="1"/>
  <c r="U43" i="1"/>
  <c r="T43" i="1"/>
  <c r="S43" i="1"/>
  <c r="R43" i="1"/>
  <c r="Q43" i="1"/>
  <c r="P43" i="1"/>
  <c r="O43" i="1"/>
  <c r="AH42" i="1"/>
  <c r="Y42" i="1"/>
  <c r="X42" i="1"/>
  <c r="W42" i="1"/>
  <c r="V42" i="1"/>
  <c r="U42" i="1"/>
  <c r="T42" i="1"/>
  <c r="S42" i="1"/>
  <c r="R42" i="1"/>
  <c r="Q42" i="1"/>
  <c r="P42" i="1"/>
  <c r="O42" i="1"/>
  <c r="AH41" i="1"/>
  <c r="Y41" i="1"/>
  <c r="X41" i="1"/>
  <c r="W41" i="1"/>
  <c r="V41" i="1"/>
  <c r="U41" i="1"/>
  <c r="T41" i="1"/>
  <c r="S41" i="1"/>
  <c r="R41" i="1"/>
  <c r="Q41" i="1"/>
  <c r="P41" i="1"/>
  <c r="O41" i="1"/>
  <c r="AH40" i="1"/>
  <c r="Y40" i="1"/>
  <c r="X40" i="1"/>
  <c r="W40" i="1"/>
  <c r="V40" i="1"/>
  <c r="U40" i="1"/>
  <c r="T40" i="1"/>
  <c r="S40" i="1"/>
  <c r="R40" i="1"/>
  <c r="Q40" i="1"/>
  <c r="P40" i="1"/>
  <c r="O40" i="1"/>
  <c r="AH39" i="1"/>
  <c r="Y39" i="1"/>
  <c r="X39" i="1"/>
  <c r="W39" i="1"/>
  <c r="V39" i="1"/>
  <c r="U39" i="1"/>
  <c r="T39" i="1"/>
  <c r="S39" i="1"/>
  <c r="R39" i="1"/>
  <c r="Q39" i="1"/>
  <c r="P39" i="1"/>
  <c r="O39" i="1"/>
  <c r="AH38" i="1"/>
  <c r="Y38" i="1"/>
  <c r="X38" i="1"/>
  <c r="W38" i="1"/>
  <c r="V38" i="1"/>
  <c r="U38" i="1"/>
  <c r="T38" i="1"/>
  <c r="S38" i="1"/>
  <c r="R38" i="1"/>
  <c r="Q38" i="1"/>
  <c r="P38" i="1"/>
  <c r="O38" i="1"/>
  <c r="AH37" i="1"/>
  <c r="Y37" i="1"/>
  <c r="X37" i="1"/>
  <c r="W37" i="1"/>
  <c r="V37" i="1"/>
  <c r="U37" i="1"/>
  <c r="T37" i="1"/>
  <c r="S37" i="1"/>
  <c r="R37" i="1"/>
  <c r="Q37" i="1"/>
  <c r="P37" i="1"/>
  <c r="O37" i="1"/>
  <c r="AH36" i="1"/>
  <c r="Y36" i="1"/>
  <c r="X36" i="1"/>
  <c r="W36" i="1"/>
  <c r="V36" i="1"/>
  <c r="U36" i="1"/>
  <c r="T36" i="1"/>
  <c r="S36" i="1"/>
  <c r="R36" i="1"/>
  <c r="Q36" i="1"/>
  <c r="P36" i="1"/>
  <c r="O36" i="1"/>
  <c r="AH35" i="1"/>
  <c r="Y35" i="1"/>
  <c r="X35" i="1"/>
  <c r="W35" i="1"/>
  <c r="V35" i="1"/>
  <c r="U35" i="1"/>
  <c r="T35" i="1"/>
  <c r="S35" i="1"/>
  <c r="R35" i="1"/>
  <c r="Q35" i="1"/>
  <c r="P35" i="1"/>
  <c r="O35" i="1"/>
  <c r="AH34" i="1"/>
  <c r="Y34" i="1"/>
  <c r="X34" i="1"/>
  <c r="W34" i="1"/>
  <c r="V34" i="1"/>
  <c r="U34" i="1"/>
  <c r="T34" i="1"/>
  <c r="S34" i="1"/>
  <c r="R34" i="1"/>
  <c r="Q34" i="1"/>
  <c r="P34" i="1"/>
  <c r="O34" i="1"/>
  <c r="AH33" i="1"/>
  <c r="Y33" i="1"/>
  <c r="X33" i="1"/>
  <c r="W33" i="1"/>
  <c r="V33" i="1"/>
  <c r="U33" i="1"/>
  <c r="T33" i="1"/>
  <c r="S33" i="1"/>
  <c r="R33" i="1"/>
  <c r="Q33" i="1"/>
  <c r="P33" i="1"/>
  <c r="O33" i="1"/>
  <c r="AH32" i="1"/>
  <c r="Y32" i="1"/>
  <c r="X32" i="1"/>
  <c r="W32" i="1"/>
  <c r="V32" i="1"/>
  <c r="U32" i="1"/>
  <c r="T32" i="1"/>
  <c r="S32" i="1"/>
  <c r="R32" i="1"/>
  <c r="Q32" i="1"/>
  <c r="P32" i="1"/>
  <c r="O32" i="1"/>
  <c r="AH31" i="1"/>
  <c r="Y31" i="1"/>
  <c r="X31" i="1"/>
  <c r="W31" i="1"/>
  <c r="V31" i="1"/>
  <c r="U31" i="1"/>
  <c r="T31" i="1"/>
  <c r="S31" i="1"/>
  <c r="R31" i="1"/>
  <c r="Q31" i="1"/>
  <c r="P31" i="1"/>
  <c r="O31" i="1"/>
  <c r="AH30" i="1"/>
  <c r="Y30" i="1"/>
  <c r="X30" i="1"/>
  <c r="W30" i="1"/>
  <c r="V30" i="1"/>
  <c r="U30" i="1"/>
  <c r="T30" i="1"/>
  <c r="S30" i="1"/>
  <c r="R30" i="1"/>
  <c r="Q30" i="1"/>
  <c r="P30" i="1"/>
  <c r="O30" i="1"/>
  <c r="AH29" i="1"/>
  <c r="Y29" i="1"/>
  <c r="X29" i="1"/>
  <c r="W29" i="1"/>
  <c r="V29" i="1"/>
  <c r="U29" i="1"/>
  <c r="T29" i="1"/>
  <c r="S29" i="1"/>
  <c r="R29" i="1"/>
  <c r="Q29" i="1"/>
  <c r="P29" i="1"/>
  <c r="O29" i="1"/>
  <c r="AH28" i="1"/>
  <c r="Y28" i="1"/>
  <c r="X28" i="1"/>
  <c r="W28" i="1"/>
  <c r="V28" i="1"/>
  <c r="U28" i="1"/>
  <c r="T28" i="1"/>
  <c r="S28" i="1"/>
  <c r="R28" i="1"/>
  <c r="Q28" i="1"/>
  <c r="P28" i="1"/>
  <c r="O28" i="1"/>
  <c r="AH27" i="1"/>
  <c r="Y27" i="1"/>
  <c r="X27" i="1"/>
  <c r="W27" i="1"/>
  <c r="V27" i="1"/>
  <c r="U27" i="1"/>
  <c r="T27" i="1"/>
  <c r="S27" i="1"/>
  <c r="R27" i="1"/>
  <c r="Q27" i="1"/>
  <c r="P27" i="1"/>
  <c r="O27" i="1"/>
  <c r="AH26" i="1"/>
  <c r="Y26" i="1"/>
  <c r="X26" i="1"/>
  <c r="W26" i="1"/>
  <c r="V26" i="1"/>
  <c r="U26" i="1"/>
  <c r="T26" i="1"/>
  <c r="S26" i="1"/>
  <c r="R26" i="1"/>
  <c r="Q26" i="1"/>
  <c r="P26" i="1"/>
  <c r="O26" i="1"/>
  <c r="AH25" i="1"/>
  <c r="Y25" i="1"/>
  <c r="X25" i="1"/>
  <c r="W25" i="1"/>
  <c r="V25" i="1"/>
  <c r="U25" i="1"/>
  <c r="T25" i="1"/>
  <c r="S25" i="1"/>
  <c r="R25" i="1"/>
  <c r="Q25" i="1"/>
  <c r="P25" i="1"/>
  <c r="O25" i="1"/>
  <c r="AH24" i="1"/>
  <c r="Y24" i="1"/>
  <c r="X24" i="1"/>
  <c r="W24" i="1"/>
  <c r="V24" i="1"/>
  <c r="U24" i="1"/>
  <c r="T24" i="1"/>
  <c r="S24" i="1"/>
  <c r="R24" i="1"/>
  <c r="Q24" i="1"/>
  <c r="P24" i="1"/>
  <c r="O24" i="1"/>
  <c r="AH23" i="1"/>
  <c r="Y23" i="1"/>
  <c r="X23" i="1"/>
  <c r="W23" i="1"/>
  <c r="V23" i="1"/>
  <c r="U23" i="1"/>
  <c r="T23" i="1"/>
  <c r="S23" i="1"/>
  <c r="R23" i="1"/>
  <c r="Q23" i="1"/>
  <c r="P23" i="1"/>
  <c r="O23" i="1"/>
  <c r="AH22" i="1"/>
  <c r="Y22" i="1"/>
  <c r="X22" i="1"/>
  <c r="W22" i="1"/>
  <c r="V22" i="1"/>
  <c r="U22" i="1"/>
  <c r="T22" i="1"/>
  <c r="S22" i="1"/>
  <c r="R22" i="1"/>
  <c r="Q22" i="1"/>
  <c r="P22" i="1"/>
  <c r="O22" i="1"/>
  <c r="AH21" i="1"/>
  <c r="Y21" i="1"/>
  <c r="X21" i="1"/>
  <c r="W21" i="1"/>
  <c r="V21" i="1"/>
  <c r="U21" i="1"/>
  <c r="T21" i="1"/>
  <c r="S21" i="1"/>
  <c r="R21" i="1"/>
  <c r="Q21" i="1"/>
  <c r="P21" i="1"/>
  <c r="O21" i="1"/>
  <c r="AH20" i="1"/>
  <c r="Y20" i="1"/>
  <c r="X20" i="1"/>
  <c r="W20" i="1"/>
  <c r="V20" i="1"/>
  <c r="U20" i="1"/>
  <c r="T20" i="1"/>
  <c r="S20" i="1"/>
  <c r="R20" i="1"/>
  <c r="Q20" i="1"/>
  <c r="P20" i="1"/>
  <c r="O20" i="1"/>
  <c r="AH19" i="1"/>
  <c r="Y19" i="1"/>
  <c r="X19" i="1"/>
  <c r="W19" i="1"/>
  <c r="V19" i="1"/>
  <c r="U19" i="1"/>
  <c r="T19" i="1"/>
  <c r="S19" i="1"/>
  <c r="R19" i="1"/>
  <c r="Q19" i="1"/>
  <c r="P19" i="1"/>
  <c r="O19" i="1"/>
  <c r="AH18" i="1"/>
  <c r="Y18" i="1"/>
  <c r="X18" i="1"/>
  <c r="W18" i="1"/>
  <c r="V18" i="1"/>
  <c r="U18" i="1"/>
  <c r="T18" i="1"/>
  <c r="S18" i="1"/>
  <c r="R18" i="1"/>
  <c r="Q18" i="1"/>
  <c r="P18" i="1"/>
  <c r="O18" i="1"/>
  <c r="AH17" i="1"/>
  <c r="Y17" i="1"/>
  <c r="X17" i="1"/>
  <c r="W17" i="1"/>
  <c r="V17" i="1"/>
  <c r="U17" i="1"/>
  <c r="T17" i="1"/>
  <c r="S17" i="1"/>
  <c r="R17" i="1"/>
  <c r="Q17" i="1"/>
  <c r="P17" i="1"/>
  <c r="O17" i="1"/>
  <c r="AH16" i="1"/>
  <c r="Y16" i="1"/>
  <c r="X16" i="1"/>
  <c r="W16" i="1"/>
  <c r="V16" i="1"/>
  <c r="U16" i="1"/>
  <c r="T16" i="1"/>
  <c r="S16" i="1"/>
  <c r="R16" i="1"/>
  <c r="Q16" i="1"/>
  <c r="P16" i="1"/>
  <c r="O16" i="1"/>
  <c r="AH15" i="1"/>
  <c r="Y15" i="1"/>
  <c r="X15" i="1"/>
  <c r="W15" i="1"/>
  <c r="V15" i="1"/>
  <c r="U15" i="1"/>
  <c r="T15" i="1"/>
  <c r="S15" i="1"/>
  <c r="R15" i="1"/>
  <c r="Q15" i="1"/>
  <c r="P15" i="1"/>
  <c r="O15" i="1"/>
  <c r="AH14" i="1"/>
  <c r="Y14" i="1"/>
  <c r="X14" i="1"/>
  <c r="W14" i="1"/>
  <c r="V14" i="1"/>
  <c r="U14" i="1"/>
  <c r="T14" i="1"/>
  <c r="S14" i="1"/>
  <c r="R14" i="1"/>
  <c r="Q14" i="1"/>
  <c r="P14" i="1"/>
  <c r="O14" i="1"/>
  <c r="AH13" i="1"/>
  <c r="Y13" i="1"/>
  <c r="X13" i="1"/>
  <c r="W13" i="1"/>
  <c r="V13" i="1"/>
  <c r="U13" i="1"/>
  <c r="T13" i="1"/>
  <c r="S13" i="1"/>
  <c r="R13" i="1"/>
  <c r="Q13" i="1"/>
  <c r="P13" i="1"/>
  <c r="O13" i="1"/>
  <c r="AH12" i="1"/>
  <c r="Y12" i="1"/>
  <c r="X12" i="1"/>
  <c r="W12" i="1"/>
  <c r="V12" i="1"/>
  <c r="U12" i="1"/>
  <c r="T12" i="1"/>
  <c r="S12" i="1"/>
  <c r="R12" i="1"/>
  <c r="Q12" i="1"/>
  <c r="P12" i="1"/>
  <c r="O12" i="1"/>
  <c r="AH11" i="1"/>
  <c r="Y11" i="1"/>
  <c r="X11" i="1"/>
  <c r="W11" i="1"/>
  <c r="V11" i="1"/>
  <c r="U11" i="1"/>
  <c r="T11" i="1"/>
  <c r="S11" i="1"/>
  <c r="R11" i="1"/>
  <c r="Q11" i="1"/>
  <c r="P11" i="1"/>
  <c r="O11" i="1"/>
  <c r="AH10" i="1"/>
  <c r="Y10" i="1"/>
  <c r="X10" i="1"/>
  <c r="W10" i="1"/>
  <c r="V10" i="1"/>
  <c r="U10" i="1"/>
  <c r="T10" i="1"/>
  <c r="S10" i="1"/>
  <c r="R10" i="1"/>
  <c r="Q10" i="1"/>
  <c r="P10" i="1"/>
  <c r="O10" i="1"/>
  <c r="AH9" i="1"/>
  <c r="Y9" i="1"/>
  <c r="X9" i="1"/>
  <c r="W9" i="1"/>
  <c r="V9" i="1"/>
  <c r="U9" i="1"/>
  <c r="T9" i="1"/>
  <c r="S9" i="1"/>
  <c r="R9" i="1"/>
  <c r="Q9" i="1"/>
  <c r="P9" i="1"/>
  <c r="O9" i="1"/>
  <c r="AH8" i="1"/>
  <c r="Y8" i="1"/>
  <c r="X8" i="1"/>
  <c r="W8" i="1"/>
  <c r="V8" i="1"/>
  <c r="U8" i="1"/>
  <c r="T8" i="1"/>
  <c r="S8" i="1"/>
  <c r="R8" i="1"/>
  <c r="Q8" i="1"/>
  <c r="P8" i="1"/>
  <c r="O8" i="1"/>
  <c r="AH7" i="1"/>
  <c r="Y7" i="1"/>
  <c r="X7" i="1"/>
  <c r="W7" i="1"/>
  <c r="V7" i="1"/>
  <c r="U7" i="1"/>
  <c r="T7" i="1"/>
  <c r="S7" i="1"/>
  <c r="R7" i="1"/>
  <c r="Q7" i="1"/>
  <c r="P7" i="1"/>
  <c r="O7" i="1"/>
  <c r="AH6" i="1"/>
  <c r="Y6" i="1"/>
  <c r="X6" i="1"/>
  <c r="W6" i="1"/>
  <c r="V6" i="1"/>
  <c r="U6" i="1"/>
  <c r="T6" i="1"/>
  <c r="S6" i="1"/>
  <c r="R6" i="1"/>
  <c r="Q6" i="1"/>
  <c r="P6" i="1"/>
  <c r="O6" i="1"/>
  <c r="AH5" i="1"/>
  <c r="Y5" i="1"/>
  <c r="X5" i="1"/>
  <c r="W5" i="1"/>
  <c r="V5" i="1"/>
  <c r="U5" i="1"/>
  <c r="T5" i="1"/>
  <c r="S5" i="1"/>
  <c r="R5" i="1"/>
  <c r="Q5" i="1"/>
  <c r="P5" i="1"/>
  <c r="O5" i="1"/>
  <c r="AH4" i="1"/>
  <c r="Y4" i="1"/>
  <c r="X4" i="1"/>
  <c r="W4" i="1"/>
  <c r="V4" i="1"/>
  <c r="U4" i="1"/>
  <c r="T4" i="1"/>
  <c r="S4" i="1"/>
  <c r="R4" i="1"/>
  <c r="Q4" i="1"/>
  <c r="P4" i="1"/>
  <c r="O4" i="1"/>
  <c r="AH3" i="1"/>
  <c r="Y3" i="1"/>
  <c r="X3" i="1"/>
  <c r="W3" i="1"/>
  <c r="V3" i="1"/>
  <c r="U3" i="1"/>
  <c r="T3" i="1"/>
  <c r="S3" i="1"/>
  <c r="R3" i="1"/>
  <c r="Q3" i="1"/>
  <c r="P3" i="1"/>
  <c r="O3" i="1"/>
  <c r="AH2" i="1"/>
  <c r="Y2" i="1"/>
  <c r="X2" i="1"/>
  <c r="W2" i="1"/>
  <c r="V2" i="1"/>
  <c r="U2" i="1"/>
  <c r="T2" i="1"/>
  <c r="S2" i="1"/>
  <c r="R2" i="1"/>
  <c r="Q2" i="1"/>
  <c r="P2" i="1"/>
  <c r="O2" i="1"/>
</calcChain>
</file>

<file path=xl/sharedStrings.xml><?xml version="1.0" encoding="utf-8"?>
<sst xmlns="http://schemas.openxmlformats.org/spreadsheetml/2006/main" count="819" uniqueCount="399">
  <si>
    <t>ลำดับ</t>
  </si>
  <si>
    <t>วันที่รับเลือด</t>
  </si>
  <si>
    <t>เวชระเบียน
ตัวรับ</t>
  </si>
  <si>
    <t>ชื่อ
ตัวรับ</t>
  </si>
  <si>
    <t>เพศ
ตัวรับ</t>
  </si>
  <si>
    <t>อายุ
ตัวรับ</t>
  </si>
  <si>
    <t>สายพันธุ์
ตัวรับ</t>
  </si>
  <si>
    <t>น้ำหนัก
ตัวรับ</t>
  </si>
  <si>
    <t>PCV
ตัวรับ</t>
  </si>
  <si>
    <t>WBC
ตัวรับ</t>
  </si>
  <si>
    <t>PLT
ตัวรับ</t>
  </si>
  <si>
    <t>Creatinine
ตัวรับ</t>
  </si>
  <si>
    <t>ALT
ตัวรับ</t>
  </si>
  <si>
    <t>Snap4Dx
ตัวรับ</t>
  </si>
  <si>
    <t>PLATELETS</t>
  </si>
  <si>
    <t>HGB</t>
  </si>
  <si>
    <t>RBC</t>
  </si>
  <si>
    <t>MCV</t>
  </si>
  <si>
    <t>MCHC</t>
  </si>
  <si>
    <t>MCH</t>
  </si>
  <si>
    <t>SEGS</t>
  </si>
  <si>
    <t>LYMPH</t>
  </si>
  <si>
    <t>MONO</t>
  </si>
  <si>
    <t>PROTEIN (REFRACT)</t>
  </si>
  <si>
    <t>RDW</t>
  </si>
  <si>
    <t>หมายเหตุ
(ก่อนให้)</t>
  </si>
  <si>
    <t>ชื่อ file
(ก่อนให้)</t>
  </si>
  <si>
    <t>ผล
Crossmatch</t>
  </si>
  <si>
    <t>ชื่อ
donor</t>
  </si>
  <si>
    <t>PCV
donor</t>
  </si>
  <si>
    <t>product</t>
  </si>
  <si>
    <t>ปริมาตร (ml)</t>
  </si>
  <si>
    <t>หมายเหตุ
(จาก file ผู้บริจาค)</t>
  </si>
  <si>
    <t>PCV
เป้าหมาย</t>
  </si>
  <si>
    <t>ผลสำเร็จ</t>
  </si>
  <si>
    <t>PCV
หลังให้เลือด</t>
  </si>
  <si>
    <t>WBC
หลังให้เลือด</t>
  </si>
  <si>
    <t>หมายเหตุ
(หลังให้)</t>
  </si>
  <si>
    <t>ชื่อ file
(หลังให้)</t>
  </si>
  <si>
    <t>หมี</t>
  </si>
  <si>
    <t>M</t>
  </si>
  <si>
    <t>CROSSBREED</t>
  </si>
  <si>
    <t>PCV 11</t>
  </si>
  <si>
    <t>_b59\1.txt</t>
  </si>
  <si>
    <t>ผ่าน</t>
  </si>
  <si>
    <t>ฝ้าย</t>
  </si>
  <si>
    <t>SWB</t>
  </si>
  <si>
    <t>PCV 24</t>
  </si>
  <si>
    <t>_a59\1.txt</t>
  </si>
  <si>
    <t>โอยั้ว</t>
  </si>
  <si>
    <t>F</t>
  </si>
  <si>
    <t>_b59\4.txt</t>
  </si>
  <si>
    <t>pcv 14</t>
  </si>
  <si>
    <t>_a59\4.txt</t>
  </si>
  <si>
    <t>Filou</t>
  </si>
  <si>
    <t>SHIH TZU</t>
  </si>
  <si>
    <t>_b59\5.txt</t>
  </si>
  <si>
    <t>ลีวาย</t>
  </si>
  <si>
    <t>PRC</t>
  </si>
  <si>
    <t>IMHA</t>
  </si>
  <si>
    <t>_a59\5.txt</t>
  </si>
  <si>
    <t>หมีด่าง</t>
  </si>
  <si>
    <t>_b59\6.txt</t>
  </si>
  <si>
    <t>กุ๊กกู๋</t>
  </si>
  <si>
    <t>_a59\6.txt</t>
  </si>
  <si>
    <t>ยูโร่</t>
  </si>
  <si>
    <t>POMERANIAN</t>
  </si>
  <si>
    <t>b59\11.txt</t>
  </si>
  <si>
    <t>ลูกชิด</t>
  </si>
  <si>
    <t>-</t>
  </si>
  <si>
    <t>การเก็บเลือดผิดพลาด</t>
  </si>
  <si>
    <t>a59\11.txt</t>
  </si>
  <si>
    <t>แดงน้อย</t>
  </si>
  <si>
    <t>_b59\7.txt</t>
  </si>
  <si>
    <t>ออย</t>
  </si>
  <si>
    <t>FWB</t>
  </si>
  <si>
    <t>_a59\7.txt</t>
  </si>
  <si>
    <t>หมูหยอง</t>
  </si>
  <si>
    <t>SIBERIAN HUSKY</t>
  </si>
  <si>
    <t>_b59\8.txt</t>
  </si>
  <si>
    <t>ก้านยาว</t>
  </si>
  <si>
    <t>_a59\8.txt</t>
  </si>
  <si>
    <t>ซันเดย์</t>
  </si>
  <si>
    <t>ใหญ่</t>
  </si>
  <si>
    <t>เฟอร์บี้</t>
  </si>
  <si>
    <t>PUG</t>
  </si>
  <si>
    <t>b59\10.txt</t>
  </si>
  <si>
    <t>a59\10.txt</t>
  </si>
  <si>
    <t>จีน่า</t>
  </si>
  <si>
    <t>THAI BANGKAEW</t>
  </si>
  <si>
    <t>_b59\9.txt</t>
  </si>
  <si>
    <t>บุญเลิศ</t>
  </si>
  <si>
    <t>_a59\9.txt</t>
  </si>
  <si>
    <t>ไข่เจียว</t>
  </si>
  <si>
    <t>b59\12.txt</t>
  </si>
  <si>
    <t>a59\12.txt</t>
  </si>
  <si>
    <t>ทองหยอด</t>
  </si>
  <si>
    <t>GOLDEN RETRIEVER</t>
  </si>
  <si>
    <t>ลูกตาล</t>
  </si>
  <si>
    <t>แฟรงค์</t>
  </si>
  <si>
    <t>b59\14.txt</t>
  </si>
  <si>
    <t>ส้มจี๊ด</t>
  </si>
  <si>
    <t>PCV 17</t>
  </si>
  <si>
    <t>a59\14.txt</t>
  </si>
  <si>
    <t>กิ๊ง</t>
  </si>
  <si>
    <t>b59\16.txt</t>
  </si>
  <si>
    <t>ขนุน</t>
  </si>
  <si>
    <t>PCV 23</t>
  </si>
  <si>
    <t>a59\16.txt</t>
  </si>
  <si>
    <t>เงินล้าน</t>
  </si>
  <si>
    <t>b59\19.txt</t>
  </si>
  <si>
    <t>a59\19.txt</t>
  </si>
  <si>
    <t>น้ำตาล</t>
  </si>
  <si>
    <t>b59\17.txt</t>
  </si>
  <si>
    <t>a59\17.txt</t>
  </si>
  <si>
    <t>ปังคุง</t>
  </si>
  <si>
    <t>POODLE</t>
  </si>
  <si>
    <t>มะยม</t>
  </si>
  <si>
    <t>โอเว่น</t>
  </si>
  <si>
    <t>PCV 9</t>
  </si>
  <si>
    <t>b59\23.txt</t>
  </si>
  <si>
    <t>ลูซี่</t>
  </si>
  <si>
    <t>PCV 14</t>
  </si>
  <si>
    <t>a59\23.txt</t>
  </si>
  <si>
    <t>แฟร้งค์</t>
  </si>
  <si>
    <t>PCV 7</t>
  </si>
  <si>
    <t>b59\22.txt</t>
  </si>
  <si>
    <t>เล็ก</t>
  </si>
  <si>
    <t>pcv 18</t>
  </si>
  <si>
    <t>a59\22.txt</t>
  </si>
  <si>
    <t>b59\24.txt</t>
  </si>
  <si>
    <t>PCV 19</t>
  </si>
  <si>
    <t>a59\24.txt</t>
  </si>
  <si>
    <t>แบล็ค</t>
  </si>
  <si>
    <t>PCV 10</t>
  </si>
  <si>
    <t>b59\27.txt</t>
  </si>
  <si>
    <t>a59\27.txt</t>
  </si>
  <si>
    <t>บูบู้</t>
  </si>
  <si>
    <t>pcv 9</t>
  </si>
  <si>
    <t>b59\26.txt</t>
  </si>
  <si>
    <t>pcv 17</t>
  </si>
  <si>
    <t>a59\26.txt</t>
  </si>
  <si>
    <t>เหมียว</t>
  </si>
  <si>
    <t>PCV 20 clumping</t>
  </si>
  <si>
    <t>b59\28.txt</t>
  </si>
  <si>
    <t>PCV 28</t>
  </si>
  <si>
    <t>a59\28.txt</t>
  </si>
  <si>
    <t>แจ๋น</t>
  </si>
  <si>
    <t>pcv 13</t>
  </si>
  <si>
    <t>b59\25.txt</t>
  </si>
  <si>
    <t>pcv 20</t>
  </si>
  <si>
    <t>a59\25.txt</t>
  </si>
  <si>
    <t>ปุ๊กกี้</t>
  </si>
  <si>
    <t>pcv 15</t>
  </si>
  <si>
    <t>b59\46.txt</t>
  </si>
  <si>
    <t>a59\46.txt</t>
  </si>
  <si>
    <t>ลาโม</t>
  </si>
  <si>
    <t>pcv 5</t>
  </si>
  <si>
    <t>กีต้า</t>
  </si>
  <si>
    <t>b59\29.txt</t>
  </si>
  <si>
    <t>เซเว่น</t>
  </si>
  <si>
    <t>a59\29.txt</t>
  </si>
  <si>
    <t>เทา</t>
  </si>
  <si>
    <t>pcv  16</t>
  </si>
  <si>
    <t>b59\34.txt</t>
  </si>
  <si>
    <t>pcv =16</t>
  </si>
  <si>
    <t>a59\34.txt</t>
  </si>
  <si>
    <t>ปีเตอร์</t>
  </si>
  <si>
    <t>ALASKAN MALAMUTE</t>
  </si>
  <si>
    <t>PCV 12</t>
  </si>
  <si>
    <t>b59\35.txt</t>
  </si>
  <si>
    <t>มอมแดง</t>
  </si>
  <si>
    <t>R1=PCV 11  R2 =PCV 12                                R1=PP 6.8 R2=PP 7.0</t>
  </si>
  <si>
    <t>a59\35.txt</t>
  </si>
  <si>
    <t>คุ๊กกี้</t>
  </si>
  <si>
    <t>PCV 29</t>
  </si>
  <si>
    <t>b59\32.txt</t>
  </si>
  <si>
    <t>PCV 34</t>
  </si>
  <si>
    <t>a59\32.txt</t>
  </si>
  <si>
    <t>Yana</t>
  </si>
  <si>
    <t>b59\37.txt</t>
  </si>
  <si>
    <t>ถั่วดำ</t>
  </si>
  <si>
    <t>a59\37.txt</t>
  </si>
  <si>
    <t>ถุงทอง</t>
  </si>
  <si>
    <t>b59\39.txt</t>
  </si>
  <si>
    <t>กะปิ</t>
  </si>
  <si>
    <t>pcv 21</t>
  </si>
  <si>
    <t>a59\39.txt</t>
  </si>
  <si>
    <t>บ๊อบ</t>
  </si>
  <si>
    <t>pcv 7</t>
  </si>
  <si>
    <t>b59\41.txt</t>
  </si>
  <si>
    <t>ลิป</t>
  </si>
  <si>
    <t>pcv  26</t>
  </si>
  <si>
    <t>a59\41.txt</t>
  </si>
  <si>
    <t>Luck</t>
  </si>
  <si>
    <t>pcv  14</t>
  </si>
  <si>
    <t>b59\40.txt</t>
  </si>
  <si>
    <t>PCV 18,RPI index 0.45</t>
  </si>
  <si>
    <t>a59\40.txt</t>
  </si>
  <si>
    <t>เชอร์รี่</t>
  </si>
  <si>
    <t>PCV 20</t>
  </si>
  <si>
    <t>b59\42.txt</t>
  </si>
  <si>
    <t>pcv 24,SNAP4DX=E.canis</t>
  </si>
  <si>
    <t>a59\42.txt</t>
  </si>
  <si>
    <t>มารวย</t>
  </si>
  <si>
    <t>เจนซี่</t>
  </si>
  <si>
    <t>ROTTWEILER</t>
  </si>
  <si>
    <t>b59\47.txt</t>
  </si>
  <si>
    <t>ไข่หาย</t>
  </si>
  <si>
    <t>pcv 16</t>
  </si>
  <si>
    <t>a59\47.txt</t>
  </si>
  <si>
    <t>หมูสับ</t>
  </si>
  <si>
    <t>pcv 21,Giant plt. 1/oil field</t>
  </si>
  <si>
    <t>b59\54.txt</t>
  </si>
  <si>
    <t>ยาว</t>
  </si>
  <si>
    <t>เซลซี</t>
  </si>
  <si>
    <t>PCV=13</t>
  </si>
  <si>
    <t>b59\56.txt</t>
  </si>
  <si>
    <t>เคไลน์</t>
  </si>
  <si>
    <t>Unknow</t>
  </si>
  <si>
    <t>PCV ปั่นรอบ2= 18/7.2</t>
  </si>
  <si>
    <t>_b60\2.txt</t>
  </si>
  <si>
    <t>PCV 36</t>
  </si>
  <si>
    <t>_a60\2.txt</t>
  </si>
  <si>
    <t>นุ่น</t>
  </si>
  <si>
    <t>CHIHUAHUA</t>
  </si>
  <si>
    <t>ผักบุ้ง</t>
  </si>
  <si>
    <t>เหลือ 240 ml</t>
  </si>
  <si>
    <t>แช็กกี้</t>
  </si>
  <si>
    <t>_b60\5.txt</t>
  </si>
  <si>
    <t>เหลือ 100 ml</t>
  </si>
  <si>
    <t>PCV 37</t>
  </si>
  <si>
    <t>_a60\5.txt</t>
  </si>
  <si>
    <t>หนอน</t>
  </si>
  <si>
    <t>PCV=10</t>
  </si>
  <si>
    <t>_b60\4.txt</t>
  </si>
  <si>
    <t>PCV=16</t>
  </si>
  <si>
    <t>_a60\4.txt</t>
  </si>
  <si>
    <t>มิกิ</t>
  </si>
  <si>
    <t>pcv 12</t>
  </si>
  <si>
    <t>_b60\3.txt</t>
  </si>
  <si>
    <t>pcv 19</t>
  </si>
  <si>
    <t>_a60\3.txt</t>
  </si>
  <si>
    <t>นุ่้อง</t>
  </si>
  <si>
    <t>_b60\6.txt</t>
  </si>
  <si>
    <t>PCV=21</t>
  </si>
  <si>
    <t>_a60\6.txt</t>
  </si>
  <si>
    <t>_b60\7.txt</t>
  </si>
  <si>
    <t>น้ำชา</t>
  </si>
  <si>
    <t>เหลือ 150 ml</t>
  </si>
  <si>
    <t>PCV=7.2</t>
  </si>
  <si>
    <t>_a60\7.txt</t>
  </si>
  <si>
    <t>ซุค (ZUK)</t>
  </si>
  <si>
    <t>PCV=23</t>
  </si>
  <si>
    <t>b60\10.txt</t>
  </si>
  <si>
    <t>PCV 21</t>
  </si>
  <si>
    <t>a60\10.txt</t>
  </si>
  <si>
    <t>ปุยฝ้าย</t>
  </si>
  <si>
    <t>pcv  13</t>
  </si>
  <si>
    <t>_b60\9.txt</t>
  </si>
  <si>
    <t>pcv 29</t>
  </si>
  <si>
    <t>_a60\9.txt</t>
  </si>
  <si>
    <t>แด็กกี้</t>
  </si>
  <si>
    <t>PCV 7,Agglutination RT=neg/4C=neg</t>
  </si>
  <si>
    <t>b60\14.txt</t>
  </si>
  <si>
    <t>PCV=20</t>
  </si>
  <si>
    <t>a60\14.txt</t>
  </si>
  <si>
    <t>ขาว</t>
  </si>
  <si>
    <t>ขนุข</t>
  </si>
  <si>
    <t>b60\13.txt</t>
  </si>
  <si>
    <t>pcv 25</t>
  </si>
  <si>
    <t>a60\13.txt</t>
  </si>
  <si>
    <t>โอลีฟ</t>
  </si>
  <si>
    <t>pcv 8</t>
  </si>
  <si>
    <t>b60\12.txt</t>
  </si>
  <si>
    <t>ปุย</t>
  </si>
  <si>
    <t>a60\12.txt</t>
  </si>
  <si>
    <t>pcv 10</t>
  </si>
  <si>
    <t>b60\15.txt</t>
  </si>
  <si>
    <t>a60\15.txt</t>
  </si>
  <si>
    <t>ดุ๊กกี๊</t>
  </si>
  <si>
    <t>AMARICAN PITBULL</t>
  </si>
  <si>
    <t>b60\19.txt</t>
  </si>
  <si>
    <t>a60\19.txt</t>
  </si>
  <si>
    <t>ปาฎิหารย์</t>
  </si>
  <si>
    <t>pcv 19 jaundice Giant plt. 1/oil field</t>
  </si>
  <si>
    <t>b60\21.txt</t>
  </si>
  <si>
    <t>230 ml</t>
  </si>
  <si>
    <t>a60\21.txt</t>
  </si>
  <si>
    <t>สมโชค</t>
  </si>
  <si>
    <t>PCV 7, Jaundice</t>
  </si>
  <si>
    <t>b60\23.txt</t>
  </si>
  <si>
    <t>pcv  25, pp 9.0</t>
  </si>
  <si>
    <t>a60\23.txt</t>
  </si>
  <si>
    <t>Barney</t>
  </si>
  <si>
    <t>STAFFORDSHIRE BULL TERRIER</t>
  </si>
  <si>
    <t>pcv  9</t>
  </si>
  <si>
    <t>b60\24.txt</t>
  </si>
  <si>
    <t>pcv 22</t>
  </si>
  <si>
    <t>a60\24.txt</t>
  </si>
  <si>
    <t>อ้วน</t>
  </si>
  <si>
    <t>pcv  10</t>
  </si>
  <si>
    <t>b60\22.txt</t>
  </si>
  <si>
    <t>ชา</t>
  </si>
  <si>
    <t>150 ml</t>
  </si>
  <si>
    <t>a60\22.txt</t>
  </si>
  <si>
    <t>ข้าวเกรียบ</t>
  </si>
  <si>
    <t>PCV=14</t>
  </si>
  <si>
    <t>b60\28.txt</t>
  </si>
  <si>
    <t>ไข่ตุ๋น</t>
  </si>
  <si>
    <t>PCV 18</t>
  </si>
  <si>
    <t>a60\28.txt</t>
  </si>
  <si>
    <t>บ็อบ</t>
  </si>
  <si>
    <t>BEAGLE</t>
  </si>
  <si>
    <t>PCV 27</t>
  </si>
  <si>
    <t>b60\29.txt</t>
  </si>
  <si>
    <t>มะลิ</t>
  </si>
  <si>
    <t>a60\29.txt</t>
  </si>
  <si>
    <t>Damlek</t>
  </si>
  <si>
    <t>b60\39.txt</t>
  </si>
  <si>
    <t>pcv 26</t>
  </si>
  <si>
    <t>a60\39.txt</t>
  </si>
  <si>
    <t>ทอมมี่</t>
  </si>
  <si>
    <t>b60\37.txt</t>
  </si>
  <si>
    <t>PCV 26</t>
  </si>
  <si>
    <t>a60\37.txt</t>
  </si>
  <si>
    <t>ดอกไม้</t>
  </si>
  <si>
    <t>100 ml</t>
  </si>
  <si>
    <t>ซาซ่า</t>
  </si>
  <si>
    <t>PCV=24</t>
  </si>
  <si>
    <t>a60\35.txt</t>
  </si>
  <si>
    <t>แม็กกี๊</t>
  </si>
  <si>
    <t>คาด</t>
  </si>
  <si>
    <t>หมู</t>
  </si>
  <si>
    <t>PCV=22 PP=5.4</t>
  </si>
  <si>
    <t>a60\40.txt</t>
  </si>
  <si>
    <t>บับเบิ้ล</t>
  </si>
  <si>
    <t>b60\41.txt</t>
  </si>
  <si>
    <t>สนุย</t>
  </si>
  <si>
    <t>300 ml</t>
  </si>
  <si>
    <t>a60\41.txt</t>
  </si>
  <si>
    <t>ยิบโซ</t>
  </si>
  <si>
    <t>b60\42.txt</t>
  </si>
  <si>
    <t>a60\42.txt</t>
  </si>
  <si>
    <t>หลง</t>
  </si>
  <si>
    <t>pcv 23</t>
  </si>
  <si>
    <t>b60\47.txt</t>
  </si>
  <si>
    <t>a60\47.txt</t>
  </si>
  <si>
    <t>นวล</t>
  </si>
  <si>
    <t>b60\46.txt</t>
  </si>
  <si>
    <t>a60\46.txt</t>
  </si>
  <si>
    <t>b60\50.txt</t>
  </si>
  <si>
    <t>pcv 22 agglutination  RT=neg/4C=neg</t>
  </si>
  <si>
    <t>a60\50.txt</t>
  </si>
  <si>
    <t>ไมโล</t>
  </si>
  <si>
    <t>140 ml</t>
  </si>
  <si>
    <t>สิงโต</t>
  </si>
  <si>
    <t>PCV 13</t>
  </si>
  <si>
    <t>b60\56.txt</t>
  </si>
  <si>
    <t>a60\56.txt</t>
  </si>
  <si>
    <t>ถุงเท้า</t>
  </si>
  <si>
    <t>Labardor</t>
  </si>
  <si>
    <t>b60\52.txt</t>
  </si>
  <si>
    <t>PCV=18</t>
  </si>
  <si>
    <t>a60\52.txt</t>
  </si>
  <si>
    <t>สิง(ตาย)</t>
  </si>
  <si>
    <t>pcv 15 plt. clumping +1 Agglutination RT=neg/4C=neg</t>
  </si>
  <si>
    <t>_b61\1.txt</t>
  </si>
  <si>
    <t>คิตตี้</t>
  </si>
  <si>
    <t>_a61\1.txt</t>
  </si>
  <si>
    <t>sausage</t>
  </si>
  <si>
    <t>_b61\4.txt</t>
  </si>
  <si>
    <t>PCV=28</t>
  </si>
  <si>
    <t>_a61\4.txt</t>
  </si>
  <si>
    <t>ออฟฟิศ</t>
  </si>
  <si>
    <t>PCV=15</t>
  </si>
  <si>
    <t>_b61\5.txt</t>
  </si>
  <si>
    <t>pcv 28</t>
  </si>
  <si>
    <t>_a61\5.txt</t>
  </si>
  <si>
    <t>_b61\7.txt</t>
  </si>
  <si>
    <t>หรั่ง</t>
  </si>
  <si>
    <t>_a61\7.txt</t>
  </si>
  <si>
    <t>เฉาก๊วย</t>
  </si>
  <si>
    <t>_b61\8.txt</t>
  </si>
  <si>
    <t>pcv 17, giant plt 2/oil field</t>
  </si>
  <si>
    <t>_a61\8.txt</t>
  </si>
  <si>
    <t>คิวคู(Cillco) ตาย</t>
  </si>
  <si>
    <t>_b61\9.txt</t>
  </si>
  <si>
    <t>PCV=31</t>
  </si>
  <si>
    <t>_a61\9.txt</t>
  </si>
  <si>
    <t>ช็อกโกแลต 2</t>
  </si>
  <si>
    <t>b61\10.txt</t>
  </si>
  <si>
    <t>pcv 40 plt. clumping +1</t>
  </si>
  <si>
    <t>a61\10.txt</t>
  </si>
  <si>
    <t>ดีเจ(DJ) ตาย</t>
  </si>
  <si>
    <t>pcv 35</t>
  </si>
  <si>
    <t>b61\11.txt</t>
  </si>
  <si>
    <t>ส้มจิ๊ด</t>
  </si>
  <si>
    <t>a61\11.txt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</si>
</sst>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7041E]d\ mmm\ yy"/>
  </numFmts>
  <fonts count="3" x14ac:knownFonts="1">
    <font>
      <sz val="12"/>
      <color theme="1"/>
      <name val="Calibri"/>
      <family val="2"/>
      <scheme val="minor"/>
    </font>
    <font>
      <sz val="16"/>
      <color rgb="FF9C5700"/>
      <name val="Cordia New"/>
      <family val="2"/>
    </font>
    <font>
      <sz val="16"/>
      <color rgb="FF000000"/>
      <name val="Cordia New"/>
      <family val="2"/>
    </font>
  </fonts>
  <fills count="13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  <fill>
      <patternFill patternType="solid">
        <fgColor rgb="FFD99594"/>
        <bgColor rgb="FFD9959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EEF3"/>
        <bgColor rgb="FFDAEEF3"/>
      </patternFill>
    </fill>
    <fill>
      <patternFill patternType="solid">
        <fgColor rgb="FF92CDDC"/>
        <bgColor rgb="FF92CDD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D6E3BC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D9959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164" fontId="2" fillId="7" borderId="6" xfId="0" applyNumberFormat="1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vertical="center" wrapText="1"/>
    </xf>
    <xf numFmtId="0" fontId="2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vertical="center" wrapText="1"/>
    </xf>
    <xf numFmtId="164" fontId="2" fillId="4" borderId="5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wrapText="1"/>
    </xf>
    <xf numFmtId="0" fontId="2" fillId="6" borderId="5" xfId="0" applyFont="1" applyFill="1" applyBorder="1" applyAlignment="1">
      <alignment wrapText="1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2" fillId="3" borderId="5" xfId="0" applyFont="1" applyFill="1" applyBorder="1" applyAlignment="1">
      <alignment horizontal="center" wrapText="1"/>
    </xf>
    <xf numFmtId="164" fontId="2" fillId="7" borderId="5" xfId="0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vertical="center"/>
    </xf>
    <xf numFmtId="0" fontId="2" fillId="7" borderId="5" xfId="0" applyFont="1" applyFill="1" applyBorder="1" applyAlignment="1">
      <alignment horizontal="center" wrapText="1"/>
    </xf>
    <xf numFmtId="16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9" borderId="5" xfId="0" applyFont="1" applyFill="1" applyBorder="1" applyAlignment="1">
      <alignment horizontal="center" vertical="center"/>
    </xf>
    <xf numFmtId="164" fontId="2" fillId="9" borderId="5" xfId="0" applyNumberFormat="1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vertical="center" wrapText="1"/>
    </xf>
    <xf numFmtId="0" fontId="2" fillId="10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0" fillId="9" borderId="0" xfId="0" applyFont="1" applyFill="1" applyAlignment="1"/>
    <xf numFmtId="164" fontId="2" fillId="11" borderId="5" xfId="0" applyNumberFormat="1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vertical="center" wrapText="1"/>
    </xf>
    <xf numFmtId="0" fontId="2" fillId="10" borderId="6" xfId="0" applyFont="1" applyFill="1" applyBorder="1" applyAlignment="1">
      <alignment horizontal="center" vertical="center"/>
    </xf>
    <xf numFmtId="164" fontId="2" fillId="9" borderId="5" xfId="0" applyNumberFormat="1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wrapText="1"/>
    </xf>
    <xf numFmtId="0" fontId="2" fillId="10" borderId="5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llenium/Downloads/HH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singvalues"/>
      <sheetName val="b613"/>
      <sheetName val="b603"/>
      <sheetName val="b593"/>
      <sheetName val="a613"/>
      <sheetName val="a603"/>
      <sheetName val="a593"/>
      <sheetName val="KU_HH"/>
    </sheetNames>
    <sheetDataSet>
      <sheetData sheetId="0"/>
      <sheetData sheetId="1">
        <row r="1">
          <cell r="F1">
            <v>0</v>
          </cell>
          <cell r="Y1">
            <v>0.125</v>
          </cell>
          <cell r="AA1">
            <v>0.125</v>
          </cell>
          <cell r="AB1">
            <v>0.125</v>
          </cell>
          <cell r="AC1">
            <v>0.125</v>
          </cell>
          <cell r="AD1">
            <v>0.125</v>
          </cell>
          <cell r="AE1">
            <v>0.125</v>
          </cell>
          <cell r="AF1">
            <v>0.125</v>
          </cell>
          <cell r="AG1">
            <v>0.125</v>
          </cell>
          <cell r="AH1">
            <v>0.125</v>
          </cell>
          <cell r="AQ1">
            <v>0</v>
          </cell>
          <cell r="AU1">
            <v>0.25</v>
          </cell>
        </row>
        <row r="2">
          <cell r="F2">
            <v>0</v>
          </cell>
          <cell r="Y2">
            <v>1</v>
          </cell>
          <cell r="AA2">
            <v>1</v>
          </cell>
          <cell r="AB2">
            <v>1</v>
          </cell>
          <cell r="AC2">
            <v>1</v>
          </cell>
          <cell r="AD2">
            <v>1</v>
          </cell>
          <cell r="AE2">
            <v>1</v>
          </cell>
          <cell r="AF2">
            <v>1</v>
          </cell>
          <cell r="AG2">
            <v>1</v>
          </cell>
          <cell r="AH2">
            <v>1</v>
          </cell>
          <cell r="AQ2">
            <v>0</v>
          </cell>
          <cell r="AU2">
            <v>2</v>
          </cell>
        </row>
        <row r="3">
          <cell r="F3">
            <v>8</v>
          </cell>
          <cell r="Y3">
            <v>7</v>
          </cell>
          <cell r="AA3">
            <v>7</v>
          </cell>
          <cell r="AB3">
            <v>7</v>
          </cell>
          <cell r="AC3">
            <v>7</v>
          </cell>
          <cell r="AD3">
            <v>7</v>
          </cell>
          <cell r="AE3">
            <v>7</v>
          </cell>
          <cell r="AF3">
            <v>7</v>
          </cell>
          <cell r="AG3">
            <v>7</v>
          </cell>
          <cell r="AH3">
            <v>7</v>
          </cell>
          <cell r="AQ3">
            <v>8</v>
          </cell>
          <cell r="AU3">
            <v>6</v>
          </cell>
        </row>
        <row r="4">
          <cell r="F4" t="str">
            <v>ชื่อสัตว์</v>
          </cell>
          <cell r="Y4" t="str">
            <v>PLATELETS</v>
          </cell>
          <cell r="AA4" t="str">
            <v>HGB</v>
          </cell>
          <cell r="AB4" t="str">
            <v>RBC</v>
          </cell>
          <cell r="AC4" t="str">
            <v>MCV</v>
          </cell>
          <cell r="AD4" t="str">
            <v>MCHC</v>
          </cell>
          <cell r="AE4" t="str">
            <v>MCH</v>
          </cell>
          <cell r="AF4" t="str">
            <v>SEGS</v>
          </cell>
          <cell r="AG4" t="str">
            <v>LYMPH</v>
          </cell>
          <cell r="AH4" t="str">
            <v>MONO</v>
          </cell>
          <cell r="AQ4" t="str">
            <v>PROTEIN (REFRACT)</v>
          </cell>
          <cell r="AU4" t="str">
            <v>RDW</v>
          </cell>
        </row>
        <row r="5">
          <cell r="F5" t="str">
            <v>สิง(ตาย)</v>
          </cell>
          <cell r="Y5">
            <v>111</v>
          </cell>
          <cell r="AA5">
            <v>4.5</v>
          </cell>
          <cell r="AB5">
            <v>2.36</v>
          </cell>
          <cell r="AC5">
            <v>60.17</v>
          </cell>
          <cell r="AD5">
            <v>31.69</v>
          </cell>
          <cell r="AE5">
            <v>19.07</v>
          </cell>
          <cell r="AF5">
            <v>79.2</v>
          </cell>
          <cell r="AG5">
            <v>9.1999999999999993</v>
          </cell>
          <cell r="AH5">
            <v>11.6</v>
          </cell>
          <cell r="AQ5">
            <v>6.2</v>
          </cell>
          <cell r="AU5">
            <v>16.600000000000001</v>
          </cell>
        </row>
        <row r="6">
          <cell r="F6" t="str">
            <v>sausage</v>
          </cell>
          <cell r="AQ6">
            <v>10</v>
          </cell>
        </row>
        <row r="7">
          <cell r="F7" t="str">
            <v>ออฟฟิศ</v>
          </cell>
          <cell r="Y7">
            <v>3</v>
          </cell>
          <cell r="AA7">
            <v>4.5</v>
          </cell>
          <cell r="AB7">
            <v>2.4500000000000002</v>
          </cell>
          <cell r="AC7">
            <v>64.08</v>
          </cell>
          <cell r="AD7">
            <v>28.66</v>
          </cell>
          <cell r="AE7">
            <v>18.37</v>
          </cell>
          <cell r="AF7">
            <v>64.2</v>
          </cell>
          <cell r="AG7">
            <v>27.9</v>
          </cell>
          <cell r="AH7">
            <v>7.2</v>
          </cell>
          <cell r="AQ7">
            <v>5.2</v>
          </cell>
          <cell r="AU7">
            <v>20.100000000000001</v>
          </cell>
        </row>
        <row r="8">
          <cell r="F8" t="str">
            <v>น้ำตาล</v>
          </cell>
          <cell r="Y8">
            <v>4</v>
          </cell>
          <cell r="AA8">
            <v>3.5</v>
          </cell>
          <cell r="AB8">
            <v>1.59</v>
          </cell>
          <cell r="AC8">
            <v>82.39</v>
          </cell>
          <cell r="AD8">
            <v>26.72</v>
          </cell>
          <cell r="AE8">
            <v>22.01</v>
          </cell>
          <cell r="AF8">
            <v>73.599999999999994</v>
          </cell>
          <cell r="AG8">
            <v>10.5</v>
          </cell>
          <cell r="AH8">
            <v>15.6</v>
          </cell>
          <cell r="AQ8">
            <v>7</v>
          </cell>
          <cell r="AU8">
            <v>20.8</v>
          </cell>
        </row>
        <row r="9">
          <cell r="F9" t="str">
            <v>เฉาก๊วย</v>
          </cell>
          <cell r="Y9">
            <v>2</v>
          </cell>
          <cell r="AA9">
            <v>3</v>
          </cell>
          <cell r="AB9">
            <v>1.18</v>
          </cell>
          <cell r="AC9">
            <v>95.76</v>
          </cell>
          <cell r="AD9">
            <v>26.55</v>
          </cell>
          <cell r="AE9">
            <v>25.42</v>
          </cell>
          <cell r="AF9">
            <v>64</v>
          </cell>
          <cell r="AG9">
            <v>25</v>
          </cell>
          <cell r="AH9">
            <v>9</v>
          </cell>
          <cell r="AQ9">
            <v>7</v>
          </cell>
        </row>
        <row r="10">
          <cell r="F10" t="str">
            <v>คิวคู(Cillco) ตาย</v>
          </cell>
          <cell r="Y10">
            <v>148</v>
          </cell>
          <cell r="AA10">
            <v>6.7</v>
          </cell>
          <cell r="AB10">
            <v>2.86</v>
          </cell>
          <cell r="AC10">
            <v>68.53</v>
          </cell>
          <cell r="AD10">
            <v>34.18</v>
          </cell>
          <cell r="AE10">
            <v>23.43</v>
          </cell>
          <cell r="AF10">
            <v>86.5</v>
          </cell>
          <cell r="AG10">
            <v>6.2</v>
          </cell>
          <cell r="AH10">
            <v>6.8</v>
          </cell>
          <cell r="AQ10">
            <v>7</v>
          </cell>
          <cell r="AU10">
            <v>18.100000000000001</v>
          </cell>
        </row>
        <row r="11">
          <cell r="F11" t="str">
            <v>ช็อกโกแลต 2</v>
          </cell>
          <cell r="Y11">
            <v>209</v>
          </cell>
          <cell r="AA11">
            <v>7.2</v>
          </cell>
          <cell r="AB11">
            <v>3.15</v>
          </cell>
          <cell r="AC11">
            <v>72.06</v>
          </cell>
          <cell r="AD11">
            <v>31.72</v>
          </cell>
          <cell r="AE11">
            <v>22.86</v>
          </cell>
          <cell r="AF11">
            <v>36</v>
          </cell>
          <cell r="AG11">
            <v>54.4</v>
          </cell>
          <cell r="AH11">
            <v>7.5</v>
          </cell>
          <cell r="AQ11">
            <v>11.2</v>
          </cell>
          <cell r="AU11">
            <v>21.5</v>
          </cell>
        </row>
        <row r="12">
          <cell r="F12" t="str">
            <v>ดีเจ(DJ) ตาย</v>
          </cell>
          <cell r="Y12">
            <v>164</v>
          </cell>
          <cell r="AA12">
            <v>13.1</v>
          </cell>
          <cell r="AB12">
            <v>5.78</v>
          </cell>
          <cell r="AC12">
            <v>64.36</v>
          </cell>
          <cell r="AD12">
            <v>35.22</v>
          </cell>
          <cell r="AE12">
            <v>22.66</v>
          </cell>
          <cell r="AF12">
            <v>72.7</v>
          </cell>
          <cell r="AG12">
            <v>19.399999999999999</v>
          </cell>
          <cell r="AH12">
            <v>4.0999999999999996</v>
          </cell>
          <cell r="AQ12">
            <v>6</v>
          </cell>
          <cell r="AU12">
            <v>17.399999999999999</v>
          </cell>
        </row>
      </sheetData>
      <sheetData sheetId="2">
        <row r="1">
          <cell r="A1" t="str">
            <v>% missing</v>
          </cell>
          <cell r="F1">
            <v>0</v>
          </cell>
          <cell r="Y1">
            <v>6.4516129032258063E-2</v>
          </cell>
          <cell r="AA1">
            <v>3.2258064516129031E-2</v>
          </cell>
          <cell r="AB1">
            <v>3.2258064516129031E-2</v>
          </cell>
          <cell r="AC1">
            <v>3.2258064516129031E-2</v>
          </cell>
          <cell r="AD1">
            <v>3.2258064516129031E-2</v>
          </cell>
          <cell r="AE1">
            <v>3.2258064516129031E-2</v>
          </cell>
          <cell r="AF1">
            <v>6.4516129032258063E-2</v>
          </cell>
          <cell r="AG1">
            <v>9.6774193548387094E-2</v>
          </cell>
          <cell r="AH1">
            <v>9.6774193548387094E-2</v>
          </cell>
          <cell r="AQ1">
            <v>6.4516129032258063E-2</v>
          </cell>
          <cell r="AU1">
            <v>6.4516129032258063E-2</v>
          </cell>
        </row>
        <row r="2">
          <cell r="A2">
            <v>24</v>
          </cell>
          <cell r="F2">
            <v>0</v>
          </cell>
          <cell r="Y2">
            <v>2</v>
          </cell>
          <cell r="AA2">
            <v>1</v>
          </cell>
          <cell r="AB2">
            <v>1</v>
          </cell>
          <cell r="AC2">
            <v>1</v>
          </cell>
          <cell r="AD2">
            <v>1</v>
          </cell>
          <cell r="AE2">
            <v>1</v>
          </cell>
          <cell r="AF2">
            <v>2</v>
          </cell>
          <cell r="AG2">
            <v>3</v>
          </cell>
          <cell r="AH2">
            <v>3</v>
          </cell>
          <cell r="AQ2">
            <v>2</v>
          </cell>
          <cell r="AU2">
            <v>2</v>
          </cell>
        </row>
        <row r="3">
          <cell r="A3">
            <v>31</v>
          </cell>
          <cell r="F3">
            <v>31</v>
          </cell>
          <cell r="Y3">
            <v>29</v>
          </cell>
          <cell r="AA3">
            <v>30</v>
          </cell>
          <cell r="AB3">
            <v>30</v>
          </cell>
          <cell r="AC3">
            <v>30</v>
          </cell>
          <cell r="AD3">
            <v>30</v>
          </cell>
          <cell r="AE3">
            <v>30</v>
          </cell>
          <cell r="AF3">
            <v>29</v>
          </cell>
          <cell r="AG3">
            <v>28</v>
          </cell>
          <cell r="AH3">
            <v>28</v>
          </cell>
          <cell r="AQ3">
            <v>29</v>
          </cell>
          <cell r="AU3">
            <v>29</v>
          </cell>
        </row>
        <row r="4">
          <cell r="A4" t="str">
            <v>filename</v>
          </cell>
          <cell r="F4" t="str">
            <v>ชื่อสัตว์</v>
          </cell>
          <cell r="Y4" t="str">
            <v>PLATELETS</v>
          </cell>
          <cell r="AA4" t="str">
            <v>HGB</v>
          </cell>
          <cell r="AB4" t="str">
            <v>RBC</v>
          </cell>
          <cell r="AC4" t="str">
            <v>MCV</v>
          </cell>
          <cell r="AD4" t="str">
            <v>MCHC</v>
          </cell>
          <cell r="AE4" t="str">
            <v>MCH</v>
          </cell>
          <cell r="AF4" t="str">
            <v>SEGS</v>
          </cell>
          <cell r="AG4" t="str">
            <v>LYMPH</v>
          </cell>
          <cell r="AH4" t="str">
            <v>MONO</v>
          </cell>
          <cell r="AQ4" t="str">
            <v>PROTEIN (REFRACT)</v>
          </cell>
          <cell r="AU4" t="str">
            <v>RDW</v>
          </cell>
        </row>
        <row r="5">
          <cell r="A5" t="str">
            <v>_b60\2.txt</v>
          </cell>
          <cell r="F5" t="str">
            <v>เคไลน์</v>
          </cell>
          <cell r="AQ5">
            <v>7.8</v>
          </cell>
        </row>
        <row r="6">
          <cell r="A6" t="str">
            <v>_b60\3.txt</v>
          </cell>
          <cell r="F6" t="str">
            <v>มิกิ</v>
          </cell>
          <cell r="Y6">
            <v>2</v>
          </cell>
          <cell r="AA6">
            <v>3.2</v>
          </cell>
          <cell r="AB6">
            <v>1.51</v>
          </cell>
          <cell r="AC6">
            <v>70.2</v>
          </cell>
          <cell r="AD6">
            <v>30.19</v>
          </cell>
          <cell r="AE6">
            <v>21.19</v>
          </cell>
          <cell r="AF6">
            <v>84.3</v>
          </cell>
          <cell r="AG6">
            <v>1.3</v>
          </cell>
          <cell r="AH6">
            <v>14.2</v>
          </cell>
          <cell r="AQ6">
            <v>6.8</v>
          </cell>
          <cell r="AU6">
            <v>16.7</v>
          </cell>
        </row>
        <row r="7">
          <cell r="A7" t="str">
            <v>_b60\4.txt</v>
          </cell>
          <cell r="F7" t="str">
            <v>หนอน</v>
          </cell>
          <cell r="Y7">
            <v>47</v>
          </cell>
          <cell r="AA7">
            <v>2.5</v>
          </cell>
          <cell r="AB7">
            <v>1.0900000000000001</v>
          </cell>
          <cell r="AC7">
            <v>96.33</v>
          </cell>
          <cell r="AD7">
            <v>23.81</v>
          </cell>
          <cell r="AE7">
            <v>22.94</v>
          </cell>
          <cell r="AF7">
            <v>100</v>
          </cell>
          <cell r="AQ7">
            <v>7.2</v>
          </cell>
          <cell r="AU7">
            <v>18.8</v>
          </cell>
        </row>
        <row r="8">
          <cell r="A8" t="str">
            <v>_b60\5.txt</v>
          </cell>
          <cell r="F8" t="str">
            <v>แช็กกี้</v>
          </cell>
          <cell r="Y8">
            <v>128</v>
          </cell>
          <cell r="AA8">
            <v>1.8</v>
          </cell>
          <cell r="AB8">
            <v>0.9</v>
          </cell>
          <cell r="AC8">
            <v>83.33</v>
          </cell>
          <cell r="AD8">
            <v>24</v>
          </cell>
          <cell r="AE8">
            <v>20</v>
          </cell>
          <cell r="AF8">
            <v>64</v>
          </cell>
          <cell r="AG8">
            <v>13</v>
          </cell>
          <cell r="AH8">
            <v>17</v>
          </cell>
          <cell r="AU8">
            <v>26.5</v>
          </cell>
        </row>
        <row r="9">
          <cell r="A9" t="str">
            <v>_b60\6.txt</v>
          </cell>
          <cell r="F9" t="str">
            <v>นุ่้อง</v>
          </cell>
          <cell r="Y9">
            <v>287</v>
          </cell>
          <cell r="AA9">
            <v>4.9000000000000004</v>
          </cell>
          <cell r="AB9">
            <v>2.1</v>
          </cell>
          <cell r="AC9">
            <v>70.95</v>
          </cell>
          <cell r="AD9">
            <v>32.89</v>
          </cell>
          <cell r="AE9">
            <v>23.33</v>
          </cell>
          <cell r="AF9">
            <v>92.8</v>
          </cell>
          <cell r="AG9">
            <v>2.4</v>
          </cell>
          <cell r="AH9">
            <v>3.5</v>
          </cell>
          <cell r="AQ9">
            <v>7</v>
          </cell>
          <cell r="AU9">
            <v>16.3</v>
          </cell>
        </row>
        <row r="10">
          <cell r="A10" t="str">
            <v>_b60\7.txt</v>
          </cell>
          <cell r="F10" t="str">
            <v>เล็ก</v>
          </cell>
          <cell r="Y10">
            <v>112</v>
          </cell>
          <cell r="AA10">
            <v>3.1</v>
          </cell>
          <cell r="AB10">
            <v>1.42</v>
          </cell>
          <cell r="AC10">
            <v>78.17</v>
          </cell>
          <cell r="AD10">
            <v>27.93</v>
          </cell>
          <cell r="AE10">
            <v>21.83</v>
          </cell>
          <cell r="AF10">
            <v>80.8</v>
          </cell>
          <cell r="AG10">
            <v>7.9</v>
          </cell>
          <cell r="AH10">
            <v>10.8</v>
          </cell>
          <cell r="AQ10">
            <v>7.2</v>
          </cell>
          <cell r="AU10">
            <v>15.9</v>
          </cell>
        </row>
        <row r="11">
          <cell r="A11" t="str">
            <v>_b60\9.txt</v>
          </cell>
          <cell r="F11" t="str">
            <v>ปุยฝ้าย</v>
          </cell>
          <cell r="Y11">
            <v>201</v>
          </cell>
          <cell r="AA11">
            <v>3.9</v>
          </cell>
          <cell r="AB11">
            <v>1.8</v>
          </cell>
          <cell r="AC11">
            <v>67.78</v>
          </cell>
          <cell r="AD11">
            <v>31.97</v>
          </cell>
          <cell r="AE11">
            <v>21.67</v>
          </cell>
          <cell r="AF11">
            <v>71.8</v>
          </cell>
          <cell r="AG11">
            <v>21</v>
          </cell>
          <cell r="AH11">
            <v>5.0999999999999996</v>
          </cell>
          <cell r="AQ11">
            <v>7</v>
          </cell>
          <cell r="AU11">
            <v>16.5</v>
          </cell>
        </row>
        <row r="12">
          <cell r="A12" t="str">
            <v>b60\10.txt</v>
          </cell>
          <cell r="F12" t="str">
            <v>ซุค (ZUK)</v>
          </cell>
          <cell r="Y12">
            <v>190</v>
          </cell>
          <cell r="AA12">
            <v>3.4</v>
          </cell>
          <cell r="AB12">
            <v>1.5</v>
          </cell>
          <cell r="AC12">
            <v>67.33</v>
          </cell>
          <cell r="AD12">
            <v>33.659999999999997</v>
          </cell>
          <cell r="AE12">
            <v>22.67</v>
          </cell>
          <cell r="AF12">
            <v>92.8</v>
          </cell>
          <cell r="AG12">
            <v>3</v>
          </cell>
          <cell r="AH12">
            <v>3.6</v>
          </cell>
          <cell r="AQ12">
            <v>6.6</v>
          </cell>
          <cell r="AU12">
            <v>13.5</v>
          </cell>
        </row>
        <row r="13">
          <cell r="A13" t="str">
            <v>b60\12.txt</v>
          </cell>
          <cell r="F13" t="str">
            <v>โอลีฟ</v>
          </cell>
          <cell r="Y13">
            <v>5</v>
          </cell>
          <cell r="AA13">
            <v>2.4</v>
          </cell>
          <cell r="AB13">
            <v>1.1499999999999999</v>
          </cell>
          <cell r="AC13">
            <v>65.22</v>
          </cell>
          <cell r="AD13">
            <v>32</v>
          </cell>
          <cell r="AE13">
            <v>20.87</v>
          </cell>
          <cell r="AF13">
            <v>11</v>
          </cell>
          <cell r="AG13">
            <v>61.8</v>
          </cell>
          <cell r="AH13">
            <v>23.6</v>
          </cell>
          <cell r="AQ13">
            <v>6.2</v>
          </cell>
          <cell r="AU13">
            <v>16.600000000000001</v>
          </cell>
        </row>
        <row r="14">
          <cell r="A14" t="str">
            <v>b60\13.txt</v>
          </cell>
          <cell r="F14" t="str">
            <v>น้ำตาล</v>
          </cell>
          <cell r="Y14">
            <v>35</v>
          </cell>
          <cell r="AA14">
            <v>2.8</v>
          </cell>
          <cell r="AB14">
            <v>1.42</v>
          </cell>
          <cell r="AC14">
            <v>64.08</v>
          </cell>
          <cell r="AD14">
            <v>30.77</v>
          </cell>
          <cell r="AE14">
            <v>19.72</v>
          </cell>
          <cell r="AF14">
            <v>82.3</v>
          </cell>
          <cell r="AG14">
            <v>6.1</v>
          </cell>
          <cell r="AH14">
            <v>11.4</v>
          </cell>
          <cell r="AQ14">
            <v>5.2</v>
          </cell>
          <cell r="AU14">
            <v>21.1</v>
          </cell>
        </row>
        <row r="15">
          <cell r="A15" t="str">
            <v>b60\14.txt</v>
          </cell>
          <cell r="F15" t="str">
            <v>แด็กกี้</v>
          </cell>
          <cell r="Y15">
            <v>100</v>
          </cell>
          <cell r="AA15">
            <v>1.8</v>
          </cell>
          <cell r="AB15">
            <v>0.7</v>
          </cell>
          <cell r="AC15">
            <v>91.43</v>
          </cell>
          <cell r="AD15">
            <v>28.12</v>
          </cell>
          <cell r="AE15">
            <v>25.71</v>
          </cell>
          <cell r="AF15">
            <v>81.900000000000006</v>
          </cell>
          <cell r="AG15">
            <v>8.6</v>
          </cell>
          <cell r="AH15">
            <v>9.1999999999999993</v>
          </cell>
          <cell r="AQ15">
            <v>9</v>
          </cell>
          <cell r="AU15">
            <v>23.9</v>
          </cell>
        </row>
        <row r="16">
          <cell r="A16" t="str">
            <v>b60\15.txt</v>
          </cell>
          <cell r="F16" t="str">
            <v>โอลีฟ</v>
          </cell>
          <cell r="Y16">
            <v>13</v>
          </cell>
          <cell r="AA16">
            <v>2.9</v>
          </cell>
          <cell r="AB16">
            <v>1.41</v>
          </cell>
          <cell r="AC16">
            <v>66.67</v>
          </cell>
          <cell r="AD16">
            <v>30.85</v>
          </cell>
          <cell r="AE16">
            <v>20.57</v>
          </cell>
          <cell r="AF16">
            <v>26.3</v>
          </cell>
          <cell r="AG16">
            <v>49.1</v>
          </cell>
          <cell r="AH16">
            <v>20.8</v>
          </cell>
          <cell r="AQ16">
            <v>5.8</v>
          </cell>
          <cell r="AU16">
            <v>16</v>
          </cell>
        </row>
        <row r="17">
          <cell r="A17" t="str">
            <v>b60\19.txt</v>
          </cell>
          <cell r="F17" t="str">
            <v>ดุ๊กกี๊</v>
          </cell>
          <cell r="Y17">
            <v>86</v>
          </cell>
          <cell r="AA17">
            <v>2.8</v>
          </cell>
          <cell r="AB17">
            <v>1.1599999999999999</v>
          </cell>
          <cell r="AC17">
            <v>73.28</v>
          </cell>
          <cell r="AD17">
            <v>32.94</v>
          </cell>
          <cell r="AE17">
            <v>24.14</v>
          </cell>
          <cell r="AF17">
            <v>87.2</v>
          </cell>
          <cell r="AG17">
            <v>10</v>
          </cell>
          <cell r="AH17">
            <v>2.2000000000000002</v>
          </cell>
          <cell r="AQ17">
            <v>7.2</v>
          </cell>
          <cell r="AU17">
            <v>14.2</v>
          </cell>
        </row>
        <row r="18">
          <cell r="A18" t="str">
            <v>b60\21.txt</v>
          </cell>
          <cell r="F18" t="str">
            <v>ปาฎิหารย์</v>
          </cell>
          <cell r="Y18">
            <v>38</v>
          </cell>
          <cell r="AA18">
            <v>5.3</v>
          </cell>
          <cell r="AB18">
            <v>2.73</v>
          </cell>
          <cell r="AC18">
            <v>69.23</v>
          </cell>
          <cell r="AD18">
            <v>28.04</v>
          </cell>
          <cell r="AE18">
            <v>19.41</v>
          </cell>
          <cell r="AF18">
            <v>84.4</v>
          </cell>
          <cell r="AG18">
            <v>7</v>
          </cell>
          <cell r="AH18">
            <v>8.1999999999999993</v>
          </cell>
          <cell r="AQ18">
            <v>5.2</v>
          </cell>
          <cell r="AU18">
            <v>20.399999999999999</v>
          </cell>
        </row>
        <row r="19">
          <cell r="A19" t="str">
            <v>b60\22.txt</v>
          </cell>
          <cell r="F19" t="str">
            <v>อ้วน</v>
          </cell>
          <cell r="Y19">
            <v>7</v>
          </cell>
          <cell r="AA19">
            <v>3.3</v>
          </cell>
          <cell r="AB19">
            <v>1.31</v>
          </cell>
          <cell r="AC19">
            <v>90.08</v>
          </cell>
          <cell r="AD19">
            <v>27.97</v>
          </cell>
          <cell r="AE19">
            <v>25.19</v>
          </cell>
          <cell r="AF19">
            <v>63.6</v>
          </cell>
          <cell r="AG19">
            <v>30.3</v>
          </cell>
          <cell r="AH19">
            <v>5.3</v>
          </cell>
          <cell r="AQ19">
            <v>7.2</v>
          </cell>
          <cell r="AU19">
            <v>20.9</v>
          </cell>
        </row>
        <row r="20">
          <cell r="A20" t="str">
            <v>b60\23.txt</v>
          </cell>
          <cell r="F20" t="str">
            <v>สมโชค</v>
          </cell>
          <cell r="Y20">
            <v>6</v>
          </cell>
          <cell r="AA20">
            <v>2.5</v>
          </cell>
          <cell r="AB20">
            <v>1.1000000000000001</v>
          </cell>
          <cell r="AC20">
            <v>81.819999999999993</v>
          </cell>
          <cell r="AD20">
            <v>27.78</v>
          </cell>
          <cell r="AE20">
            <v>22.73</v>
          </cell>
          <cell r="AQ20">
            <v>10</v>
          </cell>
          <cell r="AU20">
            <v>20.6</v>
          </cell>
        </row>
        <row r="21">
          <cell r="A21" t="str">
            <v>b60\24.txt</v>
          </cell>
          <cell r="F21" t="str">
            <v>Barney</v>
          </cell>
          <cell r="Y21">
            <v>5</v>
          </cell>
          <cell r="AA21">
            <v>3.2</v>
          </cell>
          <cell r="AB21">
            <v>1.24</v>
          </cell>
          <cell r="AC21">
            <v>84.68</v>
          </cell>
          <cell r="AD21">
            <v>30.48</v>
          </cell>
          <cell r="AE21">
            <v>25.81</v>
          </cell>
          <cell r="AF21">
            <v>91.2</v>
          </cell>
          <cell r="AG21">
            <v>4.4000000000000004</v>
          </cell>
          <cell r="AH21">
            <v>4.4000000000000004</v>
          </cell>
          <cell r="AQ21">
            <v>7</v>
          </cell>
          <cell r="AU21">
            <v>20.3</v>
          </cell>
        </row>
        <row r="22">
          <cell r="A22" t="str">
            <v>b60\28.txt</v>
          </cell>
          <cell r="F22" t="str">
            <v>ข้าวเกรียบ</v>
          </cell>
          <cell r="Y22">
            <v>784</v>
          </cell>
          <cell r="AA22">
            <v>4.2</v>
          </cell>
          <cell r="AB22">
            <v>2.02</v>
          </cell>
          <cell r="AC22">
            <v>70.3</v>
          </cell>
          <cell r="AD22">
            <v>29.58</v>
          </cell>
          <cell r="AE22">
            <v>20.79</v>
          </cell>
          <cell r="AF22">
            <v>88.4</v>
          </cell>
          <cell r="AG22">
            <v>7.6</v>
          </cell>
          <cell r="AH22">
            <v>3.2</v>
          </cell>
          <cell r="AQ22">
            <v>7.2</v>
          </cell>
          <cell r="AU22">
            <v>22.4</v>
          </cell>
        </row>
        <row r="23">
          <cell r="A23" t="str">
            <v>b60\29.txt</v>
          </cell>
          <cell r="F23" t="str">
            <v>บ็อบ</v>
          </cell>
          <cell r="Y23">
            <v>414</v>
          </cell>
          <cell r="AA23">
            <v>9.1999999999999993</v>
          </cell>
          <cell r="AB23">
            <v>4.12</v>
          </cell>
          <cell r="AC23">
            <v>63.11</v>
          </cell>
          <cell r="AD23">
            <v>35.380000000000003</v>
          </cell>
          <cell r="AE23">
            <v>22.33</v>
          </cell>
          <cell r="AF23">
            <v>83.1</v>
          </cell>
          <cell r="AG23">
            <v>8.8000000000000007</v>
          </cell>
          <cell r="AH23">
            <v>7.5</v>
          </cell>
          <cell r="AQ23">
            <v>6</v>
          </cell>
          <cell r="AU23">
            <v>14.9</v>
          </cell>
        </row>
        <row r="24">
          <cell r="A24" t="str">
            <v>b60\37.txt</v>
          </cell>
          <cell r="F24" t="str">
            <v>ทอมมี่</v>
          </cell>
          <cell r="Y24">
            <v>200</v>
          </cell>
          <cell r="AA24">
            <v>7.3</v>
          </cell>
          <cell r="AB24">
            <v>2.84</v>
          </cell>
          <cell r="AC24">
            <v>78.52</v>
          </cell>
          <cell r="AD24">
            <v>32.74</v>
          </cell>
          <cell r="AE24">
            <v>25.7</v>
          </cell>
          <cell r="AF24">
            <v>91.1</v>
          </cell>
          <cell r="AG24">
            <v>5.8</v>
          </cell>
          <cell r="AH24">
            <v>2.7</v>
          </cell>
          <cell r="AQ24">
            <v>6.4</v>
          </cell>
          <cell r="AU24">
            <v>24.8</v>
          </cell>
        </row>
        <row r="25">
          <cell r="A25" t="str">
            <v>b60\39.txt</v>
          </cell>
          <cell r="F25" t="str">
            <v>Damlek</v>
          </cell>
          <cell r="Y25">
            <v>147</v>
          </cell>
          <cell r="AA25">
            <v>5.8</v>
          </cell>
          <cell r="AB25">
            <v>2.77</v>
          </cell>
          <cell r="AC25">
            <v>64.62</v>
          </cell>
          <cell r="AD25">
            <v>32.4</v>
          </cell>
          <cell r="AE25">
            <v>20.94</v>
          </cell>
          <cell r="AF25">
            <v>86</v>
          </cell>
          <cell r="AG25">
            <v>1.4</v>
          </cell>
          <cell r="AH25">
            <v>11.8</v>
          </cell>
          <cell r="AQ25">
            <v>4.8</v>
          </cell>
          <cell r="AU25">
            <v>13.9</v>
          </cell>
        </row>
        <row r="26">
          <cell r="A26" t="str">
            <v>b60\41.txt</v>
          </cell>
          <cell r="F26" t="str">
            <v>บับเบิ้ล</v>
          </cell>
          <cell r="Y26">
            <v>5</v>
          </cell>
          <cell r="AA26">
            <v>2.2000000000000002</v>
          </cell>
          <cell r="AB26">
            <v>0.98</v>
          </cell>
          <cell r="AC26">
            <v>73.47</v>
          </cell>
          <cell r="AD26">
            <v>30.56</v>
          </cell>
          <cell r="AE26">
            <v>22.45</v>
          </cell>
          <cell r="AF26">
            <v>78.5</v>
          </cell>
          <cell r="AG26">
            <v>17.5</v>
          </cell>
          <cell r="AH26">
            <v>4</v>
          </cell>
          <cell r="AQ26">
            <v>8.1999999999999993</v>
          </cell>
          <cell r="AU26">
            <v>16.600000000000001</v>
          </cell>
        </row>
        <row r="27">
          <cell r="A27" t="str">
            <v>b60\42.txt</v>
          </cell>
          <cell r="F27" t="str">
            <v>ยิบโซ</v>
          </cell>
          <cell r="Y27">
            <v>10</v>
          </cell>
          <cell r="AA27">
            <v>4</v>
          </cell>
          <cell r="AB27">
            <v>1.71</v>
          </cell>
          <cell r="AC27">
            <v>74.27</v>
          </cell>
          <cell r="AD27">
            <v>31.5</v>
          </cell>
          <cell r="AE27">
            <v>23.39</v>
          </cell>
          <cell r="AF27">
            <v>83.6</v>
          </cell>
          <cell r="AG27">
            <v>9.5</v>
          </cell>
          <cell r="AH27">
            <v>6.7</v>
          </cell>
          <cell r="AQ27">
            <v>6.2</v>
          </cell>
          <cell r="AU27">
            <v>16.399999999999999</v>
          </cell>
        </row>
        <row r="28">
          <cell r="A28" t="str">
            <v>b60\46.txt</v>
          </cell>
          <cell r="F28" t="str">
            <v>นวล</v>
          </cell>
          <cell r="Y28">
            <v>3</v>
          </cell>
          <cell r="AA28">
            <v>2.7</v>
          </cell>
          <cell r="AB28">
            <v>1.22</v>
          </cell>
          <cell r="AC28">
            <v>66.39</v>
          </cell>
          <cell r="AD28">
            <v>33.33</v>
          </cell>
          <cell r="AE28">
            <v>22.13</v>
          </cell>
          <cell r="AF28">
            <v>19.8</v>
          </cell>
          <cell r="AG28">
            <v>67.400000000000006</v>
          </cell>
          <cell r="AH28">
            <v>10.5</v>
          </cell>
          <cell r="AQ28">
            <v>7.4</v>
          </cell>
          <cell r="AU28">
            <v>14</v>
          </cell>
        </row>
        <row r="29">
          <cell r="A29" t="str">
            <v>b60\47.txt</v>
          </cell>
          <cell r="F29" t="str">
            <v>หลง</v>
          </cell>
          <cell r="AA29">
            <v>7.9</v>
          </cell>
          <cell r="AB29">
            <v>4.03</v>
          </cell>
          <cell r="AC29">
            <v>61.54</v>
          </cell>
          <cell r="AD29">
            <v>31.85</v>
          </cell>
          <cell r="AE29">
            <v>19.600000000000001</v>
          </cell>
          <cell r="AF29">
            <v>65.400000000000006</v>
          </cell>
          <cell r="AG29">
            <v>21.8</v>
          </cell>
          <cell r="AH29">
            <v>8</v>
          </cell>
          <cell r="AU29">
            <v>21.6</v>
          </cell>
        </row>
        <row r="30">
          <cell r="A30" t="str">
            <v>b60\50.txt</v>
          </cell>
          <cell r="F30" t="str">
            <v>นวล</v>
          </cell>
          <cell r="Y30">
            <v>3</v>
          </cell>
          <cell r="AA30">
            <v>3.1</v>
          </cell>
          <cell r="AB30">
            <v>1.42</v>
          </cell>
          <cell r="AC30">
            <v>65.489999999999995</v>
          </cell>
          <cell r="AD30">
            <v>33.33</v>
          </cell>
          <cell r="AE30">
            <v>21.83</v>
          </cell>
          <cell r="AF30">
            <v>85.2</v>
          </cell>
          <cell r="AG30">
            <v>11.5</v>
          </cell>
          <cell r="AH30">
            <v>3.1</v>
          </cell>
          <cell r="AQ30">
            <v>9</v>
          </cell>
          <cell r="AU30">
            <v>13.6</v>
          </cell>
        </row>
        <row r="31">
          <cell r="A31" t="str">
            <v>b60\52.txt</v>
          </cell>
          <cell r="F31" t="str">
            <v>ถุงเท้า</v>
          </cell>
          <cell r="Y31">
            <v>15</v>
          </cell>
          <cell r="AA31">
            <v>2.1</v>
          </cell>
          <cell r="AB31">
            <v>0.87</v>
          </cell>
          <cell r="AC31">
            <v>78.16</v>
          </cell>
          <cell r="AD31">
            <v>30.88</v>
          </cell>
          <cell r="AE31">
            <v>24.14</v>
          </cell>
          <cell r="AF31">
            <v>79.599999999999994</v>
          </cell>
          <cell r="AG31">
            <v>14</v>
          </cell>
          <cell r="AH31">
            <v>6</v>
          </cell>
          <cell r="AQ31">
            <v>3.8</v>
          </cell>
          <cell r="AU31">
            <v>29.5</v>
          </cell>
        </row>
        <row r="32">
          <cell r="A32" t="str">
            <v>b60\56.txt</v>
          </cell>
          <cell r="F32" t="str">
            <v>สิงโต</v>
          </cell>
          <cell r="Y32">
            <v>380</v>
          </cell>
          <cell r="AA32">
            <v>3</v>
          </cell>
          <cell r="AB32">
            <v>1.51</v>
          </cell>
          <cell r="AC32">
            <v>76.16</v>
          </cell>
          <cell r="AD32">
            <v>26.09</v>
          </cell>
          <cell r="AE32">
            <v>19.87</v>
          </cell>
          <cell r="AF32">
            <v>91.8</v>
          </cell>
          <cell r="AG32">
            <v>4.0999999999999996</v>
          </cell>
          <cell r="AH32">
            <v>3.3</v>
          </cell>
          <cell r="AQ32">
            <v>5</v>
          </cell>
        </row>
        <row r="33">
          <cell r="A33" t="str">
            <v>b60\76.txt</v>
          </cell>
          <cell r="F33" t="str">
            <v>ดีเจ(DJ) ตาย</v>
          </cell>
          <cell r="Y33">
            <v>170</v>
          </cell>
          <cell r="AA33">
            <v>7.5</v>
          </cell>
          <cell r="AB33">
            <v>3.29</v>
          </cell>
          <cell r="AC33">
            <v>68.09</v>
          </cell>
          <cell r="AD33">
            <v>33.479999999999997</v>
          </cell>
          <cell r="AE33">
            <v>22.8</v>
          </cell>
          <cell r="AF33">
            <v>79</v>
          </cell>
          <cell r="AG33">
            <v>12.2</v>
          </cell>
          <cell r="AH33">
            <v>5.8</v>
          </cell>
          <cell r="AQ33">
            <v>6.4</v>
          </cell>
          <cell r="AU33">
            <v>18</v>
          </cell>
        </row>
        <row r="34">
          <cell r="A34" t="str">
            <v>b60\77.txt</v>
          </cell>
          <cell r="F34" t="str">
            <v>ดีเจ(DJ) ตาย</v>
          </cell>
          <cell r="Y34">
            <v>203</v>
          </cell>
          <cell r="AA34">
            <v>9.6999999999999993</v>
          </cell>
          <cell r="AB34">
            <v>4.26</v>
          </cell>
          <cell r="AC34">
            <v>68.31</v>
          </cell>
          <cell r="AD34">
            <v>33.33</v>
          </cell>
          <cell r="AE34">
            <v>22.77</v>
          </cell>
          <cell r="AF34">
            <v>77.900000000000006</v>
          </cell>
          <cell r="AG34">
            <v>13</v>
          </cell>
          <cell r="AH34">
            <v>5.9</v>
          </cell>
          <cell r="AQ34">
            <v>7</v>
          </cell>
          <cell r="AU34">
            <v>19.5</v>
          </cell>
        </row>
        <row r="35">
          <cell r="A35" t="str">
            <v>b60\79.txt</v>
          </cell>
          <cell r="F35" t="str">
            <v>ดีเจ(DJ) ตาย</v>
          </cell>
          <cell r="Y35">
            <v>194</v>
          </cell>
          <cell r="AA35">
            <v>10.8</v>
          </cell>
          <cell r="AB35">
            <v>4.6900000000000004</v>
          </cell>
          <cell r="AC35">
            <v>69.94</v>
          </cell>
          <cell r="AD35">
            <v>32.93</v>
          </cell>
          <cell r="AE35">
            <v>23.03</v>
          </cell>
          <cell r="AF35">
            <v>80.7</v>
          </cell>
          <cell r="AG35">
            <v>10.9</v>
          </cell>
          <cell r="AH35">
            <v>5</v>
          </cell>
          <cell r="AQ35">
            <v>7.2</v>
          </cell>
          <cell r="AU35">
            <v>21</v>
          </cell>
        </row>
      </sheetData>
      <sheetData sheetId="3">
        <row r="1">
          <cell r="A1" t="str">
            <v>% missing</v>
          </cell>
          <cell r="F1">
            <v>0</v>
          </cell>
          <cell r="Y1">
            <v>2.7777777777777776E-2</v>
          </cell>
          <cell r="AA1">
            <v>2.7777777777777776E-2</v>
          </cell>
          <cell r="AB1">
            <v>2.7777777777777776E-2</v>
          </cell>
          <cell r="AC1">
            <v>2.7777777777777776E-2</v>
          </cell>
          <cell r="AD1">
            <v>2.7777777777777776E-2</v>
          </cell>
          <cell r="AE1">
            <v>2.7777777777777776E-2</v>
          </cell>
          <cell r="AF1">
            <v>2.7777777777777776E-2</v>
          </cell>
          <cell r="AG1">
            <v>2.7777777777777776E-2</v>
          </cell>
          <cell r="AH1">
            <v>2.7777777777777776E-2</v>
          </cell>
          <cell r="AQ1">
            <v>0</v>
          </cell>
          <cell r="AU1">
            <v>8.3333333333333329E-2</v>
          </cell>
        </row>
        <row r="2">
          <cell r="A2">
            <v>45</v>
          </cell>
          <cell r="F2">
            <v>0</v>
          </cell>
          <cell r="Y2">
            <v>1</v>
          </cell>
          <cell r="AA2">
            <v>1</v>
          </cell>
          <cell r="AB2">
            <v>1</v>
          </cell>
          <cell r="AC2">
            <v>1</v>
          </cell>
          <cell r="AD2">
            <v>1</v>
          </cell>
          <cell r="AE2">
            <v>1</v>
          </cell>
          <cell r="AF2">
            <v>1</v>
          </cell>
          <cell r="AG2">
            <v>1</v>
          </cell>
          <cell r="AH2">
            <v>1</v>
          </cell>
          <cell r="AQ2">
            <v>0</v>
          </cell>
          <cell r="AU2">
            <v>3</v>
          </cell>
        </row>
        <row r="3">
          <cell r="A3">
            <v>36</v>
          </cell>
          <cell r="F3">
            <v>36</v>
          </cell>
          <cell r="Y3">
            <v>35</v>
          </cell>
          <cell r="AA3">
            <v>35</v>
          </cell>
          <cell r="AB3">
            <v>35</v>
          </cell>
          <cell r="AC3">
            <v>35</v>
          </cell>
          <cell r="AD3">
            <v>35</v>
          </cell>
          <cell r="AE3">
            <v>35</v>
          </cell>
          <cell r="AF3">
            <v>35</v>
          </cell>
          <cell r="AG3">
            <v>35</v>
          </cell>
          <cell r="AH3">
            <v>35</v>
          </cell>
          <cell r="AQ3">
            <v>36</v>
          </cell>
          <cell r="AU3">
            <v>33</v>
          </cell>
        </row>
        <row r="4">
          <cell r="A4" t="str">
            <v>filename</v>
          </cell>
          <cell r="F4" t="str">
            <v>ชื่อสัตว์</v>
          </cell>
          <cell r="Y4" t="str">
            <v>PLATELETS</v>
          </cell>
          <cell r="AA4" t="str">
            <v>HGB</v>
          </cell>
          <cell r="AB4" t="str">
            <v>RBC</v>
          </cell>
          <cell r="AC4" t="str">
            <v>MCV</v>
          </cell>
          <cell r="AD4" t="str">
            <v>MCHC</v>
          </cell>
          <cell r="AE4" t="str">
            <v>MCH</v>
          </cell>
          <cell r="AF4" t="str">
            <v>SEGS</v>
          </cell>
          <cell r="AG4" t="str">
            <v>LYMPH</v>
          </cell>
          <cell r="AH4" t="str">
            <v>MONO</v>
          </cell>
          <cell r="AQ4" t="str">
            <v>PROTEIN (REFRACT)</v>
          </cell>
          <cell r="AU4" t="str">
            <v>RDW</v>
          </cell>
        </row>
        <row r="5">
          <cell r="A5" t="str">
            <v>_b59\1.txt</v>
          </cell>
          <cell r="F5" t="str">
            <v>หมี</v>
          </cell>
          <cell r="Y5">
            <v>24</v>
          </cell>
          <cell r="AA5">
            <v>2.7</v>
          </cell>
          <cell r="AB5">
            <v>1.26</v>
          </cell>
          <cell r="AC5">
            <v>79.37</v>
          </cell>
          <cell r="AD5">
            <v>27</v>
          </cell>
          <cell r="AE5">
            <v>21.43</v>
          </cell>
          <cell r="AF5">
            <v>63.1</v>
          </cell>
          <cell r="AG5">
            <v>18.7</v>
          </cell>
          <cell r="AH5">
            <v>17.899999999999999</v>
          </cell>
          <cell r="AQ5">
            <v>5.2</v>
          </cell>
          <cell r="AU5">
            <v>24</v>
          </cell>
        </row>
        <row r="6">
          <cell r="A6" t="str">
            <v>_b59\4.txt</v>
          </cell>
          <cell r="F6" t="str">
            <v>โอยั้ว</v>
          </cell>
          <cell r="Y6">
            <v>156</v>
          </cell>
          <cell r="AA6">
            <v>3.1</v>
          </cell>
          <cell r="AB6">
            <v>1.65</v>
          </cell>
          <cell r="AC6">
            <v>58.79</v>
          </cell>
          <cell r="AD6">
            <v>31.96</v>
          </cell>
          <cell r="AE6">
            <v>18.79</v>
          </cell>
          <cell r="AF6">
            <v>72.900000000000006</v>
          </cell>
          <cell r="AG6">
            <v>17.2</v>
          </cell>
          <cell r="AH6">
            <v>9.1999999999999993</v>
          </cell>
          <cell r="AQ6">
            <v>6.2</v>
          </cell>
          <cell r="AU6">
            <v>14.1</v>
          </cell>
        </row>
        <row r="7">
          <cell r="A7" t="str">
            <v>_b59\5.txt</v>
          </cell>
          <cell r="F7" t="str">
            <v>Filou</v>
          </cell>
          <cell r="Y7">
            <v>42</v>
          </cell>
          <cell r="AA7">
            <v>2.8</v>
          </cell>
          <cell r="AB7">
            <v>0.22</v>
          </cell>
          <cell r="AC7">
            <v>109.09</v>
          </cell>
          <cell r="AD7">
            <v>116.67</v>
          </cell>
          <cell r="AE7">
            <v>127.27</v>
          </cell>
          <cell r="AF7">
            <v>88.5</v>
          </cell>
          <cell r="AG7">
            <v>0</v>
          </cell>
          <cell r="AH7">
            <v>10.9</v>
          </cell>
          <cell r="AQ7">
            <v>6.8</v>
          </cell>
        </row>
        <row r="8">
          <cell r="A8" t="str">
            <v>_b59\6.txt</v>
          </cell>
          <cell r="F8" t="str">
            <v>หมีด่าง</v>
          </cell>
          <cell r="Y8">
            <v>361</v>
          </cell>
          <cell r="AA8">
            <v>1.9</v>
          </cell>
          <cell r="AB8">
            <v>1.28</v>
          </cell>
          <cell r="AC8">
            <v>61.72</v>
          </cell>
          <cell r="AD8">
            <v>24.05</v>
          </cell>
          <cell r="AE8">
            <v>14.84</v>
          </cell>
          <cell r="AF8">
            <v>85.3</v>
          </cell>
          <cell r="AG8">
            <v>8.1999999999999993</v>
          </cell>
          <cell r="AH8">
            <v>5.9</v>
          </cell>
          <cell r="AQ8">
            <v>5.4</v>
          </cell>
          <cell r="AU8">
            <v>26</v>
          </cell>
        </row>
        <row r="9">
          <cell r="A9" t="str">
            <v>_b59\7.txt</v>
          </cell>
          <cell r="F9" t="str">
            <v>แดงน้อย</v>
          </cell>
          <cell r="Y9">
            <v>204</v>
          </cell>
          <cell r="AA9">
            <v>3.2</v>
          </cell>
          <cell r="AB9">
            <v>1.53</v>
          </cell>
          <cell r="AC9">
            <v>69.930000000000007</v>
          </cell>
          <cell r="AD9">
            <v>29.91</v>
          </cell>
          <cell r="AE9">
            <v>20.92</v>
          </cell>
          <cell r="AF9">
            <v>83.4</v>
          </cell>
          <cell r="AG9">
            <v>5.4</v>
          </cell>
          <cell r="AH9">
            <v>10.9</v>
          </cell>
          <cell r="AQ9">
            <v>11.2</v>
          </cell>
          <cell r="AU9">
            <v>19.600000000000001</v>
          </cell>
        </row>
        <row r="10">
          <cell r="A10" t="str">
            <v>_b59\8.txt</v>
          </cell>
          <cell r="F10" t="str">
            <v>หมูหยอง</v>
          </cell>
          <cell r="Y10">
            <v>45</v>
          </cell>
          <cell r="AA10">
            <v>3.8</v>
          </cell>
          <cell r="AB10">
            <v>10</v>
          </cell>
          <cell r="AC10">
            <v>81.650000000000006</v>
          </cell>
          <cell r="AD10">
            <v>29.46</v>
          </cell>
          <cell r="AE10">
            <v>24.05</v>
          </cell>
          <cell r="AF10">
            <v>93.1</v>
          </cell>
          <cell r="AG10">
            <v>1</v>
          </cell>
          <cell r="AH10">
            <v>5.9</v>
          </cell>
          <cell r="AQ10">
            <v>5.6</v>
          </cell>
          <cell r="AU10">
            <v>45</v>
          </cell>
        </row>
        <row r="11">
          <cell r="A11" t="str">
            <v>_b59\9.txt</v>
          </cell>
          <cell r="F11" t="str">
            <v>จีน่า</v>
          </cell>
          <cell r="Y11">
            <v>94</v>
          </cell>
          <cell r="AA11">
            <v>4.4000000000000004</v>
          </cell>
          <cell r="AB11">
            <v>1.97</v>
          </cell>
          <cell r="AC11">
            <v>75.13</v>
          </cell>
          <cell r="AD11">
            <v>29.73</v>
          </cell>
          <cell r="AE11">
            <v>22.34</v>
          </cell>
          <cell r="AF11">
            <v>91.7</v>
          </cell>
          <cell r="AG11">
            <v>3.4</v>
          </cell>
          <cell r="AH11">
            <v>3.1</v>
          </cell>
          <cell r="AQ11">
            <v>5.8</v>
          </cell>
          <cell r="AU11">
            <v>14.3</v>
          </cell>
        </row>
        <row r="12">
          <cell r="A12" t="str">
            <v>b59\10.txt</v>
          </cell>
          <cell r="F12" t="str">
            <v>เฟอร์บี้</v>
          </cell>
          <cell r="Y12">
            <v>239</v>
          </cell>
          <cell r="AA12">
            <v>2.9</v>
          </cell>
          <cell r="AB12">
            <v>1.33</v>
          </cell>
          <cell r="AC12">
            <v>72.180000000000007</v>
          </cell>
          <cell r="AD12">
            <v>30.21</v>
          </cell>
          <cell r="AE12">
            <v>21.8</v>
          </cell>
          <cell r="AF12">
            <v>71.900000000000006</v>
          </cell>
          <cell r="AG12">
            <v>20.399999999999999</v>
          </cell>
          <cell r="AH12">
            <v>6.5</v>
          </cell>
          <cell r="AQ12">
            <v>5.8</v>
          </cell>
          <cell r="AU12">
            <v>18</v>
          </cell>
        </row>
        <row r="13">
          <cell r="A13" t="str">
            <v>b59\11.txt</v>
          </cell>
          <cell r="F13" t="str">
            <v>ยูโร่</v>
          </cell>
          <cell r="Y13">
            <v>162</v>
          </cell>
          <cell r="AA13">
            <v>4</v>
          </cell>
          <cell r="AB13">
            <v>1.7</v>
          </cell>
          <cell r="AC13">
            <v>77.650000000000006</v>
          </cell>
          <cell r="AD13">
            <v>30.3</v>
          </cell>
          <cell r="AE13">
            <v>23.53</v>
          </cell>
          <cell r="AF13">
            <v>87.7</v>
          </cell>
          <cell r="AG13">
            <v>7.9</v>
          </cell>
          <cell r="AH13">
            <v>4.0999999999999996</v>
          </cell>
          <cell r="AQ13">
            <v>5.4</v>
          </cell>
          <cell r="AU13">
            <v>15</v>
          </cell>
        </row>
        <row r="14">
          <cell r="A14" t="str">
            <v>b59\12.txt</v>
          </cell>
          <cell r="F14" t="str">
            <v>ไข่เจียว</v>
          </cell>
          <cell r="Y14">
            <v>6</v>
          </cell>
          <cell r="AA14">
            <v>1.7</v>
          </cell>
          <cell r="AB14">
            <v>0.73</v>
          </cell>
          <cell r="AC14">
            <v>78.08</v>
          </cell>
          <cell r="AD14">
            <v>29.82</v>
          </cell>
          <cell r="AE14">
            <v>23.29</v>
          </cell>
          <cell r="AF14">
            <v>60.3</v>
          </cell>
          <cell r="AG14">
            <v>22.9</v>
          </cell>
          <cell r="AH14">
            <v>16.600000000000001</v>
          </cell>
          <cell r="AQ14">
            <v>6.2</v>
          </cell>
          <cell r="AU14">
            <v>14.5</v>
          </cell>
        </row>
        <row r="15">
          <cell r="A15" t="str">
            <v>b59\14.txt</v>
          </cell>
          <cell r="F15" t="str">
            <v>แฟรงค์</v>
          </cell>
          <cell r="Y15">
            <v>5</v>
          </cell>
          <cell r="AA15">
            <v>3.2</v>
          </cell>
          <cell r="AB15">
            <v>1.44</v>
          </cell>
          <cell r="AC15">
            <v>77.78</v>
          </cell>
          <cell r="AD15">
            <v>28.57</v>
          </cell>
          <cell r="AE15">
            <v>22.22</v>
          </cell>
          <cell r="AF15">
            <v>82.8</v>
          </cell>
          <cell r="AG15">
            <v>7.6</v>
          </cell>
          <cell r="AH15">
            <v>9.5</v>
          </cell>
          <cell r="AQ15">
            <v>6</v>
          </cell>
          <cell r="AU15">
            <v>22.5</v>
          </cell>
        </row>
        <row r="16">
          <cell r="A16" t="str">
            <v>b59\16.txt</v>
          </cell>
          <cell r="F16" t="str">
            <v>กิ๊ง</v>
          </cell>
          <cell r="Y16">
            <v>166</v>
          </cell>
          <cell r="AA16">
            <v>2.4</v>
          </cell>
          <cell r="AB16">
            <v>1.68</v>
          </cell>
          <cell r="AC16">
            <v>60.71</v>
          </cell>
          <cell r="AD16">
            <v>23.53</v>
          </cell>
          <cell r="AE16">
            <v>14.29</v>
          </cell>
          <cell r="AF16">
            <v>84.8</v>
          </cell>
          <cell r="AG16">
            <v>11.4</v>
          </cell>
          <cell r="AH16">
            <v>3.8</v>
          </cell>
          <cell r="AQ16">
            <v>6.8</v>
          </cell>
          <cell r="AU16">
            <v>22.5</v>
          </cell>
        </row>
        <row r="17">
          <cell r="A17" t="str">
            <v>b59\17.txt</v>
          </cell>
          <cell r="F17" t="str">
            <v>น้ำตาล</v>
          </cell>
          <cell r="Y17">
            <v>3</v>
          </cell>
          <cell r="AA17">
            <v>3.7</v>
          </cell>
          <cell r="AB17">
            <v>1.58</v>
          </cell>
          <cell r="AC17">
            <v>71.52</v>
          </cell>
          <cell r="AD17">
            <v>32.74</v>
          </cell>
          <cell r="AE17">
            <v>23.42</v>
          </cell>
          <cell r="AF17">
            <v>90.4</v>
          </cell>
          <cell r="AG17">
            <v>2.9</v>
          </cell>
          <cell r="AH17">
            <v>6.5</v>
          </cell>
          <cell r="AQ17">
            <v>10.4</v>
          </cell>
          <cell r="AU17">
            <v>14</v>
          </cell>
        </row>
        <row r="18">
          <cell r="A18" t="str">
            <v>b59\19.txt</v>
          </cell>
          <cell r="F18" t="str">
            <v>เงินล้าน</v>
          </cell>
          <cell r="Y18">
            <v>52</v>
          </cell>
          <cell r="AA18">
            <v>2.6</v>
          </cell>
          <cell r="AB18">
            <v>1.0900000000000001</v>
          </cell>
          <cell r="AC18">
            <v>77.98</v>
          </cell>
          <cell r="AD18">
            <v>30.59</v>
          </cell>
          <cell r="AE18">
            <v>23.85</v>
          </cell>
          <cell r="AF18">
            <v>92</v>
          </cell>
          <cell r="AG18">
            <v>6.3</v>
          </cell>
          <cell r="AH18">
            <v>1.7</v>
          </cell>
          <cell r="AQ18">
            <v>5.4</v>
          </cell>
          <cell r="AU18">
            <v>11.5</v>
          </cell>
        </row>
        <row r="19">
          <cell r="A19" t="str">
            <v>b59\22.txt</v>
          </cell>
          <cell r="F19" t="str">
            <v>แฟร้งค์</v>
          </cell>
          <cell r="Y19">
            <v>74</v>
          </cell>
          <cell r="AA19">
            <v>2.6</v>
          </cell>
          <cell r="AB19">
            <v>1.01</v>
          </cell>
          <cell r="AC19">
            <v>89.11</v>
          </cell>
          <cell r="AD19">
            <v>28.89</v>
          </cell>
          <cell r="AE19">
            <v>25.74</v>
          </cell>
          <cell r="AF19">
            <v>70.7</v>
          </cell>
          <cell r="AG19">
            <v>19</v>
          </cell>
          <cell r="AH19">
            <v>8.5</v>
          </cell>
          <cell r="AQ19">
            <v>8.8000000000000007</v>
          </cell>
          <cell r="AU19">
            <v>19.7</v>
          </cell>
        </row>
        <row r="20">
          <cell r="A20" t="str">
            <v>b59\23.txt</v>
          </cell>
          <cell r="F20" t="str">
            <v>โอเว่น</v>
          </cell>
          <cell r="Y20">
            <v>452</v>
          </cell>
          <cell r="AA20">
            <v>2.2999999999999998</v>
          </cell>
          <cell r="AB20">
            <v>1.67</v>
          </cell>
          <cell r="AC20">
            <v>52.1</v>
          </cell>
          <cell r="AD20">
            <v>26.44</v>
          </cell>
          <cell r="AE20">
            <v>13.77</v>
          </cell>
          <cell r="AF20">
            <v>81.3</v>
          </cell>
          <cell r="AG20">
            <v>12.9</v>
          </cell>
          <cell r="AH20">
            <v>5.0999999999999996</v>
          </cell>
          <cell r="AQ20">
            <v>6</v>
          </cell>
          <cell r="AU20">
            <v>20.5</v>
          </cell>
        </row>
        <row r="21">
          <cell r="A21" t="str">
            <v>b59\24.txt</v>
          </cell>
          <cell r="F21" t="str">
            <v>โอเว่น</v>
          </cell>
          <cell r="Y21">
            <v>461</v>
          </cell>
          <cell r="AA21">
            <v>3.7</v>
          </cell>
          <cell r="AB21">
            <v>2.2999999999999998</v>
          </cell>
          <cell r="AC21">
            <v>58.26</v>
          </cell>
          <cell r="AD21">
            <v>27.61</v>
          </cell>
          <cell r="AE21">
            <v>16.09</v>
          </cell>
          <cell r="AF21">
            <v>64.7</v>
          </cell>
          <cell r="AG21">
            <v>18.2</v>
          </cell>
          <cell r="AH21">
            <v>7.2</v>
          </cell>
          <cell r="AQ21">
            <v>5.8</v>
          </cell>
          <cell r="AU21">
            <v>25</v>
          </cell>
        </row>
        <row r="22">
          <cell r="A22" t="str">
            <v>b59\25.txt</v>
          </cell>
          <cell r="F22" t="str">
            <v>แจ๋น</v>
          </cell>
          <cell r="Y22">
            <v>37</v>
          </cell>
          <cell r="AA22">
            <v>4.3</v>
          </cell>
          <cell r="AB22">
            <v>1.88</v>
          </cell>
          <cell r="AC22">
            <v>72.34</v>
          </cell>
          <cell r="AD22">
            <v>31.62</v>
          </cell>
          <cell r="AE22">
            <v>22.87</v>
          </cell>
          <cell r="AF22">
            <v>69.8</v>
          </cell>
          <cell r="AG22">
            <v>21.3</v>
          </cell>
          <cell r="AH22">
            <v>8</v>
          </cell>
          <cell r="AQ22">
            <v>7</v>
          </cell>
          <cell r="AU22">
            <v>15.8</v>
          </cell>
        </row>
        <row r="23">
          <cell r="A23" t="str">
            <v>b59\26.txt</v>
          </cell>
          <cell r="F23" t="str">
            <v>บูบู้</v>
          </cell>
          <cell r="Y23">
            <v>3</v>
          </cell>
          <cell r="AA23">
            <v>2.8</v>
          </cell>
          <cell r="AB23">
            <v>1.1599999999999999</v>
          </cell>
          <cell r="AC23">
            <v>75</v>
          </cell>
          <cell r="AD23">
            <v>32.18</v>
          </cell>
          <cell r="AE23">
            <v>24.14</v>
          </cell>
          <cell r="AF23">
            <v>76.7</v>
          </cell>
          <cell r="AG23">
            <v>13.4</v>
          </cell>
          <cell r="AH23">
            <v>9.6</v>
          </cell>
          <cell r="AQ23">
            <v>6.4</v>
          </cell>
          <cell r="AU23">
            <v>15.7</v>
          </cell>
        </row>
        <row r="24">
          <cell r="A24" t="str">
            <v>b59\27.txt</v>
          </cell>
          <cell r="F24" t="str">
            <v>แบล็ค</v>
          </cell>
          <cell r="Y24">
            <v>284</v>
          </cell>
          <cell r="AA24">
            <v>1.5</v>
          </cell>
          <cell r="AB24">
            <v>0.84</v>
          </cell>
          <cell r="AC24">
            <v>85.71</v>
          </cell>
          <cell r="AD24">
            <v>20.83</v>
          </cell>
          <cell r="AE24">
            <v>17.86</v>
          </cell>
          <cell r="AF24">
            <v>90.8</v>
          </cell>
          <cell r="AG24">
            <v>1</v>
          </cell>
          <cell r="AH24">
            <v>7.1</v>
          </cell>
          <cell r="AQ24">
            <v>4</v>
          </cell>
          <cell r="AU24">
            <v>24.9</v>
          </cell>
        </row>
        <row r="25">
          <cell r="A25" t="str">
            <v>b59\28.txt</v>
          </cell>
          <cell r="F25" t="str">
            <v>เหมียว</v>
          </cell>
          <cell r="Y25">
            <v>52</v>
          </cell>
          <cell r="AA25">
            <v>6.1</v>
          </cell>
          <cell r="AB25">
            <v>3.81</v>
          </cell>
          <cell r="AC25">
            <v>50.92</v>
          </cell>
          <cell r="AD25">
            <v>31.44</v>
          </cell>
          <cell r="AE25">
            <v>16.010000000000002</v>
          </cell>
          <cell r="AF25">
            <v>75.099999999999994</v>
          </cell>
          <cell r="AG25">
            <v>14.1</v>
          </cell>
          <cell r="AH25">
            <v>5.3</v>
          </cell>
          <cell r="AQ25">
            <v>6.2</v>
          </cell>
          <cell r="AU25">
            <v>20.399999999999999</v>
          </cell>
        </row>
        <row r="26">
          <cell r="A26" t="str">
            <v>b59\29.txt</v>
          </cell>
          <cell r="F26" t="str">
            <v>กีต้า</v>
          </cell>
          <cell r="Y26">
            <v>2</v>
          </cell>
          <cell r="AA26">
            <v>3.7</v>
          </cell>
          <cell r="AB26">
            <v>1.52</v>
          </cell>
          <cell r="AC26">
            <v>69.739999999999995</v>
          </cell>
          <cell r="AD26">
            <v>34.909999999999997</v>
          </cell>
          <cell r="AE26">
            <v>24.34</v>
          </cell>
          <cell r="AF26">
            <v>68.099999999999994</v>
          </cell>
          <cell r="AG26">
            <v>17.399999999999999</v>
          </cell>
          <cell r="AH26">
            <v>14.1</v>
          </cell>
          <cell r="AQ26">
            <v>5</v>
          </cell>
          <cell r="AU26">
            <v>12.7</v>
          </cell>
        </row>
        <row r="27">
          <cell r="A27" t="str">
            <v>b59\32.txt</v>
          </cell>
          <cell r="F27" t="str">
            <v>คุ๊กกี้(Cookie)</v>
          </cell>
          <cell r="Y27">
            <v>74</v>
          </cell>
          <cell r="AA27">
            <v>9.9</v>
          </cell>
          <cell r="AB27">
            <v>4.55</v>
          </cell>
          <cell r="AC27">
            <v>65.709999999999994</v>
          </cell>
          <cell r="AD27">
            <v>33.11</v>
          </cell>
          <cell r="AE27">
            <v>21.76</v>
          </cell>
          <cell r="AF27">
            <v>85.2</v>
          </cell>
          <cell r="AG27">
            <v>8.8000000000000007</v>
          </cell>
          <cell r="AH27">
            <v>3.8</v>
          </cell>
          <cell r="AQ27">
            <v>7.4</v>
          </cell>
          <cell r="AU27">
            <v>17.100000000000001</v>
          </cell>
        </row>
        <row r="28">
          <cell r="A28" t="str">
            <v>b59\34.txt</v>
          </cell>
          <cell r="F28" t="str">
            <v>เทา</v>
          </cell>
          <cell r="Y28">
            <v>544</v>
          </cell>
          <cell r="AA28">
            <v>4.5</v>
          </cell>
          <cell r="AB28">
            <v>4.37</v>
          </cell>
          <cell r="AC28">
            <v>37.53</v>
          </cell>
          <cell r="AD28">
            <v>27.44</v>
          </cell>
          <cell r="AE28">
            <v>10.3</v>
          </cell>
          <cell r="AF28">
            <v>80.8</v>
          </cell>
          <cell r="AG28">
            <v>10.9</v>
          </cell>
          <cell r="AH28">
            <v>5.7</v>
          </cell>
          <cell r="AQ28">
            <v>7.2</v>
          </cell>
          <cell r="AU28">
            <v>22.9</v>
          </cell>
        </row>
        <row r="29">
          <cell r="A29" t="str">
            <v>b59\35.txt</v>
          </cell>
          <cell r="F29" t="str">
            <v>ปีเตอร์</v>
          </cell>
          <cell r="Y29">
            <v>58</v>
          </cell>
          <cell r="AA29">
            <v>3.4</v>
          </cell>
          <cell r="AB29">
            <v>1.51</v>
          </cell>
          <cell r="AC29">
            <v>72.19</v>
          </cell>
          <cell r="AD29">
            <v>31.19</v>
          </cell>
          <cell r="AE29">
            <v>22.52</v>
          </cell>
          <cell r="AF29">
            <v>86.6</v>
          </cell>
          <cell r="AG29">
            <v>4.5999999999999996</v>
          </cell>
          <cell r="AH29">
            <v>8.8000000000000007</v>
          </cell>
          <cell r="AQ29">
            <v>7</v>
          </cell>
          <cell r="AU29">
            <v>13.3</v>
          </cell>
        </row>
        <row r="30">
          <cell r="A30" t="str">
            <v>b59\36.txt</v>
          </cell>
          <cell r="F30" t="str">
            <v>คุ๊กกี้</v>
          </cell>
          <cell r="Y30">
            <v>15</v>
          </cell>
          <cell r="AA30">
            <v>5.4</v>
          </cell>
          <cell r="AB30">
            <v>2.34</v>
          </cell>
          <cell r="AC30">
            <v>74.790000000000006</v>
          </cell>
          <cell r="AD30">
            <v>30.86</v>
          </cell>
          <cell r="AE30">
            <v>23.08</v>
          </cell>
          <cell r="AF30">
            <v>93.5</v>
          </cell>
          <cell r="AG30">
            <v>2.1</v>
          </cell>
          <cell r="AH30">
            <v>3.8</v>
          </cell>
          <cell r="AQ30">
            <v>6.8</v>
          </cell>
          <cell r="AU30">
            <v>23.7</v>
          </cell>
        </row>
        <row r="31">
          <cell r="A31" t="str">
            <v>b59\37.txt</v>
          </cell>
          <cell r="F31" t="str">
            <v>Yana</v>
          </cell>
          <cell r="Y31">
            <v>169</v>
          </cell>
          <cell r="AA31">
            <v>4.7</v>
          </cell>
          <cell r="AB31">
            <v>2.21</v>
          </cell>
          <cell r="AC31">
            <v>63.8</v>
          </cell>
          <cell r="AD31">
            <v>33.33</v>
          </cell>
          <cell r="AE31">
            <v>21.27</v>
          </cell>
          <cell r="AF31">
            <v>86.2</v>
          </cell>
          <cell r="AG31">
            <v>5.6</v>
          </cell>
          <cell r="AH31">
            <v>7.7</v>
          </cell>
          <cell r="AQ31">
            <v>6.4</v>
          </cell>
          <cell r="AU31">
            <v>15.3</v>
          </cell>
        </row>
        <row r="32">
          <cell r="A32" t="str">
            <v>b59\38.txt</v>
          </cell>
          <cell r="F32" t="str">
            <v>Yana</v>
          </cell>
          <cell r="Y32">
            <v>169</v>
          </cell>
          <cell r="AA32">
            <v>4.7</v>
          </cell>
          <cell r="AB32">
            <v>2.21</v>
          </cell>
          <cell r="AC32">
            <v>63.8</v>
          </cell>
          <cell r="AD32">
            <v>33.33</v>
          </cell>
          <cell r="AE32">
            <v>21.27</v>
          </cell>
          <cell r="AF32">
            <v>86.2</v>
          </cell>
          <cell r="AG32">
            <v>5.6</v>
          </cell>
          <cell r="AH32">
            <v>7.7</v>
          </cell>
          <cell r="AQ32">
            <v>6.4</v>
          </cell>
          <cell r="AU32">
            <v>15.3</v>
          </cell>
        </row>
        <row r="33">
          <cell r="A33" t="str">
            <v>b59\39.txt</v>
          </cell>
          <cell r="F33" t="str">
            <v>ถุงทอง</v>
          </cell>
          <cell r="Y33">
            <v>53</v>
          </cell>
          <cell r="AA33">
            <v>1.9</v>
          </cell>
          <cell r="AB33">
            <v>0.8</v>
          </cell>
          <cell r="AC33">
            <v>92.5</v>
          </cell>
          <cell r="AD33">
            <v>25.68</v>
          </cell>
          <cell r="AE33">
            <v>23.75</v>
          </cell>
          <cell r="AF33">
            <v>51.9</v>
          </cell>
          <cell r="AG33">
            <v>33.1</v>
          </cell>
          <cell r="AH33">
            <v>14.5</v>
          </cell>
          <cell r="AQ33">
            <v>4.8</v>
          </cell>
          <cell r="AU33">
            <v>29.5</v>
          </cell>
        </row>
        <row r="34">
          <cell r="A34" t="str">
            <v>b59\40.txt</v>
          </cell>
          <cell r="F34" t="str">
            <v>Luck</v>
          </cell>
          <cell r="AQ34">
            <v>5.6</v>
          </cell>
        </row>
        <row r="35">
          <cell r="A35" t="str">
            <v>b59\41.txt</v>
          </cell>
          <cell r="F35" t="str">
            <v>บ๊อบ</v>
          </cell>
          <cell r="Y35">
            <v>11</v>
          </cell>
          <cell r="AA35">
            <v>2.2999999999999998</v>
          </cell>
          <cell r="AB35">
            <v>1.04</v>
          </cell>
          <cell r="AC35">
            <v>68.27</v>
          </cell>
          <cell r="AD35">
            <v>32.39</v>
          </cell>
          <cell r="AE35">
            <v>22.12</v>
          </cell>
          <cell r="AF35">
            <v>68</v>
          </cell>
          <cell r="AG35">
            <v>16.3</v>
          </cell>
          <cell r="AH35">
            <v>15.3</v>
          </cell>
          <cell r="AQ35">
            <v>5</v>
          </cell>
          <cell r="AU35">
            <v>14.3</v>
          </cell>
        </row>
        <row r="36">
          <cell r="A36" t="str">
            <v>b59\42.txt</v>
          </cell>
          <cell r="F36" t="str">
            <v>เชอร์รี่</v>
          </cell>
          <cell r="Y36">
            <v>179</v>
          </cell>
          <cell r="AA36">
            <v>6.9</v>
          </cell>
          <cell r="AB36">
            <v>3.58</v>
          </cell>
          <cell r="AC36">
            <v>59.78</v>
          </cell>
          <cell r="AD36">
            <v>32.24</v>
          </cell>
          <cell r="AE36">
            <v>19.27</v>
          </cell>
          <cell r="AF36">
            <v>72</v>
          </cell>
          <cell r="AG36">
            <v>16</v>
          </cell>
          <cell r="AH36">
            <v>2</v>
          </cell>
          <cell r="AQ36">
            <v>7</v>
          </cell>
          <cell r="AU36">
            <v>16.2</v>
          </cell>
        </row>
        <row r="37">
          <cell r="A37" t="str">
            <v>b59\46.txt</v>
          </cell>
          <cell r="F37" t="str">
            <v>ปุ๊กกี้</v>
          </cell>
          <cell r="Y37">
            <v>162</v>
          </cell>
          <cell r="AA37">
            <v>4.7</v>
          </cell>
          <cell r="AB37">
            <v>2.12</v>
          </cell>
          <cell r="AC37">
            <v>65.569999999999993</v>
          </cell>
          <cell r="AD37">
            <v>33.81</v>
          </cell>
          <cell r="AE37">
            <v>22.17</v>
          </cell>
          <cell r="AF37">
            <v>75</v>
          </cell>
          <cell r="AG37">
            <v>7</v>
          </cell>
          <cell r="AH37">
            <v>9</v>
          </cell>
          <cell r="AQ37">
            <v>5.6</v>
          </cell>
          <cell r="AU37">
            <v>14.5</v>
          </cell>
        </row>
        <row r="38">
          <cell r="A38" t="str">
            <v>b59\47.txt</v>
          </cell>
          <cell r="F38" t="str">
            <v>เจนซี่</v>
          </cell>
          <cell r="Y38">
            <v>33</v>
          </cell>
          <cell r="AA38">
            <v>2.4</v>
          </cell>
          <cell r="AB38">
            <v>0.96</v>
          </cell>
          <cell r="AC38">
            <v>97.92</v>
          </cell>
          <cell r="AD38">
            <v>25.53</v>
          </cell>
          <cell r="AE38">
            <v>25</v>
          </cell>
          <cell r="AF38">
            <v>89</v>
          </cell>
          <cell r="AG38">
            <v>6</v>
          </cell>
          <cell r="AH38">
            <v>5</v>
          </cell>
          <cell r="AQ38">
            <v>8.8000000000000007</v>
          </cell>
        </row>
        <row r="39">
          <cell r="A39" t="str">
            <v>b59\54.txt</v>
          </cell>
          <cell r="F39" t="str">
            <v>หมูสับ</v>
          </cell>
          <cell r="Y39">
            <v>317</v>
          </cell>
          <cell r="AA39">
            <v>8</v>
          </cell>
          <cell r="AB39">
            <v>3.65</v>
          </cell>
          <cell r="AC39">
            <v>68.489999999999995</v>
          </cell>
          <cell r="AD39">
            <v>32</v>
          </cell>
          <cell r="AE39">
            <v>21.92</v>
          </cell>
          <cell r="AF39">
            <v>77.599999999999994</v>
          </cell>
          <cell r="AG39">
            <v>13.9</v>
          </cell>
          <cell r="AH39">
            <v>7.9</v>
          </cell>
          <cell r="AQ39">
            <v>6.8</v>
          </cell>
          <cell r="AU39">
            <v>13.9</v>
          </cell>
        </row>
        <row r="40">
          <cell r="A40" t="str">
            <v>b59\56.txt</v>
          </cell>
          <cell r="F40" t="str">
            <v>เซลซี</v>
          </cell>
          <cell r="Y40">
            <v>67</v>
          </cell>
          <cell r="AA40">
            <v>4.3</v>
          </cell>
          <cell r="AB40">
            <v>1.8</v>
          </cell>
          <cell r="AC40">
            <v>79.44</v>
          </cell>
          <cell r="AD40">
            <v>30.07</v>
          </cell>
          <cell r="AE40">
            <v>23.89</v>
          </cell>
          <cell r="AF40">
            <v>85.9</v>
          </cell>
          <cell r="AG40">
            <v>5.8</v>
          </cell>
          <cell r="AH40">
            <v>5.0999999999999996</v>
          </cell>
          <cell r="AQ40">
            <v>8</v>
          </cell>
          <cell r="AU40">
            <v>15.3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93A5E-D875-2141-8139-12A6753D864C}">
  <dimension ref="A1:AN85"/>
  <sheetViews>
    <sheetView tabSelected="1" workbookViewId="0">
      <selection activeCell="M40" sqref="M40"/>
    </sheetView>
  </sheetViews>
  <sheetFormatPr baseColWidth="10" defaultRowHeight="16" x14ac:dyDescent="0.2"/>
  <sheetData>
    <row r="1" spans="1:40" s="8" customFormat="1" ht="65.25" customHeight="1" thickBo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 t="s">
        <v>29</v>
      </c>
      <c r="AE1" s="5" t="s">
        <v>30</v>
      </c>
      <c r="AF1" s="5" t="s">
        <v>31</v>
      </c>
      <c r="AG1" s="3" t="s">
        <v>32</v>
      </c>
      <c r="AH1" s="4" t="s">
        <v>33</v>
      </c>
      <c r="AI1" s="5" t="s">
        <v>34</v>
      </c>
      <c r="AJ1" s="4" t="s">
        <v>35</v>
      </c>
      <c r="AK1" s="3" t="s">
        <v>36</v>
      </c>
      <c r="AL1" s="3" t="s">
        <v>37</v>
      </c>
      <c r="AM1" s="6" t="s">
        <v>38</v>
      </c>
      <c r="AN1" s="7"/>
    </row>
    <row r="2" spans="1:40" s="8" customFormat="1" ht="22.5" customHeight="1" x14ac:dyDescent="0.2">
      <c r="A2" s="9">
        <v>43</v>
      </c>
      <c r="B2" s="10">
        <v>42376</v>
      </c>
      <c r="C2" s="11">
        <v>59000086</v>
      </c>
      <c r="D2" s="11" t="s">
        <v>39</v>
      </c>
      <c r="E2" s="9" t="s">
        <v>40</v>
      </c>
      <c r="F2" s="9">
        <v>0</v>
      </c>
      <c r="G2" s="12" t="s">
        <v>41</v>
      </c>
      <c r="H2" s="12">
        <v>3.4</v>
      </c>
      <c r="I2" s="12">
        <v>10</v>
      </c>
      <c r="J2" s="9">
        <v>12.77</v>
      </c>
      <c r="K2" s="9">
        <v>24</v>
      </c>
      <c r="L2" s="9"/>
      <c r="M2" s="9"/>
      <c r="N2" s="9"/>
      <c r="O2" s="9">
        <f>INDEX(platelet_b_59,MATCH($D$5,name_b_59,0))</f>
        <v>361</v>
      </c>
      <c r="P2" s="9">
        <f t="shared" ref="P2:P18" si="0">INDEX(hgb_b_59,MATCH($D2,name_b_59,0))</f>
        <v>2.7</v>
      </c>
      <c r="Q2" s="9">
        <f t="shared" ref="Q2:Q18" si="1">INDEX(rbc_b_59,MATCH($D2,name_b_59,0))</f>
        <v>1.26</v>
      </c>
      <c r="R2" s="9">
        <f t="shared" ref="R2:R18" si="2">INDEX(mcv_b_59,MATCH($D2,name_b_59,0))</f>
        <v>79.37</v>
      </c>
      <c r="S2" s="9">
        <f t="shared" ref="S2:S18" si="3">INDEX(mchc_b_59,MATCH($D2,name_b_59,0))</f>
        <v>27</v>
      </c>
      <c r="T2" s="9">
        <f t="shared" ref="T2:T18" si="4">INDEX(mch_b_59,MATCH($D2,name_b_59,0))</f>
        <v>21.43</v>
      </c>
      <c r="U2" s="9">
        <f t="shared" ref="U2:U18" si="5">INDEX(segs_b_59,MATCH($D2,name_b_59,0))</f>
        <v>63.1</v>
      </c>
      <c r="V2" s="9">
        <f t="shared" ref="V2:V18" si="6">INDEX(lymph_b_59,MATCH($D2,name_b_59,0))</f>
        <v>18.7</v>
      </c>
      <c r="W2" s="9">
        <f t="shared" ref="W2:W18" si="7">INDEX(mono_b_59,MATCH($D2,name_b_59,0))</f>
        <v>17.899999999999999</v>
      </c>
      <c r="X2" s="9">
        <f t="shared" ref="X2:X18" si="8">INDEX(protein_refract_b_59,MATCH($D2,name_b_59,0))</f>
        <v>5.2</v>
      </c>
      <c r="Y2" s="9">
        <f t="shared" ref="Y2:Y18" si="9">INDEX(rdw_b_59,MATCH($D2,name_b_59,0))</f>
        <v>24</v>
      </c>
      <c r="Z2" s="11" t="s">
        <v>42</v>
      </c>
      <c r="AA2" s="11" t="s">
        <v>43</v>
      </c>
      <c r="AB2" s="9" t="s">
        <v>44</v>
      </c>
      <c r="AC2" s="13" t="s">
        <v>45</v>
      </c>
      <c r="AD2" s="12">
        <v>57</v>
      </c>
      <c r="AE2" s="14" t="s">
        <v>46</v>
      </c>
      <c r="AF2" s="14">
        <v>100</v>
      </c>
      <c r="AG2" s="15"/>
      <c r="AH2" s="12">
        <f t="shared" ref="AH2:AH5" si="10">(((AF2/(90*H2))*AD2)+I2)</f>
        <v>28.627450980392158</v>
      </c>
      <c r="AI2" s="12">
        <v>23.6</v>
      </c>
      <c r="AJ2" s="12">
        <v>23.6</v>
      </c>
      <c r="AK2" s="9">
        <v>9.0500000000000007</v>
      </c>
      <c r="AL2" s="11" t="s">
        <v>47</v>
      </c>
      <c r="AM2" s="9" t="s">
        <v>48</v>
      </c>
      <c r="AN2" s="9"/>
    </row>
    <row r="3" spans="1:40" s="8" customFormat="1" ht="22.5" customHeight="1" x14ac:dyDescent="0.2">
      <c r="A3" s="9">
        <v>44</v>
      </c>
      <c r="B3" s="10">
        <v>42389</v>
      </c>
      <c r="C3" s="11">
        <v>59000236</v>
      </c>
      <c r="D3" t="s">
        <v>49</v>
      </c>
      <c r="E3" s="9" t="s">
        <v>50</v>
      </c>
      <c r="F3" s="9">
        <v>0</v>
      </c>
      <c r="G3" s="12" t="s">
        <v>41</v>
      </c>
      <c r="H3" s="12">
        <v>5.2</v>
      </c>
      <c r="I3" s="12">
        <v>9.6999999999999993</v>
      </c>
      <c r="J3" s="9">
        <v>16.829999999999998</v>
      </c>
      <c r="K3" s="9">
        <v>156</v>
      </c>
      <c r="L3" s="9">
        <v>6.34</v>
      </c>
      <c r="M3" s="9"/>
      <c r="N3" s="9"/>
      <c r="O3" s="9">
        <f t="shared" ref="O3:O18" si="11">INDEX(platelet_b_59,MATCH(D3,name_b_59,0))</f>
        <v>156</v>
      </c>
      <c r="P3" s="9">
        <f t="shared" si="0"/>
        <v>3.1</v>
      </c>
      <c r="Q3" s="9">
        <f t="shared" si="1"/>
        <v>1.65</v>
      </c>
      <c r="R3" s="9">
        <f t="shared" si="2"/>
        <v>58.79</v>
      </c>
      <c r="S3" s="9">
        <f t="shared" si="3"/>
        <v>31.96</v>
      </c>
      <c r="T3" s="9">
        <f t="shared" si="4"/>
        <v>18.79</v>
      </c>
      <c r="U3" s="9">
        <f t="shared" si="5"/>
        <v>72.900000000000006</v>
      </c>
      <c r="V3" s="9">
        <f t="shared" si="6"/>
        <v>17.2</v>
      </c>
      <c r="W3" s="9">
        <f t="shared" si="7"/>
        <v>9.1999999999999993</v>
      </c>
      <c r="X3" s="9">
        <f t="shared" si="8"/>
        <v>6.2</v>
      </c>
      <c r="Y3" s="9">
        <f t="shared" si="9"/>
        <v>14.1</v>
      </c>
      <c r="Z3" s="11">
        <v>0</v>
      </c>
      <c r="AA3" s="11" t="s">
        <v>51</v>
      </c>
      <c r="AB3" s="9" t="s">
        <v>44</v>
      </c>
      <c r="AC3" s="13" t="s">
        <v>45</v>
      </c>
      <c r="AD3" s="12">
        <v>57</v>
      </c>
      <c r="AE3" s="14" t="s">
        <v>46</v>
      </c>
      <c r="AF3" s="14">
        <v>100</v>
      </c>
      <c r="AG3" s="11"/>
      <c r="AH3" s="12">
        <f t="shared" si="10"/>
        <v>21.879487179487178</v>
      </c>
      <c r="AI3" s="12">
        <v>15.1</v>
      </c>
      <c r="AJ3" s="12">
        <v>15.1</v>
      </c>
      <c r="AK3" s="9">
        <v>12.08</v>
      </c>
      <c r="AL3" s="11" t="s">
        <v>52</v>
      </c>
      <c r="AM3" s="9" t="s">
        <v>53</v>
      </c>
      <c r="AN3" s="9"/>
    </row>
    <row r="4" spans="1:40" s="8" customFormat="1" ht="22.5" customHeight="1" x14ac:dyDescent="0.2">
      <c r="A4" s="9">
        <v>45</v>
      </c>
      <c r="B4" s="10">
        <v>42405</v>
      </c>
      <c r="C4" s="11">
        <v>58000859</v>
      </c>
      <c r="D4" s="11" t="s">
        <v>54</v>
      </c>
      <c r="E4" s="9" t="s">
        <v>40</v>
      </c>
      <c r="F4" s="9">
        <v>0</v>
      </c>
      <c r="G4" s="12" t="s">
        <v>55</v>
      </c>
      <c r="H4" s="12">
        <v>9.1</v>
      </c>
      <c r="I4" s="12">
        <v>2.4</v>
      </c>
      <c r="J4" s="9">
        <v>46.47</v>
      </c>
      <c r="K4" s="9">
        <v>42</v>
      </c>
      <c r="L4" s="9"/>
      <c r="M4" s="9"/>
      <c r="N4" s="9"/>
      <c r="O4" s="9">
        <f t="shared" si="11"/>
        <v>42</v>
      </c>
      <c r="P4" s="9">
        <f t="shared" si="0"/>
        <v>2.8</v>
      </c>
      <c r="Q4" s="9">
        <f t="shared" si="1"/>
        <v>0.22</v>
      </c>
      <c r="R4" s="9">
        <f t="shared" si="2"/>
        <v>109.09</v>
      </c>
      <c r="S4" s="9">
        <f t="shared" si="3"/>
        <v>116.67</v>
      </c>
      <c r="T4" s="9">
        <f t="shared" si="4"/>
        <v>127.27</v>
      </c>
      <c r="U4" s="9">
        <f t="shared" si="5"/>
        <v>88.5</v>
      </c>
      <c r="V4" s="9">
        <f t="shared" si="6"/>
        <v>0</v>
      </c>
      <c r="W4" s="9">
        <f t="shared" si="7"/>
        <v>10.9</v>
      </c>
      <c r="X4" s="9">
        <f t="shared" si="8"/>
        <v>6.8</v>
      </c>
      <c r="Y4" s="9">
        <f t="shared" si="9"/>
        <v>0</v>
      </c>
      <c r="Z4" s="11">
        <v>0</v>
      </c>
      <c r="AA4" s="11" t="s">
        <v>56</v>
      </c>
      <c r="AB4" s="9" t="s">
        <v>44</v>
      </c>
      <c r="AC4" s="16" t="s">
        <v>57</v>
      </c>
      <c r="AD4" s="12">
        <v>56</v>
      </c>
      <c r="AE4" s="14" t="s">
        <v>58</v>
      </c>
      <c r="AF4" s="14">
        <v>200</v>
      </c>
      <c r="AG4" s="11" t="s">
        <v>59</v>
      </c>
      <c r="AH4" s="12">
        <f t="shared" si="10"/>
        <v>16.075213675213675</v>
      </c>
      <c r="AI4" s="12">
        <v>7.6</v>
      </c>
      <c r="AJ4" s="12">
        <v>4.2</v>
      </c>
      <c r="AK4" s="9">
        <v>47.6</v>
      </c>
      <c r="AL4" s="11">
        <v>0</v>
      </c>
      <c r="AM4" s="9" t="s">
        <v>60</v>
      </c>
      <c r="AN4" s="9"/>
    </row>
    <row r="5" spans="1:40" s="8" customFormat="1" ht="22.5" customHeight="1" x14ac:dyDescent="0.2">
      <c r="A5" s="9">
        <v>46</v>
      </c>
      <c r="B5" s="10">
        <v>42413</v>
      </c>
      <c r="C5" s="11">
        <v>58005333</v>
      </c>
      <c r="D5" s="11" t="s">
        <v>61</v>
      </c>
      <c r="E5" s="9" t="s">
        <v>40</v>
      </c>
      <c r="F5" s="9">
        <v>0</v>
      </c>
      <c r="G5" s="12" t="s">
        <v>41</v>
      </c>
      <c r="H5" s="12">
        <v>16</v>
      </c>
      <c r="I5" s="12">
        <v>7.9</v>
      </c>
      <c r="J5" s="9">
        <v>15.23</v>
      </c>
      <c r="K5" s="9">
        <v>361</v>
      </c>
      <c r="L5" s="9"/>
      <c r="M5" s="9"/>
      <c r="N5" s="9"/>
      <c r="O5" s="9">
        <f t="shared" si="11"/>
        <v>361</v>
      </c>
      <c r="P5" s="9">
        <f t="shared" si="0"/>
        <v>1.9</v>
      </c>
      <c r="Q5" s="9">
        <f t="shared" si="1"/>
        <v>1.28</v>
      </c>
      <c r="R5" s="9">
        <f t="shared" si="2"/>
        <v>61.72</v>
      </c>
      <c r="S5" s="9">
        <f t="shared" si="3"/>
        <v>24.05</v>
      </c>
      <c r="T5" s="9">
        <f t="shared" si="4"/>
        <v>14.84</v>
      </c>
      <c r="U5" s="9">
        <f t="shared" si="5"/>
        <v>85.3</v>
      </c>
      <c r="V5" s="9">
        <f t="shared" si="6"/>
        <v>8.1999999999999993</v>
      </c>
      <c r="W5" s="9">
        <f t="shared" si="7"/>
        <v>5.9</v>
      </c>
      <c r="X5" s="9">
        <f t="shared" si="8"/>
        <v>5.4</v>
      </c>
      <c r="Y5" s="9">
        <f t="shared" si="9"/>
        <v>26</v>
      </c>
      <c r="Z5" s="11">
        <v>0</v>
      </c>
      <c r="AA5" s="11" t="s">
        <v>62</v>
      </c>
      <c r="AB5" s="9" t="s">
        <v>44</v>
      </c>
      <c r="AC5" s="16" t="s">
        <v>63</v>
      </c>
      <c r="AD5" s="12">
        <v>42.5</v>
      </c>
      <c r="AE5" s="14" t="s">
        <v>46</v>
      </c>
      <c r="AF5" s="14">
        <v>300</v>
      </c>
      <c r="AG5" s="11"/>
      <c r="AH5" s="12">
        <f t="shared" si="10"/>
        <v>16.75416666666667</v>
      </c>
      <c r="AI5" s="12">
        <v>12.3</v>
      </c>
      <c r="AJ5" s="12">
        <v>12.3</v>
      </c>
      <c r="AK5" s="9">
        <v>14.26</v>
      </c>
      <c r="AL5" s="11">
        <v>0</v>
      </c>
      <c r="AM5" s="9" t="s">
        <v>64</v>
      </c>
      <c r="AN5" s="9"/>
    </row>
    <row r="6" spans="1:40" s="8" customFormat="1" ht="22.5" customHeight="1" x14ac:dyDescent="0.2">
      <c r="A6" s="9">
        <v>47</v>
      </c>
      <c r="B6" s="10">
        <v>42442</v>
      </c>
      <c r="C6" s="11">
        <v>59001131</v>
      </c>
      <c r="D6" s="11" t="s">
        <v>65</v>
      </c>
      <c r="E6" s="9" t="s">
        <v>40</v>
      </c>
      <c r="F6" s="9">
        <v>0</v>
      </c>
      <c r="G6" s="12" t="s">
        <v>66</v>
      </c>
      <c r="H6" s="12">
        <v>1</v>
      </c>
      <c r="I6" s="12">
        <v>13.2</v>
      </c>
      <c r="J6" s="9">
        <v>36.24</v>
      </c>
      <c r="K6" s="9">
        <v>162</v>
      </c>
      <c r="L6" s="9"/>
      <c r="M6" s="9"/>
      <c r="N6" s="9"/>
      <c r="O6" s="9">
        <f t="shared" si="11"/>
        <v>162</v>
      </c>
      <c r="P6" s="9">
        <f t="shared" si="0"/>
        <v>4</v>
      </c>
      <c r="Q6" s="9">
        <f t="shared" si="1"/>
        <v>1.7</v>
      </c>
      <c r="R6" s="9">
        <f t="shared" si="2"/>
        <v>77.650000000000006</v>
      </c>
      <c r="S6" s="9">
        <f t="shared" si="3"/>
        <v>30.3</v>
      </c>
      <c r="T6" s="9">
        <f t="shared" si="4"/>
        <v>23.53</v>
      </c>
      <c r="U6" s="9">
        <f t="shared" si="5"/>
        <v>87.7</v>
      </c>
      <c r="V6" s="9">
        <f t="shared" si="6"/>
        <v>7.9</v>
      </c>
      <c r="W6" s="9">
        <f t="shared" si="7"/>
        <v>4.0999999999999996</v>
      </c>
      <c r="X6" s="9">
        <f t="shared" si="8"/>
        <v>5.4</v>
      </c>
      <c r="Y6" s="9">
        <f t="shared" si="9"/>
        <v>15</v>
      </c>
      <c r="Z6" s="11">
        <v>0</v>
      </c>
      <c r="AA6" s="11" t="s">
        <v>67</v>
      </c>
      <c r="AB6" s="9" t="s">
        <v>44</v>
      </c>
      <c r="AC6" s="16" t="s">
        <v>68</v>
      </c>
      <c r="AD6" s="12" t="s">
        <v>69</v>
      </c>
      <c r="AE6" s="14" t="s">
        <v>58</v>
      </c>
      <c r="AF6" s="14">
        <v>30</v>
      </c>
      <c r="AG6" s="11" t="s">
        <v>70</v>
      </c>
      <c r="AH6" s="12">
        <f>((AF6/H6)+I6)</f>
        <v>43.2</v>
      </c>
      <c r="AI6" s="12">
        <v>46.3</v>
      </c>
      <c r="AJ6" s="12">
        <v>46.3</v>
      </c>
      <c r="AK6" s="9">
        <v>40.57</v>
      </c>
      <c r="AL6" s="11">
        <v>0</v>
      </c>
      <c r="AM6" s="9" t="s">
        <v>71</v>
      </c>
      <c r="AN6" s="9"/>
    </row>
    <row r="7" spans="1:40" s="8" customFormat="1" ht="22.5" customHeight="1" x14ac:dyDescent="0.2">
      <c r="A7" s="9">
        <v>48</v>
      </c>
      <c r="B7" s="10">
        <v>42416</v>
      </c>
      <c r="C7" s="11">
        <v>59000659</v>
      </c>
      <c r="D7" s="11" t="s">
        <v>72</v>
      </c>
      <c r="E7" s="9" t="s">
        <v>50</v>
      </c>
      <c r="F7" s="9">
        <v>0</v>
      </c>
      <c r="G7" s="12" t="s">
        <v>41</v>
      </c>
      <c r="H7" s="17"/>
      <c r="I7" s="12">
        <v>10.7</v>
      </c>
      <c r="J7" s="9">
        <v>6.85</v>
      </c>
      <c r="K7" s="9">
        <v>204</v>
      </c>
      <c r="L7" s="9"/>
      <c r="M7" s="9"/>
      <c r="N7" s="9"/>
      <c r="O7" s="9">
        <f t="shared" si="11"/>
        <v>204</v>
      </c>
      <c r="P7" s="9">
        <f t="shared" si="0"/>
        <v>3.2</v>
      </c>
      <c r="Q7" s="9">
        <f t="shared" si="1"/>
        <v>1.53</v>
      </c>
      <c r="R7" s="9">
        <f t="shared" si="2"/>
        <v>69.930000000000007</v>
      </c>
      <c r="S7" s="9">
        <f t="shared" si="3"/>
        <v>29.91</v>
      </c>
      <c r="T7" s="9">
        <f t="shared" si="4"/>
        <v>20.92</v>
      </c>
      <c r="U7" s="9">
        <f t="shared" si="5"/>
        <v>83.4</v>
      </c>
      <c r="V7" s="9">
        <f t="shared" si="6"/>
        <v>5.4</v>
      </c>
      <c r="W7" s="9">
        <f t="shared" si="7"/>
        <v>10.9</v>
      </c>
      <c r="X7" s="9">
        <f t="shared" si="8"/>
        <v>11.2</v>
      </c>
      <c r="Y7" s="9">
        <f t="shared" si="9"/>
        <v>19.600000000000001</v>
      </c>
      <c r="Z7" s="11">
        <v>0</v>
      </c>
      <c r="AA7" s="11" t="s">
        <v>73</v>
      </c>
      <c r="AB7" s="9" t="s">
        <v>44</v>
      </c>
      <c r="AC7" s="16" t="s">
        <v>74</v>
      </c>
      <c r="AD7" s="12">
        <v>55</v>
      </c>
      <c r="AE7" s="14" t="s">
        <v>75</v>
      </c>
      <c r="AF7" s="14">
        <v>350</v>
      </c>
      <c r="AG7" s="11"/>
      <c r="AH7" s="17" t="e">
        <f t="shared" ref="AH7:AH8" si="12">(((AF7/(90*H7))*AD7)+I7)</f>
        <v>#DIV/0!</v>
      </c>
      <c r="AI7" s="12">
        <v>21.8</v>
      </c>
      <c r="AJ7" s="12">
        <v>21.8</v>
      </c>
      <c r="AK7" s="9">
        <v>8.7200000000000006</v>
      </c>
      <c r="AL7" s="11">
        <v>0</v>
      </c>
      <c r="AM7" s="9" t="s">
        <v>76</v>
      </c>
      <c r="AN7" s="9"/>
    </row>
    <row r="8" spans="1:40" s="8" customFormat="1" ht="22.5" customHeight="1" x14ac:dyDescent="0.2">
      <c r="A8" s="9">
        <v>49</v>
      </c>
      <c r="B8" s="10">
        <v>42417</v>
      </c>
      <c r="C8" s="11">
        <v>59000758</v>
      </c>
      <c r="D8" s="11" t="s">
        <v>77</v>
      </c>
      <c r="E8" s="9" t="s">
        <v>40</v>
      </c>
      <c r="F8" s="9">
        <v>0</v>
      </c>
      <c r="G8" s="12" t="s">
        <v>78</v>
      </c>
      <c r="H8" s="12">
        <v>8.1999999999999993</v>
      </c>
      <c r="I8" s="12">
        <v>12.9</v>
      </c>
      <c r="J8" s="9">
        <v>72.599999999999994</v>
      </c>
      <c r="K8" s="9">
        <v>45</v>
      </c>
      <c r="L8" s="9"/>
      <c r="M8" s="9"/>
      <c r="N8" s="9"/>
      <c r="O8" s="9">
        <f t="shared" si="11"/>
        <v>45</v>
      </c>
      <c r="P8" s="9">
        <f t="shared" si="0"/>
        <v>3.8</v>
      </c>
      <c r="Q8" s="9">
        <f t="shared" si="1"/>
        <v>10</v>
      </c>
      <c r="R8" s="9">
        <f t="shared" si="2"/>
        <v>81.650000000000006</v>
      </c>
      <c r="S8" s="9">
        <f t="shared" si="3"/>
        <v>29.46</v>
      </c>
      <c r="T8" s="9">
        <f t="shared" si="4"/>
        <v>24.05</v>
      </c>
      <c r="U8" s="9">
        <f t="shared" si="5"/>
        <v>93.1</v>
      </c>
      <c r="V8" s="9">
        <f t="shared" si="6"/>
        <v>1</v>
      </c>
      <c r="W8" s="9">
        <f t="shared" si="7"/>
        <v>5.9</v>
      </c>
      <c r="X8" s="9">
        <f t="shared" si="8"/>
        <v>5.6</v>
      </c>
      <c r="Y8" s="9">
        <f t="shared" si="9"/>
        <v>45</v>
      </c>
      <c r="Z8" s="11">
        <v>0</v>
      </c>
      <c r="AA8" s="11" t="s">
        <v>79</v>
      </c>
      <c r="AB8" s="9" t="s">
        <v>44</v>
      </c>
      <c r="AC8" s="16" t="s">
        <v>80</v>
      </c>
      <c r="AD8" s="12">
        <v>46</v>
      </c>
      <c r="AE8" s="14" t="s">
        <v>46</v>
      </c>
      <c r="AF8" s="14">
        <v>350</v>
      </c>
      <c r="AG8" s="11"/>
      <c r="AH8" s="12">
        <f t="shared" si="12"/>
        <v>34.715718157181577</v>
      </c>
      <c r="AI8" s="12">
        <v>36.700000000000003</v>
      </c>
      <c r="AJ8" s="12">
        <v>36.700000000000003</v>
      </c>
      <c r="AK8" s="9">
        <v>85.86</v>
      </c>
      <c r="AL8" s="11">
        <v>0</v>
      </c>
      <c r="AM8" s="9" t="s">
        <v>81</v>
      </c>
      <c r="AN8" s="9"/>
    </row>
    <row r="9" spans="1:40" s="48" customFormat="1" ht="22.5" customHeight="1" x14ac:dyDescent="0.2">
      <c r="A9" s="42">
        <v>50</v>
      </c>
      <c r="B9" s="43">
        <v>42420</v>
      </c>
      <c r="C9" s="44">
        <v>58005214</v>
      </c>
      <c r="D9" s="44" t="s">
        <v>82</v>
      </c>
      <c r="E9" s="42" t="s">
        <v>50</v>
      </c>
      <c r="F9" s="42"/>
      <c r="G9" s="45" t="s">
        <v>55</v>
      </c>
      <c r="H9" s="45">
        <v>5</v>
      </c>
      <c r="I9" s="45">
        <v>10</v>
      </c>
      <c r="J9" s="42"/>
      <c r="K9" s="42"/>
      <c r="L9" s="42"/>
      <c r="M9" s="42"/>
      <c r="N9" s="42"/>
      <c r="O9" s="42" t="e">
        <f t="shared" si="11"/>
        <v>#N/A</v>
      </c>
      <c r="P9" s="42" t="e">
        <f t="shared" si="0"/>
        <v>#N/A</v>
      </c>
      <c r="Q9" s="42" t="e">
        <f t="shared" si="1"/>
        <v>#N/A</v>
      </c>
      <c r="R9" s="42" t="e">
        <f t="shared" si="2"/>
        <v>#N/A</v>
      </c>
      <c r="S9" s="42" t="e">
        <f t="shared" si="3"/>
        <v>#N/A</v>
      </c>
      <c r="T9" s="42" t="e">
        <f t="shared" si="4"/>
        <v>#N/A</v>
      </c>
      <c r="U9" s="42" t="e">
        <f t="shared" si="5"/>
        <v>#N/A</v>
      </c>
      <c r="V9" s="42" t="e">
        <f t="shared" si="6"/>
        <v>#N/A</v>
      </c>
      <c r="W9" s="42" t="e">
        <f t="shared" si="7"/>
        <v>#N/A</v>
      </c>
      <c r="X9" s="42" t="e">
        <f t="shared" si="8"/>
        <v>#N/A</v>
      </c>
      <c r="Y9" s="42" t="e">
        <f t="shared" si="9"/>
        <v>#N/A</v>
      </c>
      <c r="Z9" s="44"/>
      <c r="AA9" s="44"/>
      <c r="AB9" s="42" t="s">
        <v>44</v>
      </c>
      <c r="AC9" s="46" t="s">
        <v>83</v>
      </c>
      <c r="AD9" s="45" t="s">
        <v>69</v>
      </c>
      <c r="AE9" s="47" t="s">
        <v>58</v>
      </c>
      <c r="AF9" s="47">
        <v>100</v>
      </c>
      <c r="AG9" s="44"/>
      <c r="AH9" s="45">
        <f t="shared" ref="AH9:AH10" si="13">((AF9/H9)+I9)</f>
        <v>30</v>
      </c>
      <c r="AI9" s="45">
        <v>23.9</v>
      </c>
      <c r="AJ9" s="45">
        <v>23.9</v>
      </c>
      <c r="AK9" s="42"/>
      <c r="AL9" s="44"/>
      <c r="AM9" s="42"/>
      <c r="AN9" s="42"/>
    </row>
    <row r="10" spans="1:40" s="8" customFormat="1" ht="22.5" customHeight="1" x14ac:dyDescent="0.2">
      <c r="A10" s="9">
        <v>51</v>
      </c>
      <c r="B10" s="10">
        <v>42441</v>
      </c>
      <c r="C10" s="11">
        <v>59001135</v>
      </c>
      <c r="D10" s="11" t="s">
        <v>84</v>
      </c>
      <c r="E10" s="9" t="s">
        <v>50</v>
      </c>
      <c r="F10" s="9">
        <v>0</v>
      </c>
      <c r="G10" s="12" t="s">
        <v>85</v>
      </c>
      <c r="H10" s="12">
        <v>11</v>
      </c>
      <c r="I10" s="12">
        <v>9.6</v>
      </c>
      <c r="J10" s="9">
        <v>26.85</v>
      </c>
      <c r="K10" s="9">
        <v>239</v>
      </c>
      <c r="L10" s="9"/>
      <c r="M10" s="9"/>
      <c r="N10" s="9"/>
      <c r="O10" s="9">
        <f t="shared" si="11"/>
        <v>239</v>
      </c>
      <c r="P10" s="9">
        <f t="shared" si="0"/>
        <v>2.9</v>
      </c>
      <c r="Q10" s="9">
        <f t="shared" si="1"/>
        <v>1.33</v>
      </c>
      <c r="R10" s="9">
        <f t="shared" si="2"/>
        <v>72.180000000000007</v>
      </c>
      <c r="S10" s="9">
        <f t="shared" si="3"/>
        <v>30.21</v>
      </c>
      <c r="T10" s="9">
        <f t="shared" si="4"/>
        <v>21.8</v>
      </c>
      <c r="U10" s="9">
        <f t="shared" si="5"/>
        <v>71.900000000000006</v>
      </c>
      <c r="V10" s="9">
        <f t="shared" si="6"/>
        <v>20.399999999999999</v>
      </c>
      <c r="W10" s="9">
        <f t="shared" si="7"/>
        <v>6.5</v>
      </c>
      <c r="X10" s="9">
        <f t="shared" si="8"/>
        <v>5.8</v>
      </c>
      <c r="Y10" s="9">
        <f t="shared" si="9"/>
        <v>18</v>
      </c>
      <c r="Z10" s="11">
        <v>0</v>
      </c>
      <c r="AA10" s="11" t="s">
        <v>86</v>
      </c>
      <c r="AB10" s="9" t="s">
        <v>44</v>
      </c>
      <c r="AC10" s="16" t="s">
        <v>83</v>
      </c>
      <c r="AD10" s="12" t="s">
        <v>69</v>
      </c>
      <c r="AE10" s="14" t="s">
        <v>58</v>
      </c>
      <c r="AF10" s="14">
        <v>180</v>
      </c>
      <c r="AG10" s="11"/>
      <c r="AH10" s="12">
        <f t="shared" si="13"/>
        <v>25.963636363636361</v>
      </c>
      <c r="AI10" s="12">
        <v>21.6</v>
      </c>
      <c r="AJ10" s="12">
        <v>21.6</v>
      </c>
      <c r="AK10" s="9">
        <v>32.72</v>
      </c>
      <c r="AL10" s="11">
        <v>0</v>
      </c>
      <c r="AM10" s="9" t="s">
        <v>87</v>
      </c>
      <c r="AN10" s="9"/>
    </row>
    <row r="11" spans="1:40" s="8" customFormat="1" ht="22.5" customHeight="1" x14ac:dyDescent="0.2">
      <c r="A11" s="9">
        <v>52</v>
      </c>
      <c r="B11" s="10">
        <v>42426</v>
      </c>
      <c r="C11" s="11">
        <v>59000894</v>
      </c>
      <c r="D11" s="11" t="s">
        <v>88</v>
      </c>
      <c r="E11" s="9" t="s">
        <v>50</v>
      </c>
      <c r="F11" s="9">
        <v>0</v>
      </c>
      <c r="G11" s="12" t="s">
        <v>89</v>
      </c>
      <c r="H11" s="12">
        <v>13</v>
      </c>
      <c r="I11" s="12">
        <v>14.8</v>
      </c>
      <c r="J11" s="9">
        <v>11.53</v>
      </c>
      <c r="K11" s="9">
        <v>94</v>
      </c>
      <c r="L11" s="9"/>
      <c r="M11" s="9"/>
      <c r="N11" s="9"/>
      <c r="O11" s="9">
        <f t="shared" si="11"/>
        <v>94</v>
      </c>
      <c r="P11" s="9">
        <f t="shared" si="0"/>
        <v>4.4000000000000004</v>
      </c>
      <c r="Q11" s="9">
        <f t="shared" si="1"/>
        <v>1.97</v>
      </c>
      <c r="R11" s="9">
        <f t="shared" si="2"/>
        <v>75.13</v>
      </c>
      <c r="S11" s="9">
        <f t="shared" si="3"/>
        <v>29.73</v>
      </c>
      <c r="T11" s="9">
        <f t="shared" si="4"/>
        <v>22.34</v>
      </c>
      <c r="U11" s="9">
        <f t="shared" si="5"/>
        <v>91.7</v>
      </c>
      <c r="V11" s="9">
        <f t="shared" si="6"/>
        <v>3.4</v>
      </c>
      <c r="W11" s="9">
        <f t="shared" si="7"/>
        <v>3.1</v>
      </c>
      <c r="X11" s="9">
        <f t="shared" si="8"/>
        <v>5.8</v>
      </c>
      <c r="Y11" s="9">
        <f t="shared" si="9"/>
        <v>14.3</v>
      </c>
      <c r="Z11" s="11">
        <v>0</v>
      </c>
      <c r="AA11" s="11" t="s">
        <v>90</v>
      </c>
      <c r="AB11" s="9" t="s">
        <v>44</v>
      </c>
      <c r="AC11" s="16" t="s">
        <v>91</v>
      </c>
      <c r="AD11" s="12">
        <v>55</v>
      </c>
      <c r="AE11" s="14" t="s">
        <v>46</v>
      </c>
      <c r="AF11" s="14">
        <v>320</v>
      </c>
      <c r="AG11" s="11"/>
      <c r="AH11" s="12">
        <f t="shared" ref="AH11:AH23" si="14">(((AF11/(90*H11))*AD11)+I11)</f>
        <v>29.842735042735043</v>
      </c>
      <c r="AI11" s="12">
        <v>23.5</v>
      </c>
      <c r="AJ11" s="12">
        <v>23.5</v>
      </c>
      <c r="AK11" s="9">
        <v>18.5</v>
      </c>
      <c r="AL11" s="11">
        <v>0</v>
      </c>
      <c r="AM11" s="9" t="s">
        <v>92</v>
      </c>
      <c r="AN11" s="9"/>
    </row>
    <row r="12" spans="1:40" s="8" customFormat="1" ht="22.5" customHeight="1" x14ac:dyDescent="0.2">
      <c r="A12" s="9">
        <v>53</v>
      </c>
      <c r="B12" s="10">
        <v>42443</v>
      </c>
      <c r="C12" s="11">
        <v>59001147</v>
      </c>
      <c r="D12" s="11" t="s">
        <v>93</v>
      </c>
      <c r="E12" s="9" t="s">
        <v>40</v>
      </c>
      <c r="F12" s="9">
        <v>0</v>
      </c>
      <c r="G12" s="12" t="s">
        <v>41</v>
      </c>
      <c r="H12" s="12">
        <v>3.8</v>
      </c>
      <c r="I12" s="12">
        <v>5.7</v>
      </c>
      <c r="J12" s="9">
        <v>16.48</v>
      </c>
      <c r="K12" s="9">
        <v>6</v>
      </c>
      <c r="L12" s="9"/>
      <c r="M12" s="9"/>
      <c r="N12" s="9"/>
      <c r="O12" s="9">
        <f t="shared" si="11"/>
        <v>6</v>
      </c>
      <c r="P12" s="9">
        <f t="shared" si="0"/>
        <v>1.7</v>
      </c>
      <c r="Q12" s="9">
        <f t="shared" si="1"/>
        <v>0.73</v>
      </c>
      <c r="R12" s="9">
        <f t="shared" si="2"/>
        <v>78.08</v>
      </c>
      <c r="S12" s="9">
        <f t="shared" si="3"/>
        <v>29.82</v>
      </c>
      <c r="T12" s="9">
        <f t="shared" si="4"/>
        <v>23.29</v>
      </c>
      <c r="U12" s="9">
        <f t="shared" si="5"/>
        <v>60.3</v>
      </c>
      <c r="V12" s="9">
        <f t="shared" si="6"/>
        <v>22.9</v>
      </c>
      <c r="W12" s="9">
        <f t="shared" si="7"/>
        <v>16.600000000000001</v>
      </c>
      <c r="X12" s="9">
        <f t="shared" si="8"/>
        <v>6.2</v>
      </c>
      <c r="Y12" s="9">
        <f t="shared" si="9"/>
        <v>14.5</v>
      </c>
      <c r="Z12" s="11">
        <v>0</v>
      </c>
      <c r="AA12" s="11" t="s">
        <v>94</v>
      </c>
      <c r="AB12" s="9" t="s">
        <v>44</v>
      </c>
      <c r="AC12" s="16" t="s">
        <v>91</v>
      </c>
      <c r="AD12" s="12">
        <v>55</v>
      </c>
      <c r="AE12" s="14" t="s">
        <v>46</v>
      </c>
      <c r="AF12" s="14">
        <v>130</v>
      </c>
      <c r="AG12" s="11"/>
      <c r="AH12" s="12">
        <f t="shared" si="14"/>
        <v>26.606432748538008</v>
      </c>
      <c r="AI12" s="12">
        <v>26.5</v>
      </c>
      <c r="AJ12" s="12">
        <v>26.5</v>
      </c>
      <c r="AK12" s="9">
        <v>12.28</v>
      </c>
      <c r="AL12" s="11">
        <v>0</v>
      </c>
      <c r="AM12" s="9" t="s">
        <v>95</v>
      </c>
      <c r="AN12" s="9"/>
    </row>
    <row r="13" spans="1:40" s="48" customFormat="1" ht="22.5" customHeight="1" x14ac:dyDescent="0.2">
      <c r="A13" s="42">
        <v>54</v>
      </c>
      <c r="B13" s="43">
        <v>42436</v>
      </c>
      <c r="C13" s="44">
        <v>59000951</v>
      </c>
      <c r="D13" s="44" t="s">
        <v>96</v>
      </c>
      <c r="E13" s="42"/>
      <c r="F13" s="42"/>
      <c r="G13" s="45" t="s">
        <v>97</v>
      </c>
      <c r="H13" s="45">
        <v>37</v>
      </c>
      <c r="I13" s="45">
        <v>16</v>
      </c>
      <c r="J13" s="42"/>
      <c r="K13" s="42"/>
      <c r="L13" s="42"/>
      <c r="M13" s="42"/>
      <c r="N13" s="42"/>
      <c r="O13" s="42" t="e">
        <f t="shared" si="11"/>
        <v>#N/A</v>
      </c>
      <c r="P13" s="42" t="e">
        <f t="shared" si="0"/>
        <v>#N/A</v>
      </c>
      <c r="Q13" s="42" t="e">
        <f t="shared" si="1"/>
        <v>#N/A</v>
      </c>
      <c r="R13" s="42" t="e">
        <f t="shared" si="2"/>
        <v>#N/A</v>
      </c>
      <c r="S13" s="42" t="e">
        <f t="shared" si="3"/>
        <v>#N/A</v>
      </c>
      <c r="T13" s="42" t="e">
        <f t="shared" si="4"/>
        <v>#N/A</v>
      </c>
      <c r="U13" s="42" t="e">
        <f t="shared" si="5"/>
        <v>#N/A</v>
      </c>
      <c r="V13" s="42" t="e">
        <f t="shared" si="6"/>
        <v>#N/A</v>
      </c>
      <c r="W13" s="42" t="e">
        <f t="shared" si="7"/>
        <v>#N/A</v>
      </c>
      <c r="X13" s="42" t="e">
        <f t="shared" si="8"/>
        <v>#N/A</v>
      </c>
      <c r="Y13" s="42" t="e">
        <f t="shared" si="9"/>
        <v>#N/A</v>
      </c>
      <c r="Z13" s="44"/>
      <c r="AA13" s="44"/>
      <c r="AB13" s="42" t="s">
        <v>44</v>
      </c>
      <c r="AC13" s="46" t="s">
        <v>98</v>
      </c>
      <c r="AD13" s="45">
        <v>47.5</v>
      </c>
      <c r="AE13" s="47" t="s">
        <v>46</v>
      </c>
      <c r="AF13" s="47">
        <v>350</v>
      </c>
      <c r="AG13" s="44"/>
      <c r="AH13" s="45">
        <f t="shared" si="14"/>
        <v>20.992492492492492</v>
      </c>
      <c r="AI13" s="45">
        <v>17.899999999999999</v>
      </c>
      <c r="AJ13" s="45">
        <v>17.899999999999999</v>
      </c>
      <c r="AK13" s="42"/>
      <c r="AL13" s="44"/>
      <c r="AM13" s="42"/>
      <c r="AN13" s="42"/>
    </row>
    <row r="14" spans="1:40" s="8" customFormat="1" ht="22.5" customHeight="1" x14ac:dyDescent="0.2">
      <c r="A14" s="9">
        <v>57</v>
      </c>
      <c r="B14" s="10">
        <v>42486</v>
      </c>
      <c r="C14" s="11">
        <v>59001685</v>
      </c>
      <c r="D14" s="11" t="s">
        <v>99</v>
      </c>
      <c r="E14" s="9" t="s">
        <v>40</v>
      </c>
      <c r="F14" s="9">
        <v>0</v>
      </c>
      <c r="G14" s="12" t="s">
        <v>78</v>
      </c>
      <c r="H14" s="12">
        <v>23.3</v>
      </c>
      <c r="I14" s="12">
        <v>11.2</v>
      </c>
      <c r="J14" s="9">
        <v>57.41</v>
      </c>
      <c r="K14" s="9">
        <v>5</v>
      </c>
      <c r="L14" s="9"/>
      <c r="M14" s="9"/>
      <c r="N14" s="9"/>
      <c r="O14" s="9">
        <f t="shared" si="11"/>
        <v>5</v>
      </c>
      <c r="P14" s="9">
        <f t="shared" si="0"/>
        <v>3.2</v>
      </c>
      <c r="Q14" s="9">
        <f t="shared" si="1"/>
        <v>1.44</v>
      </c>
      <c r="R14" s="9">
        <f t="shared" si="2"/>
        <v>77.78</v>
      </c>
      <c r="S14" s="9">
        <f t="shared" si="3"/>
        <v>28.57</v>
      </c>
      <c r="T14" s="9">
        <f t="shared" si="4"/>
        <v>22.22</v>
      </c>
      <c r="U14" s="9">
        <f t="shared" si="5"/>
        <v>82.8</v>
      </c>
      <c r="V14" s="9">
        <f t="shared" si="6"/>
        <v>7.6</v>
      </c>
      <c r="W14" s="9">
        <f t="shared" si="7"/>
        <v>9.5</v>
      </c>
      <c r="X14" s="9">
        <f t="shared" si="8"/>
        <v>6</v>
      </c>
      <c r="Y14" s="9">
        <f t="shared" si="9"/>
        <v>22.5</v>
      </c>
      <c r="Z14" s="11" t="s">
        <v>42</v>
      </c>
      <c r="AA14" s="11" t="s">
        <v>100</v>
      </c>
      <c r="AB14" s="9" t="s">
        <v>44</v>
      </c>
      <c r="AC14" s="16" t="s">
        <v>101</v>
      </c>
      <c r="AD14" s="12">
        <v>45</v>
      </c>
      <c r="AE14" s="14" t="s">
        <v>46</v>
      </c>
      <c r="AF14" s="14">
        <v>350</v>
      </c>
      <c r="AG14" s="11"/>
      <c r="AH14" s="12">
        <f t="shared" si="14"/>
        <v>18.710729613733903</v>
      </c>
      <c r="AI14" s="12">
        <v>17</v>
      </c>
      <c r="AJ14" s="12">
        <v>17</v>
      </c>
      <c r="AK14" s="9">
        <v>55.93</v>
      </c>
      <c r="AL14" s="11" t="s">
        <v>102</v>
      </c>
      <c r="AM14" s="9" t="s">
        <v>103</v>
      </c>
      <c r="AN14" s="9"/>
    </row>
    <row r="15" spans="1:40" s="8" customFormat="1" ht="22.5" customHeight="1" x14ac:dyDescent="0.2">
      <c r="A15" s="9">
        <v>59</v>
      </c>
      <c r="B15" s="10">
        <v>42510</v>
      </c>
      <c r="C15" s="11">
        <v>59002010</v>
      </c>
      <c r="D15" s="11" t="s">
        <v>104</v>
      </c>
      <c r="E15" s="9" t="s">
        <v>50</v>
      </c>
      <c r="F15" s="9">
        <v>0</v>
      </c>
      <c r="G15" s="12" t="s">
        <v>41</v>
      </c>
      <c r="H15" s="12">
        <v>15</v>
      </c>
      <c r="I15" s="12">
        <v>10.199999999999999</v>
      </c>
      <c r="J15" s="9">
        <v>26.16</v>
      </c>
      <c r="K15" s="9">
        <v>166</v>
      </c>
      <c r="L15" s="9"/>
      <c r="M15" s="9"/>
      <c r="N15" s="9"/>
      <c r="O15" s="9">
        <f t="shared" si="11"/>
        <v>166</v>
      </c>
      <c r="P15" s="9">
        <f t="shared" si="0"/>
        <v>2.4</v>
      </c>
      <c r="Q15" s="9">
        <f t="shared" si="1"/>
        <v>1.68</v>
      </c>
      <c r="R15" s="9">
        <f t="shared" si="2"/>
        <v>60.71</v>
      </c>
      <c r="S15" s="9">
        <f t="shared" si="3"/>
        <v>23.53</v>
      </c>
      <c r="T15" s="9">
        <f t="shared" si="4"/>
        <v>14.29</v>
      </c>
      <c r="U15" s="9">
        <f t="shared" si="5"/>
        <v>84.8</v>
      </c>
      <c r="V15" s="9">
        <f t="shared" si="6"/>
        <v>11.4</v>
      </c>
      <c r="W15" s="9">
        <f t="shared" si="7"/>
        <v>3.8</v>
      </c>
      <c r="X15" s="9">
        <f t="shared" si="8"/>
        <v>6.8</v>
      </c>
      <c r="Y15" s="9">
        <f t="shared" si="9"/>
        <v>22.5</v>
      </c>
      <c r="Z15" s="11">
        <v>0</v>
      </c>
      <c r="AA15" s="11" t="s">
        <v>105</v>
      </c>
      <c r="AB15" s="9" t="s">
        <v>44</v>
      </c>
      <c r="AC15" s="16" t="s">
        <v>106</v>
      </c>
      <c r="AD15" s="12">
        <v>48</v>
      </c>
      <c r="AE15" s="14" t="s">
        <v>46</v>
      </c>
      <c r="AF15" s="14">
        <v>300</v>
      </c>
      <c r="AG15" s="11"/>
      <c r="AH15" s="12">
        <f t="shared" si="14"/>
        <v>20.866666666666667</v>
      </c>
      <c r="AI15" s="12">
        <v>24.4</v>
      </c>
      <c r="AJ15" s="12">
        <v>24.4</v>
      </c>
      <c r="AK15" s="9">
        <v>21.67</v>
      </c>
      <c r="AL15" s="11" t="s">
        <v>107</v>
      </c>
      <c r="AM15" s="9" t="s">
        <v>108</v>
      </c>
      <c r="AN15" s="9"/>
    </row>
    <row r="16" spans="1:40" s="8" customFormat="1" ht="22.5" customHeight="1" x14ac:dyDescent="0.2">
      <c r="A16" s="9">
        <v>60</v>
      </c>
      <c r="B16" s="10">
        <v>42519</v>
      </c>
      <c r="C16" s="11">
        <v>59002088</v>
      </c>
      <c r="D16" s="11" t="s">
        <v>109</v>
      </c>
      <c r="E16" s="9" t="s">
        <v>40</v>
      </c>
      <c r="F16" s="9">
        <v>0</v>
      </c>
      <c r="G16" s="12" t="s">
        <v>41</v>
      </c>
      <c r="H16" s="17"/>
      <c r="I16" s="12">
        <v>8.5</v>
      </c>
      <c r="J16" s="9">
        <v>12.31</v>
      </c>
      <c r="K16" s="9">
        <v>52</v>
      </c>
      <c r="L16" s="9"/>
      <c r="M16" s="9"/>
      <c r="N16" s="9"/>
      <c r="O16" s="9">
        <f t="shared" si="11"/>
        <v>52</v>
      </c>
      <c r="P16" s="9">
        <f t="shared" si="0"/>
        <v>2.6</v>
      </c>
      <c r="Q16" s="9">
        <f t="shared" si="1"/>
        <v>1.0900000000000001</v>
      </c>
      <c r="R16" s="9">
        <f t="shared" si="2"/>
        <v>77.98</v>
      </c>
      <c r="S16" s="9">
        <f t="shared" si="3"/>
        <v>30.59</v>
      </c>
      <c r="T16" s="9">
        <f t="shared" si="4"/>
        <v>23.85</v>
      </c>
      <c r="U16" s="9">
        <f t="shared" si="5"/>
        <v>92</v>
      </c>
      <c r="V16" s="9">
        <f t="shared" si="6"/>
        <v>6.3</v>
      </c>
      <c r="W16" s="9">
        <f t="shared" si="7"/>
        <v>1.7</v>
      </c>
      <c r="X16" s="9">
        <f t="shared" si="8"/>
        <v>5.4</v>
      </c>
      <c r="Y16" s="9">
        <f t="shared" si="9"/>
        <v>11.5</v>
      </c>
      <c r="Z16" s="11">
        <v>0</v>
      </c>
      <c r="AA16" s="11" t="s">
        <v>110</v>
      </c>
      <c r="AB16" s="9" t="s">
        <v>44</v>
      </c>
      <c r="AC16" s="16" t="s">
        <v>98</v>
      </c>
      <c r="AD16" s="12">
        <v>51</v>
      </c>
      <c r="AE16" s="14" t="s">
        <v>46</v>
      </c>
      <c r="AF16" s="14">
        <v>350</v>
      </c>
      <c r="AG16" s="11"/>
      <c r="AH16" s="17" t="e">
        <f t="shared" si="14"/>
        <v>#DIV/0!</v>
      </c>
      <c r="AI16" s="12">
        <v>26.1</v>
      </c>
      <c r="AJ16" s="12">
        <v>26.5</v>
      </c>
      <c r="AK16" s="9">
        <v>15.31</v>
      </c>
      <c r="AL16" s="11" t="s">
        <v>47</v>
      </c>
      <c r="AM16" s="9" t="s">
        <v>111</v>
      </c>
      <c r="AN16" s="9"/>
    </row>
    <row r="17" spans="1:40" s="8" customFormat="1" ht="22.5" customHeight="1" x14ac:dyDescent="0.2">
      <c r="A17" s="9">
        <v>61</v>
      </c>
      <c r="B17" s="10">
        <v>42518</v>
      </c>
      <c r="C17" s="11">
        <v>59002119</v>
      </c>
      <c r="D17" s="11" t="s">
        <v>112</v>
      </c>
      <c r="E17" s="9" t="s">
        <v>40</v>
      </c>
      <c r="F17" s="9">
        <v>0</v>
      </c>
      <c r="G17" s="12" t="s">
        <v>41</v>
      </c>
      <c r="H17" s="12">
        <v>15.5</v>
      </c>
      <c r="I17" s="12">
        <v>11.3</v>
      </c>
      <c r="J17" s="9">
        <v>33.71</v>
      </c>
      <c r="K17" s="9">
        <v>3</v>
      </c>
      <c r="L17" s="9"/>
      <c r="M17" s="9"/>
      <c r="N17" s="9"/>
      <c r="O17" s="9">
        <f t="shared" si="11"/>
        <v>3</v>
      </c>
      <c r="P17" s="9">
        <f t="shared" si="0"/>
        <v>3.7</v>
      </c>
      <c r="Q17" s="9">
        <f t="shared" si="1"/>
        <v>1.58</v>
      </c>
      <c r="R17" s="9">
        <f t="shared" si="2"/>
        <v>71.52</v>
      </c>
      <c r="S17" s="9">
        <f t="shared" si="3"/>
        <v>32.74</v>
      </c>
      <c r="T17" s="9">
        <f t="shared" si="4"/>
        <v>23.42</v>
      </c>
      <c r="U17" s="9">
        <f t="shared" si="5"/>
        <v>90.4</v>
      </c>
      <c r="V17" s="9">
        <f t="shared" si="6"/>
        <v>2.9</v>
      </c>
      <c r="W17" s="9">
        <f t="shared" si="7"/>
        <v>6.5</v>
      </c>
      <c r="X17" s="9">
        <f t="shared" si="8"/>
        <v>10.4</v>
      </c>
      <c r="Y17" s="9">
        <f t="shared" si="9"/>
        <v>14</v>
      </c>
      <c r="Z17" s="11">
        <v>0</v>
      </c>
      <c r="AA17" s="11" t="s">
        <v>113</v>
      </c>
      <c r="AB17" s="9" t="s">
        <v>44</v>
      </c>
      <c r="AC17" s="16" t="s">
        <v>80</v>
      </c>
      <c r="AD17" s="12">
        <v>55</v>
      </c>
      <c r="AE17" s="14" t="s">
        <v>46</v>
      </c>
      <c r="AF17" s="14">
        <v>400</v>
      </c>
      <c r="AG17" s="11"/>
      <c r="AH17" s="12">
        <f t="shared" si="14"/>
        <v>27.070609318996418</v>
      </c>
      <c r="AI17" s="12">
        <v>22.7</v>
      </c>
      <c r="AJ17" s="12">
        <v>22.7</v>
      </c>
      <c r="AK17" s="9">
        <v>24.16</v>
      </c>
      <c r="AL17" s="11">
        <v>0</v>
      </c>
      <c r="AM17" s="9" t="s">
        <v>114</v>
      </c>
      <c r="AN17" s="9"/>
    </row>
    <row r="18" spans="1:40" s="48" customFormat="1" ht="22.5" customHeight="1" x14ac:dyDescent="0.2">
      <c r="A18" s="42">
        <v>62</v>
      </c>
      <c r="B18" s="43">
        <v>42523</v>
      </c>
      <c r="C18" s="44">
        <v>59002165</v>
      </c>
      <c r="D18" s="44" t="s">
        <v>115</v>
      </c>
      <c r="E18" s="42" t="s">
        <v>40</v>
      </c>
      <c r="F18" s="42"/>
      <c r="G18" s="45" t="s">
        <v>116</v>
      </c>
      <c r="H18" s="45">
        <v>4.0999999999999996</v>
      </c>
      <c r="I18" s="45">
        <v>10</v>
      </c>
      <c r="J18" s="42"/>
      <c r="K18" s="42"/>
      <c r="L18" s="42"/>
      <c r="M18" s="42"/>
      <c r="N18" s="42"/>
      <c r="O18" s="42" t="e">
        <f t="shared" si="11"/>
        <v>#N/A</v>
      </c>
      <c r="P18" s="42" t="e">
        <f t="shared" si="0"/>
        <v>#N/A</v>
      </c>
      <c r="Q18" s="42" t="e">
        <f t="shared" si="1"/>
        <v>#N/A</v>
      </c>
      <c r="R18" s="42" t="e">
        <f t="shared" si="2"/>
        <v>#N/A</v>
      </c>
      <c r="S18" s="42" t="e">
        <f t="shared" si="3"/>
        <v>#N/A</v>
      </c>
      <c r="T18" s="42" t="e">
        <f t="shared" si="4"/>
        <v>#N/A</v>
      </c>
      <c r="U18" s="42" t="e">
        <f t="shared" si="5"/>
        <v>#N/A</v>
      </c>
      <c r="V18" s="42" t="e">
        <f t="shared" si="6"/>
        <v>#N/A</v>
      </c>
      <c r="W18" s="42" t="e">
        <f t="shared" si="7"/>
        <v>#N/A</v>
      </c>
      <c r="X18" s="42" t="e">
        <f t="shared" si="8"/>
        <v>#N/A</v>
      </c>
      <c r="Y18" s="42" t="e">
        <f t="shared" si="9"/>
        <v>#N/A</v>
      </c>
      <c r="Z18" s="44"/>
      <c r="AA18" s="44"/>
      <c r="AB18" s="42" t="s">
        <v>44</v>
      </c>
      <c r="AC18" s="46" t="s">
        <v>117</v>
      </c>
      <c r="AD18" s="45">
        <v>46</v>
      </c>
      <c r="AE18" s="47" t="s">
        <v>46</v>
      </c>
      <c r="AF18" s="47">
        <v>80</v>
      </c>
      <c r="AG18" s="44"/>
      <c r="AH18" s="45">
        <f t="shared" si="14"/>
        <v>19.972899728997291</v>
      </c>
      <c r="AI18" s="45">
        <v>20</v>
      </c>
      <c r="AJ18" s="45">
        <v>20</v>
      </c>
      <c r="AK18" s="42"/>
      <c r="AL18" s="44"/>
      <c r="AM18" s="42"/>
      <c r="AN18" s="42"/>
    </row>
    <row r="19" spans="1:40" s="8" customFormat="1" ht="22.5" customHeight="1" x14ac:dyDescent="0.2">
      <c r="A19" s="9">
        <v>65</v>
      </c>
      <c r="B19" s="10">
        <v>42548</v>
      </c>
      <c r="C19" s="18">
        <v>59002532</v>
      </c>
      <c r="D19" s="18" t="s">
        <v>118</v>
      </c>
      <c r="E19" s="9" t="s">
        <v>40</v>
      </c>
      <c r="F19" s="9">
        <v>0</v>
      </c>
      <c r="G19" s="12" t="s">
        <v>41</v>
      </c>
      <c r="H19" s="12">
        <v>27</v>
      </c>
      <c r="I19" s="12">
        <v>8.6999999999999993</v>
      </c>
      <c r="J19" s="9">
        <v>20.81</v>
      </c>
      <c r="K19" s="9">
        <v>452</v>
      </c>
      <c r="L19" s="9"/>
      <c r="M19" s="9"/>
      <c r="N19" s="9"/>
      <c r="O19" s="9">
        <f>INDEX(platelet_b_59,MATCH(AA19,filename_b_59,0))</f>
        <v>452</v>
      </c>
      <c r="P19" s="9">
        <f>INDEX(hgb_b_59,MATCH(AA19,filename_b_59,0))</f>
        <v>2.2999999999999998</v>
      </c>
      <c r="Q19" s="9">
        <f>INDEX(rbc_b_59,MATCH(AA19,filename_b_59,0))</f>
        <v>1.67</v>
      </c>
      <c r="R19" s="9">
        <f>INDEX(mcv_b_59,MATCH(AA19,filename_b_59,0))</f>
        <v>52.1</v>
      </c>
      <c r="S19" s="9">
        <f>INDEX(mchc_b_59,MATCH(AA19,filename_b_59,0))</f>
        <v>26.44</v>
      </c>
      <c r="T19" s="9">
        <f>INDEX(mch_b_59,MATCH(AA19,filename_b_59,0))</f>
        <v>13.77</v>
      </c>
      <c r="U19" s="9">
        <f>INDEX(segs_b_59,MATCH(AA19,filename_b_59,0))</f>
        <v>81.3</v>
      </c>
      <c r="V19" s="9">
        <f>INDEX(lymph_b_59,MATCH(AA19,filename_b_59,0))</f>
        <v>12.9</v>
      </c>
      <c r="W19" s="9">
        <f>INDEX(mono_b_59,MATCH(AA19,filename_b_59,0))</f>
        <v>5.0999999999999996</v>
      </c>
      <c r="X19" s="9">
        <f>INDEX(protein_refract_b_59,MATCH(AA19,filename_b_59,0))</f>
        <v>6</v>
      </c>
      <c r="Y19" s="9">
        <f>INDEX(rdw_b_59,MATCH(AA19,filename_b_59,0))</f>
        <v>20.5</v>
      </c>
      <c r="Z19" s="11" t="s">
        <v>119</v>
      </c>
      <c r="AA19" s="18" t="s">
        <v>120</v>
      </c>
      <c r="AB19" s="9" t="s">
        <v>44</v>
      </c>
      <c r="AC19" s="16" t="s">
        <v>121</v>
      </c>
      <c r="AD19" s="12">
        <v>45</v>
      </c>
      <c r="AE19" s="14" t="s">
        <v>46</v>
      </c>
      <c r="AF19" s="14">
        <v>200</v>
      </c>
      <c r="AG19" s="11"/>
      <c r="AH19" s="12">
        <f t="shared" si="14"/>
        <v>12.403703703703703</v>
      </c>
      <c r="AI19" s="12">
        <v>13.4</v>
      </c>
      <c r="AJ19" s="12">
        <v>13.4</v>
      </c>
      <c r="AK19" s="9">
        <v>13.95</v>
      </c>
      <c r="AL19" s="11" t="s">
        <v>122</v>
      </c>
      <c r="AM19" s="19" t="s">
        <v>123</v>
      </c>
      <c r="AN19" s="9"/>
    </row>
    <row r="20" spans="1:40" s="8" customFormat="1" ht="22.5" customHeight="1" x14ac:dyDescent="0.2">
      <c r="A20" s="9">
        <v>66</v>
      </c>
      <c r="B20" s="10">
        <v>42547</v>
      </c>
      <c r="C20" s="11">
        <v>59002508</v>
      </c>
      <c r="D20" s="11" t="s">
        <v>124</v>
      </c>
      <c r="E20" s="9" t="s">
        <v>40</v>
      </c>
      <c r="F20" s="9">
        <v>0</v>
      </c>
      <c r="G20" s="12" t="s">
        <v>41</v>
      </c>
      <c r="H20" s="12">
        <v>16.3</v>
      </c>
      <c r="I20" s="12">
        <v>9</v>
      </c>
      <c r="J20" s="9">
        <v>13.5</v>
      </c>
      <c r="K20" s="9">
        <v>74</v>
      </c>
      <c r="L20" s="9"/>
      <c r="M20" s="9"/>
      <c r="N20" s="9"/>
      <c r="O20" s="9">
        <f>INDEX(platelet_b_59,MATCH(AA20,filename_b_59,0))</f>
        <v>74</v>
      </c>
      <c r="P20" s="9">
        <f>INDEX(hgb_b_59,MATCH(AA20,filename_b_59,0))</f>
        <v>2.6</v>
      </c>
      <c r="Q20" s="9">
        <f>INDEX(rbc_b_59,MATCH(AA20,filename_b_59,0))</f>
        <v>1.01</v>
      </c>
      <c r="R20" s="9">
        <f>INDEX(mcv_b_59,MATCH(AA20,filename_b_59,0))</f>
        <v>89.11</v>
      </c>
      <c r="S20" s="9">
        <f>INDEX(mchc_b_59,MATCH(AA20,filename_b_59,0))</f>
        <v>28.89</v>
      </c>
      <c r="T20" s="9">
        <f>INDEX(mch_b_59,MATCH(AA20,filename_b_59,0))</f>
        <v>25.74</v>
      </c>
      <c r="U20" s="9">
        <f>INDEX(segs_b_59,MATCH(AA20,filename_b_59,0))</f>
        <v>70.7</v>
      </c>
      <c r="V20" s="9">
        <f>INDEX(lymph_b_59,MATCH(AA20,filename_b_59,0))</f>
        <v>19</v>
      </c>
      <c r="W20" s="9">
        <f>INDEX(mono_b_59,MATCH(AA20,filename_b_59,0))</f>
        <v>8.5</v>
      </c>
      <c r="X20" s="9">
        <f>INDEX(protein_refract_b_59,MATCH(AA20,filename_b_59,0))</f>
        <v>8.8000000000000007</v>
      </c>
      <c r="Y20" s="9">
        <f>INDEX(rdw_b_59,MATCH(AA20,filename_b_59,0))</f>
        <v>19.7</v>
      </c>
      <c r="Z20" s="11" t="s">
        <v>125</v>
      </c>
      <c r="AA20" s="11" t="s">
        <v>126</v>
      </c>
      <c r="AB20" s="9" t="s">
        <v>44</v>
      </c>
      <c r="AC20" s="16" t="s">
        <v>127</v>
      </c>
      <c r="AD20" s="12">
        <v>50</v>
      </c>
      <c r="AE20" s="14" t="s">
        <v>46</v>
      </c>
      <c r="AF20" s="14">
        <v>300</v>
      </c>
      <c r="AG20" s="11"/>
      <c r="AH20" s="12">
        <f t="shared" si="14"/>
        <v>19.224948875255624</v>
      </c>
      <c r="AI20" s="12">
        <v>18.7</v>
      </c>
      <c r="AJ20" s="12">
        <v>18.7</v>
      </c>
      <c r="AK20" s="9">
        <v>10.36</v>
      </c>
      <c r="AL20" s="11" t="s">
        <v>128</v>
      </c>
      <c r="AM20" s="9" t="s">
        <v>129</v>
      </c>
      <c r="AN20" s="9"/>
    </row>
    <row r="21" spans="1:40" s="8" customFormat="1" ht="22.5" customHeight="1" x14ac:dyDescent="0.2">
      <c r="A21" s="9">
        <v>67</v>
      </c>
      <c r="B21" s="10">
        <v>42549</v>
      </c>
      <c r="C21" s="18">
        <v>59002532</v>
      </c>
      <c r="D21" s="18" t="s">
        <v>118</v>
      </c>
      <c r="E21" s="9" t="s">
        <v>40</v>
      </c>
      <c r="F21" s="9">
        <v>0</v>
      </c>
      <c r="G21" s="12" t="s">
        <v>41</v>
      </c>
      <c r="H21" s="12">
        <v>30</v>
      </c>
      <c r="I21" s="12">
        <v>13.4</v>
      </c>
      <c r="J21" s="9">
        <v>13.95</v>
      </c>
      <c r="K21" s="9">
        <v>461</v>
      </c>
      <c r="L21" s="9"/>
      <c r="M21" s="9"/>
      <c r="N21" s="9"/>
      <c r="O21" s="9">
        <f>INDEX(platelet_b_59,MATCH(AA21,filename_b_59,0))</f>
        <v>461</v>
      </c>
      <c r="P21" s="9">
        <f>INDEX(hgb_b_59,MATCH(AA21,filename_b_59,0))</f>
        <v>3.7</v>
      </c>
      <c r="Q21" s="9">
        <f>INDEX(rbc_b_59,MATCH(AA21,filename_b_59,0))</f>
        <v>2.2999999999999998</v>
      </c>
      <c r="R21" s="9">
        <f>INDEX(mcv_b_59,MATCH(AA21,filename_b_59,0))</f>
        <v>58.26</v>
      </c>
      <c r="S21" s="9">
        <f>INDEX(mchc_b_59,MATCH(AA21,filename_b_59,0))</f>
        <v>27.61</v>
      </c>
      <c r="T21" s="9">
        <f>INDEX(mch_b_59,MATCH(AA21,filename_b_59,0))</f>
        <v>16.09</v>
      </c>
      <c r="U21" s="9">
        <f>INDEX(segs_b_59,MATCH(AA21,filename_b_59,0))</f>
        <v>64.7</v>
      </c>
      <c r="V21" s="9">
        <f>INDEX(lymph_b_59,MATCH(AA21,filename_b_59,0))</f>
        <v>18.2</v>
      </c>
      <c r="W21" s="9">
        <f>INDEX(mono_b_59,MATCH(AA21,filename_b_59,0))</f>
        <v>7.2</v>
      </c>
      <c r="X21" s="9">
        <f>INDEX(protein_refract_b_59,MATCH(AA21,filename_b_59,0))</f>
        <v>5.8</v>
      </c>
      <c r="Y21" s="9">
        <f>INDEX(rdw_b_59,MATCH(AA21,filename_b_59,0))</f>
        <v>25</v>
      </c>
      <c r="Z21" s="11" t="s">
        <v>122</v>
      </c>
      <c r="AA21" s="18" t="s">
        <v>130</v>
      </c>
      <c r="AB21" s="9" t="s">
        <v>44</v>
      </c>
      <c r="AC21" s="16" t="s">
        <v>101</v>
      </c>
      <c r="AD21" s="12">
        <v>49.8</v>
      </c>
      <c r="AE21" s="14" t="s">
        <v>46</v>
      </c>
      <c r="AF21" s="14">
        <v>300</v>
      </c>
      <c r="AG21" s="11"/>
      <c r="AH21" s="12">
        <f t="shared" si="14"/>
        <v>18.933333333333334</v>
      </c>
      <c r="AI21" s="12">
        <v>19.600000000000001</v>
      </c>
      <c r="AJ21" s="12">
        <v>20.63</v>
      </c>
      <c r="AK21" s="9">
        <v>471</v>
      </c>
      <c r="AL21" s="11" t="s">
        <v>131</v>
      </c>
      <c r="AM21" s="19" t="s">
        <v>132</v>
      </c>
      <c r="AN21" s="9"/>
    </row>
    <row r="22" spans="1:40" s="8" customFormat="1" ht="22.5" customHeight="1" x14ac:dyDescent="0.2">
      <c r="A22" s="9">
        <v>68</v>
      </c>
      <c r="B22" s="10">
        <v>42573</v>
      </c>
      <c r="C22" s="11">
        <v>59002942</v>
      </c>
      <c r="D22" s="11" t="s">
        <v>133</v>
      </c>
      <c r="E22" s="9" t="s">
        <v>50</v>
      </c>
      <c r="F22" s="9">
        <v>0</v>
      </c>
      <c r="G22" s="12" t="s">
        <v>41</v>
      </c>
      <c r="H22" s="12">
        <v>3.8</v>
      </c>
      <c r="I22" s="12">
        <v>7.2</v>
      </c>
      <c r="J22" s="9">
        <v>64.540000000000006</v>
      </c>
      <c r="K22" s="9">
        <v>284</v>
      </c>
      <c r="L22" s="9"/>
      <c r="M22" s="9"/>
      <c r="N22" s="9"/>
      <c r="O22" s="9">
        <f t="shared" ref="O22:O41" si="15">INDEX(platelet_b_59,MATCH(D22,name_b_59,0))</f>
        <v>284</v>
      </c>
      <c r="P22" s="9">
        <f t="shared" ref="P22:P41" si="16">INDEX(hgb_b_59,MATCH($D22,name_b_59,0))</f>
        <v>1.5</v>
      </c>
      <c r="Q22" s="9">
        <f t="shared" ref="Q22:Q41" si="17">INDEX(rbc_b_59,MATCH($D22,name_b_59,0))</f>
        <v>0.84</v>
      </c>
      <c r="R22" s="9">
        <f t="shared" ref="R22:R41" si="18">INDEX(mcv_b_59,MATCH($D22,name_b_59,0))</f>
        <v>85.71</v>
      </c>
      <c r="S22" s="9">
        <f t="shared" ref="S22:S41" si="19">INDEX(mchc_b_59,MATCH($D22,name_b_59,0))</f>
        <v>20.83</v>
      </c>
      <c r="T22" s="9">
        <f t="shared" ref="T22:T41" si="20">INDEX(mch_b_59,MATCH($D22,name_b_59,0))</f>
        <v>17.86</v>
      </c>
      <c r="U22" s="9">
        <f t="shared" ref="U22:U41" si="21">INDEX(segs_b_59,MATCH($D22,name_b_59,0))</f>
        <v>90.8</v>
      </c>
      <c r="V22" s="9">
        <f t="shared" ref="V22:V41" si="22">INDEX(lymph_b_59,MATCH($D22,name_b_59,0))</f>
        <v>1</v>
      </c>
      <c r="W22" s="9">
        <f t="shared" ref="W22:W41" si="23">INDEX(mono_b_59,MATCH($D22,name_b_59,0))</f>
        <v>7.1</v>
      </c>
      <c r="X22" s="9">
        <f t="shared" ref="X22:X41" si="24">INDEX(protein_refract_b_59,MATCH($D22,name_b_59,0))</f>
        <v>4</v>
      </c>
      <c r="Y22" s="9">
        <f t="shared" ref="Y22:Y41" si="25">INDEX(rdw_b_59,MATCH($D22,name_b_59,0))</f>
        <v>24.9</v>
      </c>
      <c r="Z22" s="11" t="s">
        <v>134</v>
      </c>
      <c r="AA22" s="11" t="s">
        <v>135</v>
      </c>
      <c r="AB22" s="9" t="s">
        <v>44</v>
      </c>
      <c r="AC22" s="16" t="s">
        <v>45</v>
      </c>
      <c r="AD22" s="12">
        <v>59</v>
      </c>
      <c r="AE22" s="14" t="s">
        <v>46</v>
      </c>
      <c r="AF22" s="14">
        <v>60</v>
      </c>
      <c r="AG22" s="11"/>
      <c r="AH22" s="12">
        <f t="shared" si="14"/>
        <v>17.550877192982455</v>
      </c>
      <c r="AI22" s="12">
        <v>9.6999999999999993</v>
      </c>
      <c r="AJ22" s="12">
        <v>9.6999999999999993</v>
      </c>
      <c r="AK22" s="9">
        <v>61.15</v>
      </c>
      <c r="AL22" s="11" t="s">
        <v>42</v>
      </c>
      <c r="AM22" s="9" t="s">
        <v>136</v>
      </c>
      <c r="AN22" s="9"/>
    </row>
    <row r="23" spans="1:40" s="8" customFormat="1" ht="22.5" customHeight="1" x14ac:dyDescent="0.2">
      <c r="A23" s="9">
        <v>69</v>
      </c>
      <c r="B23" s="10">
        <v>42569</v>
      </c>
      <c r="C23" s="11">
        <v>59002856</v>
      </c>
      <c r="D23" s="11" t="s">
        <v>137</v>
      </c>
      <c r="E23" s="9" t="s">
        <v>40</v>
      </c>
      <c r="F23" s="9">
        <v>0</v>
      </c>
      <c r="G23" s="12" t="s">
        <v>55</v>
      </c>
      <c r="H23" s="12">
        <v>6</v>
      </c>
      <c r="I23" s="12">
        <v>8.6999999999999993</v>
      </c>
      <c r="J23" s="9">
        <v>24.97</v>
      </c>
      <c r="K23" s="9">
        <v>3</v>
      </c>
      <c r="L23" s="9"/>
      <c r="M23" s="9"/>
      <c r="N23" s="9"/>
      <c r="O23" s="9">
        <f t="shared" si="15"/>
        <v>3</v>
      </c>
      <c r="P23" s="9">
        <f t="shared" si="16"/>
        <v>2.8</v>
      </c>
      <c r="Q23" s="9">
        <f t="shared" si="17"/>
        <v>1.1599999999999999</v>
      </c>
      <c r="R23" s="9">
        <f t="shared" si="18"/>
        <v>75</v>
      </c>
      <c r="S23" s="9">
        <f t="shared" si="19"/>
        <v>32.18</v>
      </c>
      <c r="T23" s="9">
        <f t="shared" si="20"/>
        <v>24.14</v>
      </c>
      <c r="U23" s="9">
        <f t="shared" si="21"/>
        <v>76.7</v>
      </c>
      <c r="V23" s="9">
        <f t="shared" si="22"/>
        <v>13.4</v>
      </c>
      <c r="W23" s="9">
        <f t="shared" si="23"/>
        <v>9.6</v>
      </c>
      <c r="X23" s="9">
        <f t="shared" si="24"/>
        <v>6.4</v>
      </c>
      <c r="Y23" s="9">
        <f t="shared" si="25"/>
        <v>15.7</v>
      </c>
      <c r="Z23" s="11" t="s">
        <v>138</v>
      </c>
      <c r="AA23" s="11" t="s">
        <v>139</v>
      </c>
      <c r="AB23" s="9" t="s">
        <v>44</v>
      </c>
      <c r="AC23" s="16" t="s">
        <v>45</v>
      </c>
      <c r="AD23" s="12">
        <v>58.8</v>
      </c>
      <c r="AE23" s="14" t="s">
        <v>46</v>
      </c>
      <c r="AF23" s="14">
        <v>180</v>
      </c>
      <c r="AG23" s="11"/>
      <c r="AH23" s="12">
        <f t="shared" si="14"/>
        <v>28.299999999999997</v>
      </c>
      <c r="AI23" s="12">
        <v>17</v>
      </c>
      <c r="AJ23" s="12">
        <v>17</v>
      </c>
      <c r="AK23" s="9">
        <v>31.44</v>
      </c>
      <c r="AL23" s="11" t="s">
        <v>140</v>
      </c>
      <c r="AM23" s="9" t="s">
        <v>141</v>
      </c>
      <c r="AN23" s="9"/>
    </row>
    <row r="24" spans="1:40" s="8" customFormat="1" ht="22.5" customHeight="1" x14ac:dyDescent="0.2">
      <c r="A24" s="9">
        <v>70</v>
      </c>
      <c r="B24" s="10">
        <v>42576</v>
      </c>
      <c r="C24" s="11">
        <v>58004935</v>
      </c>
      <c r="D24" s="11" t="s">
        <v>142</v>
      </c>
      <c r="E24" s="9" t="s">
        <v>50</v>
      </c>
      <c r="F24" s="9">
        <v>0</v>
      </c>
      <c r="G24" s="12" t="s">
        <v>41</v>
      </c>
      <c r="H24" s="12">
        <v>27</v>
      </c>
      <c r="I24" s="12">
        <v>19.399999999999999</v>
      </c>
      <c r="J24" s="9">
        <v>22.37</v>
      </c>
      <c r="K24" s="9">
        <v>52</v>
      </c>
      <c r="L24" s="9"/>
      <c r="M24" s="9"/>
      <c r="N24" s="9"/>
      <c r="O24" s="9">
        <f t="shared" si="15"/>
        <v>52</v>
      </c>
      <c r="P24" s="9">
        <f t="shared" si="16"/>
        <v>6.1</v>
      </c>
      <c r="Q24" s="9">
        <f t="shared" si="17"/>
        <v>3.81</v>
      </c>
      <c r="R24" s="9">
        <f t="shared" si="18"/>
        <v>50.92</v>
      </c>
      <c r="S24" s="9">
        <f t="shared" si="19"/>
        <v>31.44</v>
      </c>
      <c r="T24" s="9">
        <f t="shared" si="20"/>
        <v>16.010000000000002</v>
      </c>
      <c r="U24" s="9">
        <f t="shared" si="21"/>
        <v>75.099999999999994</v>
      </c>
      <c r="V24" s="9">
        <f t="shared" si="22"/>
        <v>14.1</v>
      </c>
      <c r="W24" s="9">
        <f t="shared" si="23"/>
        <v>5.3</v>
      </c>
      <c r="X24" s="9">
        <f t="shared" si="24"/>
        <v>6.2</v>
      </c>
      <c r="Y24" s="9">
        <f t="shared" si="25"/>
        <v>20.399999999999999</v>
      </c>
      <c r="Z24" s="11" t="s">
        <v>143</v>
      </c>
      <c r="AA24" s="11" t="s">
        <v>144</v>
      </c>
      <c r="AB24" s="9" t="s">
        <v>44</v>
      </c>
      <c r="AC24" s="16" t="s">
        <v>83</v>
      </c>
      <c r="AD24" s="12">
        <v>52</v>
      </c>
      <c r="AE24" s="14" t="s">
        <v>58</v>
      </c>
      <c r="AF24" s="14">
        <v>240</v>
      </c>
      <c r="AG24" s="11"/>
      <c r="AH24" s="12">
        <f>((AF24/H24)+I24)</f>
        <v>28.288888888888888</v>
      </c>
      <c r="AI24" s="12">
        <v>27.5</v>
      </c>
      <c r="AJ24" s="12">
        <v>27.5</v>
      </c>
      <c r="AK24" s="9">
        <v>31.85</v>
      </c>
      <c r="AL24" s="11" t="s">
        <v>145</v>
      </c>
      <c r="AM24" s="9" t="s">
        <v>146</v>
      </c>
      <c r="AN24" s="9"/>
    </row>
    <row r="25" spans="1:40" s="8" customFormat="1" ht="22.5" customHeight="1" x14ac:dyDescent="0.2">
      <c r="A25" s="9">
        <v>72</v>
      </c>
      <c r="B25" s="10">
        <v>42567</v>
      </c>
      <c r="C25" s="11">
        <v>59002835</v>
      </c>
      <c r="D25" s="11" t="s">
        <v>147</v>
      </c>
      <c r="E25" s="9" t="s">
        <v>50</v>
      </c>
      <c r="F25" s="9">
        <v>0</v>
      </c>
      <c r="G25" s="12" t="s">
        <v>41</v>
      </c>
      <c r="H25" s="12">
        <v>16.3</v>
      </c>
      <c r="I25" s="12">
        <v>13.6</v>
      </c>
      <c r="J25" s="9">
        <v>9.81</v>
      </c>
      <c r="K25" s="9">
        <v>37</v>
      </c>
      <c r="L25" s="9"/>
      <c r="M25" s="9"/>
      <c r="N25" s="9"/>
      <c r="O25" s="9">
        <f t="shared" si="15"/>
        <v>37</v>
      </c>
      <c r="P25" s="9">
        <f t="shared" si="16"/>
        <v>4.3</v>
      </c>
      <c r="Q25" s="9">
        <f t="shared" si="17"/>
        <v>1.88</v>
      </c>
      <c r="R25" s="9">
        <f t="shared" si="18"/>
        <v>72.34</v>
      </c>
      <c r="S25" s="9">
        <f t="shared" si="19"/>
        <v>31.62</v>
      </c>
      <c r="T25" s="9">
        <f t="shared" si="20"/>
        <v>22.87</v>
      </c>
      <c r="U25" s="9">
        <f t="shared" si="21"/>
        <v>69.8</v>
      </c>
      <c r="V25" s="9">
        <f t="shared" si="22"/>
        <v>21.3</v>
      </c>
      <c r="W25" s="9">
        <f t="shared" si="23"/>
        <v>8</v>
      </c>
      <c r="X25" s="9">
        <f t="shared" si="24"/>
        <v>7</v>
      </c>
      <c r="Y25" s="9">
        <f t="shared" si="25"/>
        <v>15.8</v>
      </c>
      <c r="Z25" s="11" t="s">
        <v>148</v>
      </c>
      <c r="AA25" s="11" t="s">
        <v>149</v>
      </c>
      <c r="AB25" s="9" t="s">
        <v>44</v>
      </c>
      <c r="AC25" s="16" t="s">
        <v>68</v>
      </c>
      <c r="AD25" s="12">
        <v>56</v>
      </c>
      <c r="AE25" s="14" t="s">
        <v>46</v>
      </c>
      <c r="AF25" s="14">
        <v>300</v>
      </c>
      <c r="AG25" s="11"/>
      <c r="AH25" s="12">
        <f t="shared" ref="AH25:AH33" si="26">(((AF25/(90*H25))*AD25)+I25)</f>
        <v>25.0519427402863</v>
      </c>
      <c r="AI25" s="12">
        <v>20.2</v>
      </c>
      <c r="AJ25" s="12">
        <v>0</v>
      </c>
      <c r="AK25" s="9" t="s">
        <v>15</v>
      </c>
      <c r="AL25" s="11" t="s">
        <v>150</v>
      </c>
      <c r="AM25" s="9" t="s">
        <v>151</v>
      </c>
      <c r="AN25" s="9"/>
    </row>
    <row r="26" spans="1:40" s="8" customFormat="1" ht="22.5" customHeight="1" x14ac:dyDescent="0.2">
      <c r="A26" s="9">
        <v>73</v>
      </c>
      <c r="B26" s="10">
        <v>42662</v>
      </c>
      <c r="C26" s="11">
        <v>59004060</v>
      </c>
      <c r="D26" s="11" t="s">
        <v>152</v>
      </c>
      <c r="E26" s="9" t="s">
        <v>50</v>
      </c>
      <c r="F26" s="9">
        <v>0</v>
      </c>
      <c r="G26" s="12" t="s">
        <v>41</v>
      </c>
      <c r="H26" s="12">
        <v>5.6</v>
      </c>
      <c r="I26" s="12">
        <v>13.9</v>
      </c>
      <c r="J26" s="9">
        <v>41.76</v>
      </c>
      <c r="K26" s="9">
        <v>162</v>
      </c>
      <c r="L26" s="9"/>
      <c r="M26" s="9"/>
      <c r="N26" s="9"/>
      <c r="O26" s="9">
        <f t="shared" si="15"/>
        <v>162</v>
      </c>
      <c r="P26" s="9">
        <f t="shared" si="16"/>
        <v>4.7</v>
      </c>
      <c r="Q26" s="9">
        <f t="shared" si="17"/>
        <v>2.12</v>
      </c>
      <c r="R26" s="9">
        <f t="shared" si="18"/>
        <v>65.569999999999993</v>
      </c>
      <c r="S26" s="9">
        <f t="shared" si="19"/>
        <v>33.81</v>
      </c>
      <c r="T26" s="9">
        <f t="shared" si="20"/>
        <v>22.17</v>
      </c>
      <c r="U26" s="9">
        <f t="shared" si="21"/>
        <v>75</v>
      </c>
      <c r="V26" s="9">
        <f t="shared" si="22"/>
        <v>7</v>
      </c>
      <c r="W26" s="9">
        <f t="shared" si="23"/>
        <v>9</v>
      </c>
      <c r="X26" s="9">
        <f t="shared" si="24"/>
        <v>5.6</v>
      </c>
      <c r="Y26" s="9">
        <f t="shared" si="25"/>
        <v>14.5</v>
      </c>
      <c r="Z26" s="11" t="s">
        <v>153</v>
      </c>
      <c r="AA26" s="11" t="s">
        <v>154</v>
      </c>
      <c r="AB26" s="9" t="s">
        <v>44</v>
      </c>
      <c r="AC26" s="16" t="s">
        <v>68</v>
      </c>
      <c r="AD26" s="12">
        <v>48.9</v>
      </c>
      <c r="AE26" s="14" t="s">
        <v>46</v>
      </c>
      <c r="AF26" s="14">
        <v>80</v>
      </c>
      <c r="AG26" s="11"/>
      <c r="AH26" s="12">
        <f t="shared" si="26"/>
        <v>21.661904761904765</v>
      </c>
      <c r="AI26" s="12">
        <v>19.5</v>
      </c>
      <c r="AJ26" s="12">
        <v>19.5</v>
      </c>
      <c r="AK26" s="9">
        <v>60.02</v>
      </c>
      <c r="AL26" s="11" t="s">
        <v>140</v>
      </c>
      <c r="AM26" s="9" t="s">
        <v>155</v>
      </c>
      <c r="AN26" s="9"/>
    </row>
    <row r="27" spans="1:40" s="48" customFormat="1" ht="22.5" customHeight="1" x14ac:dyDescent="0.2">
      <c r="A27" s="42">
        <v>74</v>
      </c>
      <c r="B27" s="43">
        <v>42668</v>
      </c>
      <c r="C27" s="44">
        <v>58004659</v>
      </c>
      <c r="D27" s="44" t="s">
        <v>156</v>
      </c>
      <c r="E27" s="42" t="s">
        <v>50</v>
      </c>
      <c r="F27" s="42"/>
      <c r="G27" s="45" t="s">
        <v>41</v>
      </c>
      <c r="H27" s="45">
        <v>11</v>
      </c>
      <c r="I27" s="45">
        <v>5</v>
      </c>
      <c r="J27" s="42"/>
      <c r="K27" s="42"/>
      <c r="L27" s="42"/>
      <c r="M27" s="42"/>
      <c r="N27" s="42"/>
      <c r="O27" s="42" t="e">
        <f t="shared" si="15"/>
        <v>#N/A</v>
      </c>
      <c r="P27" s="42" t="e">
        <f t="shared" si="16"/>
        <v>#N/A</v>
      </c>
      <c r="Q27" s="42" t="e">
        <f t="shared" si="17"/>
        <v>#N/A</v>
      </c>
      <c r="R27" s="42" t="e">
        <f t="shared" si="18"/>
        <v>#N/A</v>
      </c>
      <c r="S27" s="42" t="e">
        <f t="shared" si="19"/>
        <v>#N/A</v>
      </c>
      <c r="T27" s="42" t="e">
        <f t="shared" si="20"/>
        <v>#N/A</v>
      </c>
      <c r="U27" s="42" t="e">
        <f t="shared" si="21"/>
        <v>#N/A</v>
      </c>
      <c r="V27" s="42" t="e">
        <f t="shared" si="22"/>
        <v>#N/A</v>
      </c>
      <c r="W27" s="42" t="e">
        <f t="shared" si="23"/>
        <v>#N/A</v>
      </c>
      <c r="X27" s="42" t="e">
        <f t="shared" si="24"/>
        <v>#N/A</v>
      </c>
      <c r="Y27" s="42" t="e">
        <f t="shared" si="25"/>
        <v>#N/A</v>
      </c>
      <c r="Z27" s="44" t="s">
        <v>157</v>
      </c>
      <c r="AA27" s="44"/>
      <c r="AB27" s="42" t="s">
        <v>44</v>
      </c>
      <c r="AC27" s="46" t="s">
        <v>57</v>
      </c>
      <c r="AD27" s="45">
        <v>53.3</v>
      </c>
      <c r="AE27" s="47" t="s">
        <v>46</v>
      </c>
      <c r="AF27" s="47">
        <v>250</v>
      </c>
      <c r="AG27" s="44"/>
      <c r="AH27" s="45">
        <f t="shared" si="26"/>
        <v>18.459595959595958</v>
      </c>
      <c r="AI27" s="45">
        <v>20.100000000000001</v>
      </c>
      <c r="AJ27" s="45">
        <v>20.100000000000001</v>
      </c>
      <c r="AK27" s="42"/>
      <c r="AL27" s="44"/>
      <c r="AM27" s="42"/>
      <c r="AN27" s="42"/>
    </row>
    <row r="28" spans="1:40" s="8" customFormat="1" ht="22.5" customHeight="1" x14ac:dyDescent="0.2">
      <c r="A28" s="9">
        <v>75</v>
      </c>
      <c r="B28" s="10">
        <v>42593</v>
      </c>
      <c r="C28" s="11">
        <v>59003242</v>
      </c>
      <c r="D28" s="11" t="s">
        <v>158</v>
      </c>
      <c r="E28" s="9" t="s">
        <v>40</v>
      </c>
      <c r="F28" s="9">
        <v>0</v>
      </c>
      <c r="G28" s="12" t="s">
        <v>41</v>
      </c>
      <c r="H28" s="12">
        <v>24.4</v>
      </c>
      <c r="I28" s="12">
        <v>10.6</v>
      </c>
      <c r="J28" s="9">
        <v>14.79</v>
      </c>
      <c r="K28" s="9">
        <v>2</v>
      </c>
      <c r="L28" s="9"/>
      <c r="M28" s="9"/>
      <c r="N28" s="9"/>
      <c r="O28" s="9">
        <f t="shared" si="15"/>
        <v>2</v>
      </c>
      <c r="P28" s="9">
        <f t="shared" si="16"/>
        <v>3.7</v>
      </c>
      <c r="Q28" s="9">
        <f t="shared" si="17"/>
        <v>1.52</v>
      </c>
      <c r="R28" s="9">
        <f t="shared" si="18"/>
        <v>69.739999999999995</v>
      </c>
      <c r="S28" s="9">
        <f t="shared" si="19"/>
        <v>34.909999999999997</v>
      </c>
      <c r="T28" s="9">
        <f t="shared" si="20"/>
        <v>24.34</v>
      </c>
      <c r="U28" s="9">
        <f t="shared" si="21"/>
        <v>68.099999999999994</v>
      </c>
      <c r="V28" s="9">
        <f t="shared" si="22"/>
        <v>17.399999999999999</v>
      </c>
      <c r="W28" s="9">
        <f t="shared" si="23"/>
        <v>14.1</v>
      </c>
      <c r="X28" s="9">
        <f t="shared" si="24"/>
        <v>5</v>
      </c>
      <c r="Y28" s="9">
        <f t="shared" si="25"/>
        <v>12.7</v>
      </c>
      <c r="Z28" s="11" t="s">
        <v>42</v>
      </c>
      <c r="AA28" s="11" t="s">
        <v>159</v>
      </c>
      <c r="AB28" s="9" t="s">
        <v>44</v>
      </c>
      <c r="AC28" s="16" t="s">
        <v>160</v>
      </c>
      <c r="AD28" s="12">
        <v>42</v>
      </c>
      <c r="AE28" s="14" t="s">
        <v>46</v>
      </c>
      <c r="AF28" s="14">
        <v>350</v>
      </c>
      <c r="AG28" s="11"/>
      <c r="AH28" s="12">
        <f t="shared" si="26"/>
        <v>17.293989071038251</v>
      </c>
      <c r="AI28" s="12">
        <v>17.3</v>
      </c>
      <c r="AJ28" s="12">
        <v>17.3</v>
      </c>
      <c r="AK28" s="9">
        <v>11.35</v>
      </c>
      <c r="AL28" s="11" t="s">
        <v>102</v>
      </c>
      <c r="AM28" s="9" t="s">
        <v>161</v>
      </c>
      <c r="AN28" s="9"/>
    </row>
    <row r="29" spans="1:40" s="8" customFormat="1" ht="22.5" customHeight="1" x14ac:dyDescent="0.2">
      <c r="A29" s="9">
        <v>78</v>
      </c>
      <c r="B29" s="10">
        <v>42605</v>
      </c>
      <c r="C29" s="11">
        <v>59003007</v>
      </c>
      <c r="D29" s="11" t="s">
        <v>162</v>
      </c>
      <c r="E29" s="9" t="s">
        <v>40</v>
      </c>
      <c r="F29" s="9">
        <v>0</v>
      </c>
      <c r="G29" s="12" t="s">
        <v>41</v>
      </c>
      <c r="H29" s="12">
        <v>37.299999999999997</v>
      </c>
      <c r="I29" s="12">
        <v>16.399999999999999</v>
      </c>
      <c r="J29" s="9">
        <v>13.98</v>
      </c>
      <c r="K29" s="9">
        <v>544</v>
      </c>
      <c r="L29" s="9"/>
      <c r="M29" s="9"/>
      <c r="N29" s="9"/>
      <c r="O29" s="9">
        <f t="shared" si="15"/>
        <v>544</v>
      </c>
      <c r="P29" s="9">
        <f t="shared" si="16"/>
        <v>4.5</v>
      </c>
      <c r="Q29" s="9">
        <f t="shared" si="17"/>
        <v>4.37</v>
      </c>
      <c r="R29" s="9">
        <f t="shared" si="18"/>
        <v>37.53</v>
      </c>
      <c r="S29" s="9">
        <f t="shared" si="19"/>
        <v>27.44</v>
      </c>
      <c r="T29" s="9">
        <f t="shared" si="20"/>
        <v>10.3</v>
      </c>
      <c r="U29" s="9">
        <f t="shared" si="21"/>
        <v>80.8</v>
      </c>
      <c r="V29" s="9">
        <f t="shared" si="22"/>
        <v>10.9</v>
      </c>
      <c r="W29" s="9">
        <f t="shared" si="23"/>
        <v>5.7</v>
      </c>
      <c r="X29" s="9">
        <f t="shared" si="24"/>
        <v>7.2</v>
      </c>
      <c r="Y29" s="9">
        <f t="shared" si="25"/>
        <v>22.9</v>
      </c>
      <c r="Z29" s="11" t="s">
        <v>163</v>
      </c>
      <c r="AA29" s="11" t="s">
        <v>164</v>
      </c>
      <c r="AB29" s="9" t="s">
        <v>44</v>
      </c>
      <c r="AC29" s="16" t="s">
        <v>98</v>
      </c>
      <c r="AD29" s="12">
        <v>59</v>
      </c>
      <c r="AE29" s="14" t="s">
        <v>75</v>
      </c>
      <c r="AF29" s="14">
        <v>350</v>
      </c>
      <c r="AG29" s="11"/>
      <c r="AH29" s="12">
        <f t="shared" si="26"/>
        <v>22.551325588322907</v>
      </c>
      <c r="AI29" s="12">
        <v>16.7</v>
      </c>
      <c r="AJ29" s="12">
        <v>16.7</v>
      </c>
      <c r="AK29" s="9">
        <v>15.17</v>
      </c>
      <c r="AL29" s="11" t="s">
        <v>165</v>
      </c>
      <c r="AM29" s="9" t="s">
        <v>166</v>
      </c>
      <c r="AN29" s="9"/>
    </row>
    <row r="30" spans="1:40" s="8" customFormat="1" ht="22.5" customHeight="1" x14ac:dyDescent="0.2">
      <c r="A30" s="9">
        <v>81</v>
      </c>
      <c r="B30" s="10">
        <v>42613</v>
      </c>
      <c r="C30" s="11">
        <v>59003524</v>
      </c>
      <c r="D30" s="11" t="s">
        <v>167</v>
      </c>
      <c r="E30" s="9" t="s">
        <v>40</v>
      </c>
      <c r="F30" s="9">
        <v>0</v>
      </c>
      <c r="G30" s="12" t="s">
        <v>168</v>
      </c>
      <c r="H30" s="17"/>
      <c r="I30" s="12">
        <v>10.9</v>
      </c>
      <c r="J30" s="9">
        <v>33.770000000000003</v>
      </c>
      <c r="K30" s="9">
        <v>58</v>
      </c>
      <c r="L30" s="9"/>
      <c r="M30" s="9"/>
      <c r="N30" s="9"/>
      <c r="O30" s="9">
        <f t="shared" si="15"/>
        <v>58</v>
      </c>
      <c r="P30" s="9">
        <f t="shared" si="16"/>
        <v>3.4</v>
      </c>
      <c r="Q30" s="9">
        <f t="shared" si="17"/>
        <v>1.51</v>
      </c>
      <c r="R30" s="9">
        <f t="shared" si="18"/>
        <v>72.19</v>
      </c>
      <c r="S30" s="9">
        <f t="shared" si="19"/>
        <v>31.19</v>
      </c>
      <c r="T30" s="9">
        <f t="shared" si="20"/>
        <v>22.52</v>
      </c>
      <c r="U30" s="9">
        <f t="shared" si="21"/>
        <v>86.6</v>
      </c>
      <c r="V30" s="9">
        <f t="shared" si="22"/>
        <v>4.5999999999999996</v>
      </c>
      <c r="W30" s="9">
        <f t="shared" si="23"/>
        <v>8.8000000000000007</v>
      </c>
      <c r="X30" s="9">
        <f t="shared" si="24"/>
        <v>7</v>
      </c>
      <c r="Y30" s="9">
        <f t="shared" si="25"/>
        <v>13.3</v>
      </c>
      <c r="Z30" s="11" t="s">
        <v>169</v>
      </c>
      <c r="AA30" s="11" t="s">
        <v>170</v>
      </c>
      <c r="AB30" s="9" t="s">
        <v>44</v>
      </c>
      <c r="AC30" s="16" t="s">
        <v>171</v>
      </c>
      <c r="AD30" s="12">
        <v>55.3</v>
      </c>
      <c r="AE30" s="14" t="s">
        <v>46</v>
      </c>
      <c r="AF30" s="14">
        <v>400</v>
      </c>
      <c r="AG30" s="11"/>
      <c r="AH30" s="17" t="e">
        <f t="shared" si="26"/>
        <v>#DIV/0!</v>
      </c>
      <c r="AI30" s="12">
        <v>14.4</v>
      </c>
      <c r="AJ30" s="12">
        <v>14.4</v>
      </c>
      <c r="AK30" s="9">
        <v>24.93</v>
      </c>
      <c r="AL30" s="11" t="s">
        <v>172</v>
      </c>
      <c r="AM30" s="9" t="s">
        <v>173</v>
      </c>
      <c r="AN30" s="9"/>
    </row>
    <row r="31" spans="1:40" s="8" customFormat="1" ht="22.5" customHeight="1" x14ac:dyDescent="0.2">
      <c r="A31" s="9">
        <v>82</v>
      </c>
      <c r="B31" s="10">
        <v>42621</v>
      </c>
      <c r="C31" s="11">
        <v>59003307</v>
      </c>
      <c r="D31" s="11" t="s">
        <v>174</v>
      </c>
      <c r="E31" s="9" t="s">
        <v>50</v>
      </c>
      <c r="F31" s="9">
        <v>0</v>
      </c>
      <c r="G31" s="12" t="s">
        <v>97</v>
      </c>
      <c r="H31" s="12">
        <v>40.700000000000003</v>
      </c>
      <c r="I31" s="12">
        <v>29.9</v>
      </c>
      <c r="J31" s="9">
        <v>12.36</v>
      </c>
      <c r="K31" s="9">
        <v>74</v>
      </c>
      <c r="L31" s="9"/>
      <c r="M31" s="9"/>
      <c r="N31" s="9"/>
      <c r="O31" s="9">
        <f t="shared" si="15"/>
        <v>15</v>
      </c>
      <c r="P31" s="9">
        <f t="shared" si="16"/>
        <v>5.4</v>
      </c>
      <c r="Q31" s="9">
        <f t="shared" si="17"/>
        <v>2.34</v>
      </c>
      <c r="R31" s="9">
        <f t="shared" si="18"/>
        <v>74.790000000000006</v>
      </c>
      <c r="S31" s="9">
        <f t="shared" si="19"/>
        <v>30.86</v>
      </c>
      <c r="T31" s="9">
        <f t="shared" si="20"/>
        <v>23.08</v>
      </c>
      <c r="U31" s="9">
        <f t="shared" si="21"/>
        <v>93.5</v>
      </c>
      <c r="V31" s="9">
        <f t="shared" si="22"/>
        <v>2.1</v>
      </c>
      <c r="W31" s="9">
        <f t="shared" si="23"/>
        <v>3.8</v>
      </c>
      <c r="X31" s="9">
        <f t="shared" si="24"/>
        <v>6.8</v>
      </c>
      <c r="Y31" s="9">
        <f t="shared" si="25"/>
        <v>23.7</v>
      </c>
      <c r="Z31" s="11" t="s">
        <v>175</v>
      </c>
      <c r="AA31" s="11" t="s">
        <v>176</v>
      </c>
      <c r="AB31" s="9" t="s">
        <v>44</v>
      </c>
      <c r="AC31" s="16" t="s">
        <v>63</v>
      </c>
      <c r="AD31" s="12">
        <v>41.3</v>
      </c>
      <c r="AE31" s="14" t="s">
        <v>46</v>
      </c>
      <c r="AF31" s="14">
        <v>400</v>
      </c>
      <c r="AG31" s="11"/>
      <c r="AH31" s="12">
        <f t="shared" si="26"/>
        <v>34.40996450996451</v>
      </c>
      <c r="AI31" s="12">
        <v>28.8</v>
      </c>
      <c r="AJ31" s="12">
        <v>34.6</v>
      </c>
      <c r="AK31" s="9">
        <v>23.24</v>
      </c>
      <c r="AL31" s="11" t="s">
        <v>177</v>
      </c>
      <c r="AM31" s="9" t="s">
        <v>178</v>
      </c>
      <c r="AN31" s="9"/>
    </row>
    <row r="32" spans="1:40" s="8" customFormat="1" ht="22.5" customHeight="1" x14ac:dyDescent="0.2">
      <c r="A32" s="9">
        <v>85</v>
      </c>
      <c r="B32" s="10">
        <v>42628</v>
      </c>
      <c r="C32" s="11">
        <v>58002568</v>
      </c>
      <c r="D32" s="11" t="s">
        <v>179</v>
      </c>
      <c r="E32" s="9" t="s">
        <v>50</v>
      </c>
      <c r="F32" s="9">
        <v>0</v>
      </c>
      <c r="G32" s="12" t="s">
        <v>41</v>
      </c>
      <c r="H32" s="12">
        <v>22</v>
      </c>
      <c r="I32" s="12">
        <v>14.1</v>
      </c>
      <c r="J32" s="9">
        <v>33.51</v>
      </c>
      <c r="K32" s="9">
        <v>169</v>
      </c>
      <c r="L32" s="9"/>
      <c r="M32" s="9"/>
      <c r="N32" s="9"/>
      <c r="O32" s="9">
        <f t="shared" si="15"/>
        <v>169</v>
      </c>
      <c r="P32" s="9">
        <f t="shared" si="16"/>
        <v>4.7</v>
      </c>
      <c r="Q32" s="9">
        <f t="shared" si="17"/>
        <v>2.21</v>
      </c>
      <c r="R32" s="9">
        <f t="shared" si="18"/>
        <v>63.8</v>
      </c>
      <c r="S32" s="9">
        <f t="shared" si="19"/>
        <v>33.33</v>
      </c>
      <c r="T32" s="9">
        <f t="shared" si="20"/>
        <v>21.27</v>
      </c>
      <c r="U32" s="9">
        <f t="shared" si="21"/>
        <v>86.2</v>
      </c>
      <c r="V32" s="9">
        <f t="shared" si="22"/>
        <v>5.6</v>
      </c>
      <c r="W32" s="9">
        <f t="shared" si="23"/>
        <v>7.7</v>
      </c>
      <c r="X32" s="9">
        <f t="shared" si="24"/>
        <v>6.4</v>
      </c>
      <c r="Y32" s="9">
        <f t="shared" si="25"/>
        <v>15.3</v>
      </c>
      <c r="Z32" s="11" t="s">
        <v>122</v>
      </c>
      <c r="AA32" s="11" t="s">
        <v>180</v>
      </c>
      <c r="AB32" s="9" t="s">
        <v>44</v>
      </c>
      <c r="AC32" s="16" t="s">
        <v>181</v>
      </c>
      <c r="AD32" s="12">
        <v>43</v>
      </c>
      <c r="AE32" s="14" t="s">
        <v>46</v>
      </c>
      <c r="AF32" s="14">
        <v>300</v>
      </c>
      <c r="AG32" s="11"/>
      <c r="AH32" s="12">
        <f t="shared" si="26"/>
        <v>20.615151515151517</v>
      </c>
      <c r="AI32" s="12">
        <v>20.6</v>
      </c>
      <c r="AJ32" s="12">
        <v>20.6</v>
      </c>
      <c r="AK32" s="9">
        <v>32.69</v>
      </c>
      <c r="AL32" s="11" t="s">
        <v>150</v>
      </c>
      <c r="AM32" s="9" t="s">
        <v>182</v>
      </c>
      <c r="AN32" s="9"/>
    </row>
    <row r="33" spans="1:40" s="8" customFormat="1" ht="22.5" customHeight="1" x14ac:dyDescent="0.2">
      <c r="A33" s="9">
        <v>86</v>
      </c>
      <c r="B33" s="10">
        <v>42628</v>
      </c>
      <c r="C33" s="11">
        <v>59003007</v>
      </c>
      <c r="D33" s="11" t="s">
        <v>162</v>
      </c>
      <c r="E33" s="9" t="s">
        <v>40</v>
      </c>
      <c r="F33" s="9">
        <v>0</v>
      </c>
      <c r="G33" s="12" t="s">
        <v>41</v>
      </c>
      <c r="H33" s="17"/>
      <c r="I33" s="12">
        <v>16.399999999999999</v>
      </c>
      <c r="J33" s="9">
        <v>13.98</v>
      </c>
      <c r="K33" s="9">
        <v>544</v>
      </c>
      <c r="L33" s="9"/>
      <c r="M33" s="9"/>
      <c r="N33" s="9"/>
      <c r="O33" s="9">
        <f t="shared" si="15"/>
        <v>544</v>
      </c>
      <c r="P33" s="9">
        <f t="shared" si="16"/>
        <v>4.5</v>
      </c>
      <c r="Q33" s="9">
        <f t="shared" si="17"/>
        <v>4.37</v>
      </c>
      <c r="R33" s="9">
        <f t="shared" si="18"/>
        <v>37.53</v>
      </c>
      <c r="S33" s="9">
        <f t="shared" si="19"/>
        <v>27.44</v>
      </c>
      <c r="T33" s="9">
        <f t="shared" si="20"/>
        <v>10.3</v>
      </c>
      <c r="U33" s="9">
        <f t="shared" si="21"/>
        <v>80.8</v>
      </c>
      <c r="V33" s="9">
        <f t="shared" si="22"/>
        <v>10.9</v>
      </c>
      <c r="W33" s="9">
        <f t="shared" si="23"/>
        <v>5.7</v>
      </c>
      <c r="X33" s="9">
        <f t="shared" si="24"/>
        <v>7.2</v>
      </c>
      <c r="Y33" s="9">
        <f t="shared" si="25"/>
        <v>22.9</v>
      </c>
      <c r="Z33" s="11" t="s">
        <v>163</v>
      </c>
      <c r="AA33" s="11" t="s">
        <v>164</v>
      </c>
      <c r="AB33" s="9" t="s">
        <v>44</v>
      </c>
      <c r="AC33" s="16" t="s">
        <v>106</v>
      </c>
      <c r="AD33" s="12">
        <v>45</v>
      </c>
      <c r="AE33" s="14" t="s">
        <v>46</v>
      </c>
      <c r="AF33" s="14">
        <v>300</v>
      </c>
      <c r="AG33" s="11"/>
      <c r="AH33" s="17" t="e">
        <f t="shared" si="26"/>
        <v>#DIV/0!</v>
      </c>
      <c r="AI33" s="12">
        <v>17</v>
      </c>
      <c r="AJ33" s="12">
        <v>16.7</v>
      </c>
      <c r="AK33" s="9">
        <v>15.17</v>
      </c>
      <c r="AL33" s="11" t="s">
        <v>165</v>
      </c>
      <c r="AM33" s="9" t="s">
        <v>166</v>
      </c>
      <c r="AN33" s="9"/>
    </row>
    <row r="34" spans="1:40" s="8" customFormat="1" ht="22.5" customHeight="1" x14ac:dyDescent="0.2">
      <c r="A34" s="9">
        <v>87</v>
      </c>
      <c r="B34" s="10">
        <v>42633</v>
      </c>
      <c r="C34" s="11">
        <v>59003695</v>
      </c>
      <c r="D34" s="11" t="s">
        <v>183</v>
      </c>
      <c r="E34" s="9" t="s">
        <v>50</v>
      </c>
      <c r="F34" s="9">
        <v>0</v>
      </c>
      <c r="G34" s="12" t="s">
        <v>41</v>
      </c>
      <c r="H34" s="12">
        <v>9.1999999999999993</v>
      </c>
      <c r="I34" s="12">
        <v>7.4</v>
      </c>
      <c r="J34" s="9">
        <v>24.02</v>
      </c>
      <c r="K34" s="9">
        <v>53</v>
      </c>
      <c r="L34" s="9"/>
      <c r="M34" s="9"/>
      <c r="N34" s="9"/>
      <c r="O34" s="9">
        <f t="shared" si="15"/>
        <v>53</v>
      </c>
      <c r="P34" s="9">
        <f t="shared" si="16"/>
        <v>1.9</v>
      </c>
      <c r="Q34" s="9">
        <f t="shared" si="17"/>
        <v>0.8</v>
      </c>
      <c r="R34" s="9">
        <f t="shared" si="18"/>
        <v>92.5</v>
      </c>
      <c r="S34" s="9">
        <f t="shared" si="19"/>
        <v>25.68</v>
      </c>
      <c r="T34" s="9">
        <f t="shared" si="20"/>
        <v>23.75</v>
      </c>
      <c r="U34" s="9">
        <f t="shared" si="21"/>
        <v>51.9</v>
      </c>
      <c r="V34" s="9">
        <f t="shared" si="22"/>
        <v>33.1</v>
      </c>
      <c r="W34" s="9">
        <f t="shared" si="23"/>
        <v>14.5</v>
      </c>
      <c r="X34" s="9">
        <f t="shared" si="24"/>
        <v>4.8</v>
      </c>
      <c r="Y34" s="9">
        <f t="shared" si="25"/>
        <v>29.5</v>
      </c>
      <c r="Z34" s="11" t="s">
        <v>125</v>
      </c>
      <c r="AA34" s="11" t="s">
        <v>184</v>
      </c>
      <c r="AB34" s="9" t="s">
        <v>44</v>
      </c>
      <c r="AC34" s="16" t="s">
        <v>185</v>
      </c>
      <c r="AD34" s="12">
        <v>51.3</v>
      </c>
      <c r="AE34" s="14" t="s">
        <v>58</v>
      </c>
      <c r="AF34" s="14">
        <v>110</v>
      </c>
      <c r="AG34" s="11"/>
      <c r="AH34" s="12">
        <f>((AF34/H34)+I34)</f>
        <v>19.356521739130436</v>
      </c>
      <c r="AI34" s="12">
        <v>21.6</v>
      </c>
      <c r="AJ34" s="12">
        <v>21.6</v>
      </c>
      <c r="AK34" s="9">
        <v>19.32</v>
      </c>
      <c r="AL34" s="11" t="s">
        <v>186</v>
      </c>
      <c r="AM34" s="9" t="s">
        <v>187</v>
      </c>
      <c r="AN34" s="9"/>
    </row>
    <row r="35" spans="1:40" s="8" customFormat="1" ht="22.5" customHeight="1" x14ac:dyDescent="0.2">
      <c r="A35" s="9">
        <v>88</v>
      </c>
      <c r="B35" s="10">
        <v>42644</v>
      </c>
      <c r="C35" s="11">
        <v>59003866</v>
      </c>
      <c r="D35" s="11" t="s">
        <v>188</v>
      </c>
      <c r="E35" s="9" t="s">
        <v>40</v>
      </c>
      <c r="F35" s="9">
        <v>0</v>
      </c>
      <c r="G35" s="12" t="s">
        <v>41</v>
      </c>
      <c r="H35" s="12">
        <v>2.56</v>
      </c>
      <c r="I35" s="12">
        <v>7.1</v>
      </c>
      <c r="J35" s="9">
        <v>9.16</v>
      </c>
      <c r="K35" s="9">
        <v>11</v>
      </c>
      <c r="L35" s="9"/>
      <c r="M35" s="9"/>
      <c r="N35" s="9"/>
      <c r="O35" s="9">
        <f t="shared" si="15"/>
        <v>11</v>
      </c>
      <c r="P35" s="9">
        <f t="shared" si="16"/>
        <v>2.2999999999999998</v>
      </c>
      <c r="Q35" s="9">
        <f t="shared" si="17"/>
        <v>1.04</v>
      </c>
      <c r="R35" s="9">
        <f t="shared" si="18"/>
        <v>68.27</v>
      </c>
      <c r="S35" s="9">
        <f t="shared" si="19"/>
        <v>32.39</v>
      </c>
      <c r="T35" s="9">
        <f t="shared" si="20"/>
        <v>22.12</v>
      </c>
      <c r="U35" s="9">
        <f t="shared" si="21"/>
        <v>68</v>
      </c>
      <c r="V35" s="9">
        <f t="shared" si="22"/>
        <v>16.3</v>
      </c>
      <c r="W35" s="9">
        <f t="shared" si="23"/>
        <v>15.3</v>
      </c>
      <c r="X35" s="9">
        <f t="shared" si="24"/>
        <v>5</v>
      </c>
      <c r="Y35" s="9">
        <f t="shared" si="25"/>
        <v>14.3</v>
      </c>
      <c r="Z35" s="11" t="s">
        <v>189</v>
      </c>
      <c r="AA35" s="11" t="s">
        <v>190</v>
      </c>
      <c r="AB35" s="9" t="s">
        <v>44</v>
      </c>
      <c r="AC35" s="16" t="s">
        <v>191</v>
      </c>
      <c r="AD35" s="12">
        <v>52</v>
      </c>
      <c r="AE35" s="14" t="s">
        <v>46</v>
      </c>
      <c r="AF35" s="14">
        <v>100</v>
      </c>
      <c r="AG35" s="11"/>
      <c r="AH35" s="12">
        <f t="shared" ref="AH35:AH41" si="27">(((AF35/(90*H35))*AD35)+I35)</f>
        <v>29.669444444444444</v>
      </c>
      <c r="AI35" s="12">
        <v>25.2</v>
      </c>
      <c r="AJ35" s="12">
        <v>25.2</v>
      </c>
      <c r="AK35" s="9">
        <v>15.96</v>
      </c>
      <c r="AL35" s="11" t="s">
        <v>192</v>
      </c>
      <c r="AM35" s="9" t="s">
        <v>193</v>
      </c>
      <c r="AN35" s="9"/>
    </row>
    <row r="36" spans="1:40" s="8" customFormat="1" ht="22.5" customHeight="1" x14ac:dyDescent="0.2">
      <c r="A36" s="9">
        <v>89</v>
      </c>
      <c r="B36" s="10">
        <v>42638</v>
      </c>
      <c r="C36" s="11">
        <v>59003639</v>
      </c>
      <c r="D36" s="11" t="s">
        <v>194</v>
      </c>
      <c r="E36" s="9" t="s">
        <v>50</v>
      </c>
      <c r="F36" s="9">
        <v>0</v>
      </c>
      <c r="G36" s="12" t="s">
        <v>41</v>
      </c>
      <c r="H36" s="12">
        <v>13.5</v>
      </c>
      <c r="I36" s="12">
        <v>14</v>
      </c>
      <c r="J36" s="9">
        <v>0</v>
      </c>
      <c r="K36" s="9">
        <v>0</v>
      </c>
      <c r="L36" s="9"/>
      <c r="M36" s="9"/>
      <c r="N36" s="9"/>
      <c r="O36" s="9">
        <f t="shared" si="15"/>
        <v>0</v>
      </c>
      <c r="P36" s="9">
        <f t="shared" si="16"/>
        <v>0</v>
      </c>
      <c r="Q36" s="9">
        <f t="shared" si="17"/>
        <v>0</v>
      </c>
      <c r="R36" s="9">
        <f t="shared" si="18"/>
        <v>0</v>
      </c>
      <c r="S36" s="9">
        <f t="shared" si="19"/>
        <v>0</v>
      </c>
      <c r="T36" s="9">
        <f t="shared" si="20"/>
        <v>0</v>
      </c>
      <c r="U36" s="9">
        <f t="shared" si="21"/>
        <v>0</v>
      </c>
      <c r="V36" s="9">
        <f t="shared" si="22"/>
        <v>0</v>
      </c>
      <c r="W36" s="9">
        <f t="shared" si="23"/>
        <v>0</v>
      </c>
      <c r="X36" s="9">
        <f t="shared" si="24"/>
        <v>5.6</v>
      </c>
      <c r="Y36" s="9">
        <f t="shared" si="25"/>
        <v>0</v>
      </c>
      <c r="Z36" s="11" t="s">
        <v>195</v>
      </c>
      <c r="AA36" s="11" t="s">
        <v>196</v>
      </c>
      <c r="AB36" s="9" t="s">
        <v>44</v>
      </c>
      <c r="AC36" s="16" t="s">
        <v>191</v>
      </c>
      <c r="AD36" s="12">
        <v>52.8</v>
      </c>
      <c r="AE36" s="14" t="s">
        <v>46</v>
      </c>
      <c r="AF36" s="14">
        <v>400</v>
      </c>
      <c r="AG36" s="11"/>
      <c r="AH36" s="12">
        <f t="shared" si="27"/>
        <v>31.382716049382715</v>
      </c>
      <c r="AI36" s="12">
        <v>19</v>
      </c>
      <c r="AJ36" s="12">
        <v>19</v>
      </c>
      <c r="AK36" s="9">
        <v>8.68</v>
      </c>
      <c r="AL36" s="11" t="s">
        <v>197</v>
      </c>
      <c r="AM36" s="9" t="s">
        <v>198</v>
      </c>
      <c r="AN36" s="9"/>
    </row>
    <row r="37" spans="1:40" s="8" customFormat="1" ht="22.5" customHeight="1" x14ac:dyDescent="0.2">
      <c r="A37" s="9">
        <v>90</v>
      </c>
      <c r="B37" s="10">
        <v>42649</v>
      </c>
      <c r="C37" s="11">
        <v>59003908</v>
      </c>
      <c r="D37" s="11" t="s">
        <v>199</v>
      </c>
      <c r="E37" s="9" t="s">
        <v>50</v>
      </c>
      <c r="F37" s="9">
        <v>0</v>
      </c>
      <c r="G37" s="12" t="s">
        <v>41</v>
      </c>
      <c r="H37" s="12">
        <v>15.25</v>
      </c>
      <c r="I37" s="12">
        <v>21.4</v>
      </c>
      <c r="J37" s="9">
        <v>115.03</v>
      </c>
      <c r="K37" s="9">
        <v>179</v>
      </c>
      <c r="L37" s="9"/>
      <c r="M37" s="9"/>
      <c r="N37" s="9"/>
      <c r="O37" s="9">
        <f t="shared" si="15"/>
        <v>179</v>
      </c>
      <c r="P37" s="9">
        <f t="shared" si="16"/>
        <v>6.9</v>
      </c>
      <c r="Q37" s="9">
        <f t="shared" si="17"/>
        <v>3.58</v>
      </c>
      <c r="R37" s="9">
        <f t="shared" si="18"/>
        <v>59.78</v>
      </c>
      <c r="S37" s="9">
        <f t="shared" si="19"/>
        <v>32.24</v>
      </c>
      <c r="T37" s="9">
        <f t="shared" si="20"/>
        <v>19.27</v>
      </c>
      <c r="U37" s="9">
        <f t="shared" si="21"/>
        <v>72</v>
      </c>
      <c r="V37" s="9">
        <f t="shared" si="22"/>
        <v>16</v>
      </c>
      <c r="W37" s="9">
        <f t="shared" si="23"/>
        <v>2</v>
      </c>
      <c r="X37" s="9">
        <f t="shared" si="24"/>
        <v>7</v>
      </c>
      <c r="Y37" s="9">
        <f t="shared" si="25"/>
        <v>16.2</v>
      </c>
      <c r="Z37" s="11" t="s">
        <v>200</v>
      </c>
      <c r="AA37" s="11" t="s">
        <v>201</v>
      </c>
      <c r="AB37" s="9" t="s">
        <v>44</v>
      </c>
      <c r="AC37" s="16" t="s">
        <v>68</v>
      </c>
      <c r="AD37" s="12">
        <v>48.9</v>
      </c>
      <c r="AE37" s="14" t="s">
        <v>46</v>
      </c>
      <c r="AF37" s="14">
        <v>300</v>
      </c>
      <c r="AG37" s="11"/>
      <c r="AH37" s="12">
        <f t="shared" si="27"/>
        <v>32.088524590163928</v>
      </c>
      <c r="AI37" s="12">
        <v>27.1</v>
      </c>
      <c r="AJ37" s="12">
        <v>27.1</v>
      </c>
      <c r="AK37" s="9">
        <v>125.15</v>
      </c>
      <c r="AL37" s="11" t="s">
        <v>202</v>
      </c>
      <c r="AM37" s="9" t="s">
        <v>203</v>
      </c>
      <c r="AN37" s="9"/>
    </row>
    <row r="38" spans="1:40" s="48" customFormat="1" ht="22.5" customHeight="1" x14ac:dyDescent="0.2">
      <c r="A38" s="42">
        <v>91</v>
      </c>
      <c r="B38" s="43">
        <v>42649</v>
      </c>
      <c r="C38" s="44">
        <v>59001792</v>
      </c>
      <c r="D38" s="44" t="s">
        <v>204</v>
      </c>
      <c r="E38" s="42" t="s">
        <v>40</v>
      </c>
      <c r="F38" s="42"/>
      <c r="G38" s="45" t="s">
        <v>41</v>
      </c>
      <c r="H38" s="45">
        <v>17</v>
      </c>
      <c r="I38" s="45">
        <v>17</v>
      </c>
      <c r="J38" s="42"/>
      <c r="K38" s="42"/>
      <c r="L38" s="42"/>
      <c r="M38" s="42"/>
      <c r="N38" s="42"/>
      <c r="O38" s="42" t="e">
        <f t="shared" si="15"/>
        <v>#N/A</v>
      </c>
      <c r="P38" s="42" t="e">
        <f t="shared" si="16"/>
        <v>#N/A</v>
      </c>
      <c r="Q38" s="42" t="e">
        <f t="shared" si="17"/>
        <v>#N/A</v>
      </c>
      <c r="R38" s="42" t="e">
        <f t="shared" si="18"/>
        <v>#N/A</v>
      </c>
      <c r="S38" s="42" t="e">
        <f t="shared" si="19"/>
        <v>#N/A</v>
      </c>
      <c r="T38" s="42" t="e">
        <f t="shared" si="20"/>
        <v>#N/A</v>
      </c>
      <c r="U38" s="42" t="e">
        <f t="shared" si="21"/>
        <v>#N/A</v>
      </c>
      <c r="V38" s="42" t="e">
        <f t="shared" si="22"/>
        <v>#N/A</v>
      </c>
      <c r="W38" s="42" t="e">
        <f t="shared" si="23"/>
        <v>#N/A</v>
      </c>
      <c r="X38" s="42" t="e">
        <f t="shared" si="24"/>
        <v>#N/A</v>
      </c>
      <c r="Y38" s="42" t="e">
        <f t="shared" si="25"/>
        <v>#N/A</v>
      </c>
      <c r="Z38" s="44"/>
      <c r="AA38" s="44"/>
      <c r="AB38" s="42" t="s">
        <v>44</v>
      </c>
      <c r="AC38" s="46" t="s">
        <v>45</v>
      </c>
      <c r="AD38" s="45">
        <v>57.9</v>
      </c>
      <c r="AE38" s="47" t="s">
        <v>46</v>
      </c>
      <c r="AF38" s="47">
        <v>350</v>
      </c>
      <c r="AG38" s="44"/>
      <c r="AH38" s="45">
        <f t="shared" si="27"/>
        <v>30.245098039215684</v>
      </c>
      <c r="AI38" s="45">
        <v>31.5</v>
      </c>
      <c r="AJ38" s="45"/>
      <c r="AK38" s="42"/>
      <c r="AL38" s="44"/>
      <c r="AM38" s="42"/>
      <c r="AN38" s="42"/>
    </row>
    <row r="39" spans="1:40" s="8" customFormat="1" ht="22.5" customHeight="1" x14ac:dyDescent="0.2">
      <c r="A39" s="9">
        <v>92</v>
      </c>
      <c r="B39" s="10">
        <v>42662</v>
      </c>
      <c r="C39" s="11">
        <v>59004083</v>
      </c>
      <c r="D39" s="11" t="s">
        <v>205</v>
      </c>
      <c r="E39" s="9" t="s">
        <v>40</v>
      </c>
      <c r="F39" s="9">
        <v>0</v>
      </c>
      <c r="G39" s="12" t="s">
        <v>206</v>
      </c>
      <c r="H39" s="17"/>
      <c r="I39" s="12">
        <v>9.4</v>
      </c>
      <c r="J39" s="9">
        <v>47.83</v>
      </c>
      <c r="K39" s="9">
        <v>33</v>
      </c>
      <c r="L39" s="9"/>
      <c r="M39" s="9"/>
      <c r="N39" s="9"/>
      <c r="O39" s="9">
        <f t="shared" si="15"/>
        <v>33</v>
      </c>
      <c r="P39" s="9">
        <f t="shared" si="16"/>
        <v>2.4</v>
      </c>
      <c r="Q39" s="9">
        <f t="shared" si="17"/>
        <v>0.96</v>
      </c>
      <c r="R39" s="9">
        <f t="shared" si="18"/>
        <v>97.92</v>
      </c>
      <c r="S39" s="9">
        <f t="shared" si="19"/>
        <v>25.53</v>
      </c>
      <c r="T39" s="9">
        <f t="shared" si="20"/>
        <v>25</v>
      </c>
      <c r="U39" s="9">
        <f t="shared" si="21"/>
        <v>89</v>
      </c>
      <c r="V39" s="9">
        <f t="shared" si="22"/>
        <v>6</v>
      </c>
      <c r="W39" s="9">
        <f t="shared" si="23"/>
        <v>5</v>
      </c>
      <c r="X39" s="9">
        <f t="shared" si="24"/>
        <v>8.8000000000000007</v>
      </c>
      <c r="Y39" s="9">
        <f t="shared" si="25"/>
        <v>0</v>
      </c>
      <c r="Z39" s="11" t="s">
        <v>42</v>
      </c>
      <c r="AA39" s="11" t="s">
        <v>207</v>
      </c>
      <c r="AB39" s="9" t="s">
        <v>44</v>
      </c>
      <c r="AC39" s="16" t="s">
        <v>208</v>
      </c>
      <c r="AD39" s="12">
        <v>46</v>
      </c>
      <c r="AE39" s="14" t="s">
        <v>46</v>
      </c>
      <c r="AF39" s="14">
        <v>450</v>
      </c>
      <c r="AG39" s="11"/>
      <c r="AH39" s="12" t="e">
        <f t="shared" si="27"/>
        <v>#DIV/0!</v>
      </c>
      <c r="AI39" s="12"/>
      <c r="AJ39" s="12">
        <v>14.9</v>
      </c>
      <c r="AK39" s="9">
        <v>42.59</v>
      </c>
      <c r="AL39" s="11" t="s">
        <v>209</v>
      </c>
      <c r="AM39" s="9" t="s">
        <v>210</v>
      </c>
      <c r="AN39" s="9"/>
    </row>
    <row r="40" spans="1:40" s="8" customFormat="1" ht="22.5" customHeight="1" x14ac:dyDescent="0.2">
      <c r="A40" s="9">
        <v>101</v>
      </c>
      <c r="B40" s="10">
        <v>42693</v>
      </c>
      <c r="C40" s="11">
        <v>59004872</v>
      </c>
      <c r="D40" s="11" t="s">
        <v>211</v>
      </c>
      <c r="E40" s="9" t="s">
        <v>50</v>
      </c>
      <c r="F40" s="9">
        <v>0</v>
      </c>
      <c r="G40" s="12" t="s">
        <v>116</v>
      </c>
      <c r="H40" s="17"/>
      <c r="I40" s="12">
        <v>25</v>
      </c>
      <c r="J40" s="9">
        <v>32.159999999999997</v>
      </c>
      <c r="K40" s="9">
        <v>317</v>
      </c>
      <c r="L40" s="9"/>
      <c r="M40" s="9"/>
      <c r="N40" s="9"/>
      <c r="O40" s="9">
        <f t="shared" si="15"/>
        <v>317</v>
      </c>
      <c r="P40" s="9">
        <f t="shared" si="16"/>
        <v>8</v>
      </c>
      <c r="Q40" s="9">
        <f t="shared" si="17"/>
        <v>3.65</v>
      </c>
      <c r="R40" s="9">
        <f t="shared" si="18"/>
        <v>68.489999999999995</v>
      </c>
      <c r="S40" s="9">
        <f t="shared" si="19"/>
        <v>32</v>
      </c>
      <c r="T40" s="9">
        <f t="shared" si="20"/>
        <v>21.92</v>
      </c>
      <c r="U40" s="9">
        <f t="shared" si="21"/>
        <v>77.599999999999994</v>
      </c>
      <c r="V40" s="9">
        <f t="shared" si="22"/>
        <v>13.9</v>
      </c>
      <c r="W40" s="9">
        <f t="shared" si="23"/>
        <v>7.9</v>
      </c>
      <c r="X40" s="9">
        <f t="shared" si="24"/>
        <v>6.8</v>
      </c>
      <c r="Y40" s="9">
        <f t="shared" si="25"/>
        <v>13.9</v>
      </c>
      <c r="Z40" s="11" t="s">
        <v>212</v>
      </c>
      <c r="AA40" s="11" t="s">
        <v>213</v>
      </c>
      <c r="AB40" s="9" t="s">
        <v>44</v>
      </c>
      <c r="AC40" s="16" t="s">
        <v>214</v>
      </c>
      <c r="AD40" s="12">
        <v>53</v>
      </c>
      <c r="AE40" s="14" t="s">
        <v>46</v>
      </c>
      <c r="AF40" s="14">
        <v>150</v>
      </c>
      <c r="AG40" s="11"/>
      <c r="AH40" s="12" t="e">
        <f t="shared" si="27"/>
        <v>#DIV/0!</v>
      </c>
      <c r="AI40" s="12">
        <v>25.4</v>
      </c>
      <c r="AJ40" s="12">
        <v>25.4</v>
      </c>
      <c r="AK40" s="9">
        <v>35.630000000000003</v>
      </c>
      <c r="AL40" s="11" t="s">
        <v>47</v>
      </c>
      <c r="AM40" s="9"/>
      <c r="AN40" s="9"/>
    </row>
    <row r="41" spans="1:40" s="61" customFormat="1" ht="22.5" customHeight="1" x14ac:dyDescent="0.2">
      <c r="A41" s="57">
        <v>102</v>
      </c>
      <c r="B41" s="58">
        <v>42731</v>
      </c>
      <c r="C41" s="59">
        <v>59004962</v>
      </c>
      <c r="D41" s="59" t="s">
        <v>215</v>
      </c>
      <c r="E41" s="57" t="s">
        <v>40</v>
      </c>
      <c r="F41" s="57">
        <v>0</v>
      </c>
      <c r="G41" s="57" t="s">
        <v>206</v>
      </c>
      <c r="H41" s="57">
        <v>27</v>
      </c>
      <c r="I41" s="57">
        <v>14.3</v>
      </c>
      <c r="J41" s="57">
        <v>13.04</v>
      </c>
      <c r="K41" s="57">
        <v>67</v>
      </c>
      <c r="L41" s="57"/>
      <c r="M41" s="57"/>
      <c r="N41" s="57"/>
      <c r="O41" s="57">
        <f t="shared" si="15"/>
        <v>67</v>
      </c>
      <c r="P41" s="57">
        <f t="shared" si="16"/>
        <v>4.3</v>
      </c>
      <c r="Q41" s="57">
        <f t="shared" si="17"/>
        <v>1.8</v>
      </c>
      <c r="R41" s="57">
        <f t="shared" si="18"/>
        <v>79.44</v>
      </c>
      <c r="S41" s="57">
        <f t="shared" si="19"/>
        <v>30.07</v>
      </c>
      <c r="T41" s="57">
        <f t="shared" si="20"/>
        <v>23.89</v>
      </c>
      <c r="U41" s="57">
        <f t="shared" si="21"/>
        <v>85.9</v>
      </c>
      <c r="V41" s="57">
        <f t="shared" si="22"/>
        <v>5.8</v>
      </c>
      <c r="W41" s="57">
        <f t="shared" si="23"/>
        <v>5.0999999999999996</v>
      </c>
      <c r="X41" s="57">
        <f t="shared" si="24"/>
        <v>8</v>
      </c>
      <c r="Y41" s="57">
        <f t="shared" si="25"/>
        <v>15.3</v>
      </c>
      <c r="Z41" s="59" t="s">
        <v>216</v>
      </c>
      <c r="AA41" s="59" t="s">
        <v>217</v>
      </c>
      <c r="AB41" s="57" t="s">
        <v>44</v>
      </c>
      <c r="AC41" s="60" t="s">
        <v>171</v>
      </c>
      <c r="AD41" s="57">
        <v>55</v>
      </c>
      <c r="AE41" s="60" t="s">
        <v>46</v>
      </c>
      <c r="AF41" s="60">
        <v>350</v>
      </c>
      <c r="AG41" s="59"/>
      <c r="AH41" s="57">
        <f t="shared" si="27"/>
        <v>22.221810699588477</v>
      </c>
      <c r="AI41" s="57">
        <v>17</v>
      </c>
      <c r="AJ41" s="57">
        <v>17</v>
      </c>
      <c r="AK41" s="57">
        <v>14.35</v>
      </c>
      <c r="AL41" s="59" t="s">
        <v>140</v>
      </c>
      <c r="AM41" s="57"/>
      <c r="AN41" s="57"/>
    </row>
    <row r="42" spans="1:40" s="8" customFormat="1" ht="22.5" customHeight="1" x14ac:dyDescent="0.2">
      <c r="A42" s="20">
        <v>104</v>
      </c>
      <c r="B42" s="21">
        <v>42751</v>
      </c>
      <c r="C42" s="22">
        <v>60000138</v>
      </c>
      <c r="D42" s="23" t="s">
        <v>218</v>
      </c>
      <c r="E42" s="24" t="s">
        <v>50</v>
      </c>
      <c r="F42" s="24">
        <v>0</v>
      </c>
      <c r="G42" s="24" t="s">
        <v>219</v>
      </c>
      <c r="H42" s="24">
        <v>12</v>
      </c>
      <c r="I42" s="24">
        <v>21</v>
      </c>
      <c r="J42" s="24">
        <v>0</v>
      </c>
      <c r="K42" s="24">
        <v>0</v>
      </c>
      <c r="L42" s="24"/>
      <c r="M42" s="24"/>
      <c r="N42" s="24"/>
      <c r="O42" s="24">
        <f t="shared" ref="O42:O53" si="28">INDEX(platelet_b_60,MATCH(D42,name_b_60,0))</f>
        <v>0</v>
      </c>
      <c r="P42" s="24">
        <f t="shared" ref="P42:P53" si="29">INDEX(hgb_b_60,MATCH($D42,name_b_60,0))</f>
        <v>0</v>
      </c>
      <c r="Q42" s="24">
        <f t="shared" ref="Q42:Q53" si="30">INDEX(rbc_b_60,MATCH($D42,name_b_60,0))</f>
        <v>0</v>
      </c>
      <c r="R42" s="24">
        <f t="shared" ref="R42:R53" si="31">INDEX(mcv_b_60,MATCH($D42,name_b_60,0))</f>
        <v>0</v>
      </c>
      <c r="S42" s="24">
        <f t="shared" ref="S42:S53" si="32">INDEX(mchc_b_60,MATCH($D42,name_b_60,0))</f>
        <v>0</v>
      </c>
      <c r="T42" s="24">
        <f t="shared" ref="T42:T53" si="33">INDEX(mch_b_60,MATCH($D42,name_b_60,0))</f>
        <v>0</v>
      </c>
      <c r="U42" s="24">
        <f t="shared" ref="U42:U53" si="34">INDEX(segs_b_60,MATCH($D42,name_b_60,0))</f>
        <v>0</v>
      </c>
      <c r="V42" s="24">
        <f t="shared" ref="V42:V53" si="35">INDEX(lymph_b_60,MATCH($D42,name_b_60,0))</f>
        <v>0</v>
      </c>
      <c r="W42" s="24">
        <f t="shared" ref="W42:W53" si="36">INDEX(mono_b_60,MATCH($D42,name_b_60,0))</f>
        <v>0</v>
      </c>
      <c r="X42" s="24">
        <f t="shared" ref="X42:X53" si="37">INDEX(protein_refract_b_60,MATCH($D42,name_b_60,0))</f>
        <v>7.8</v>
      </c>
      <c r="Y42" s="24">
        <f t="shared" ref="Y42:Y53" si="38">INDEX(rdw_b_60,MATCH($D42,name_b_60,0))</f>
        <v>0</v>
      </c>
      <c r="Z42" s="24" t="s">
        <v>220</v>
      </c>
      <c r="AA42" s="25" t="s">
        <v>221</v>
      </c>
      <c r="AB42" s="20" t="s">
        <v>44</v>
      </c>
      <c r="AC42" s="22" t="s">
        <v>45</v>
      </c>
      <c r="AD42" s="20">
        <v>56.6</v>
      </c>
      <c r="AE42" s="22" t="s">
        <v>58</v>
      </c>
      <c r="AF42" s="22">
        <v>350</v>
      </c>
      <c r="AG42" s="23"/>
      <c r="AH42" s="24">
        <f>((AF42/H42)+I42)</f>
        <v>50.166666666666671</v>
      </c>
      <c r="AI42" s="20">
        <v>37.4</v>
      </c>
      <c r="AJ42" s="20">
        <v>37.4</v>
      </c>
      <c r="AK42" s="20">
        <v>23.42</v>
      </c>
      <c r="AL42" s="23" t="s">
        <v>222</v>
      </c>
      <c r="AM42" s="20" t="s">
        <v>223</v>
      </c>
      <c r="AN42" s="9"/>
    </row>
    <row r="43" spans="1:40" s="8" customFormat="1" ht="22.5" customHeight="1" x14ac:dyDescent="0.2">
      <c r="A43" s="9">
        <v>106</v>
      </c>
      <c r="B43" s="26">
        <v>42752</v>
      </c>
      <c r="C43" s="16">
        <v>60000069</v>
      </c>
      <c r="D43" s="11" t="s">
        <v>224</v>
      </c>
      <c r="E43" s="9" t="s">
        <v>50</v>
      </c>
      <c r="F43" s="9"/>
      <c r="G43" s="12" t="s">
        <v>225</v>
      </c>
      <c r="H43" s="12">
        <v>3.2</v>
      </c>
      <c r="I43" s="12">
        <v>9</v>
      </c>
      <c r="J43" s="9"/>
      <c r="K43" s="9"/>
      <c r="L43" s="9"/>
      <c r="M43" s="9"/>
      <c r="N43" s="9"/>
      <c r="O43" s="9" t="e">
        <f t="shared" si="28"/>
        <v>#N/A</v>
      </c>
      <c r="P43" s="9" t="e">
        <f t="shared" si="29"/>
        <v>#N/A</v>
      </c>
      <c r="Q43" s="9" t="e">
        <f t="shared" si="30"/>
        <v>#N/A</v>
      </c>
      <c r="R43" s="9" t="e">
        <f t="shared" si="31"/>
        <v>#N/A</v>
      </c>
      <c r="S43" s="9" t="e">
        <f t="shared" si="32"/>
        <v>#N/A</v>
      </c>
      <c r="T43" s="9" t="e">
        <f t="shared" si="33"/>
        <v>#N/A</v>
      </c>
      <c r="U43" s="9" t="e">
        <f t="shared" si="34"/>
        <v>#N/A</v>
      </c>
      <c r="V43" s="9" t="e">
        <f t="shared" si="35"/>
        <v>#N/A</v>
      </c>
      <c r="W43" s="9" t="e">
        <f t="shared" si="36"/>
        <v>#N/A</v>
      </c>
      <c r="X43" s="9" t="e">
        <f t="shared" si="37"/>
        <v>#N/A</v>
      </c>
      <c r="Y43" s="9" t="e">
        <f t="shared" si="38"/>
        <v>#N/A</v>
      </c>
      <c r="Z43" s="11"/>
      <c r="AA43" s="11"/>
      <c r="AB43" s="9" t="s">
        <v>44</v>
      </c>
      <c r="AC43" s="16" t="s">
        <v>226</v>
      </c>
      <c r="AD43" s="12">
        <v>51.3</v>
      </c>
      <c r="AE43" s="14" t="s">
        <v>46</v>
      </c>
      <c r="AF43" s="14">
        <v>60</v>
      </c>
      <c r="AG43" s="15" t="s">
        <v>227</v>
      </c>
      <c r="AH43" s="12">
        <f t="shared" ref="AH43:AH44" si="39">(((AF43/(90*H43))*AD43)+I43)</f>
        <v>19.6875</v>
      </c>
      <c r="AI43" s="12">
        <v>16</v>
      </c>
      <c r="AJ43" s="27">
        <v>16</v>
      </c>
      <c r="AK43" s="9"/>
      <c r="AL43" s="15"/>
      <c r="AM43" s="9"/>
      <c r="AN43" s="9"/>
    </row>
    <row r="44" spans="1:40" s="8" customFormat="1" ht="22.5" customHeight="1" x14ac:dyDescent="0.2">
      <c r="A44" s="9">
        <v>107</v>
      </c>
      <c r="B44" s="10">
        <v>42767</v>
      </c>
      <c r="C44" s="16">
        <v>60000359</v>
      </c>
      <c r="D44" s="11" t="s">
        <v>228</v>
      </c>
      <c r="E44" s="9" t="s">
        <v>40</v>
      </c>
      <c r="F44" s="9">
        <v>0</v>
      </c>
      <c r="G44" s="12" t="s">
        <v>225</v>
      </c>
      <c r="H44" s="12">
        <v>2.7</v>
      </c>
      <c r="I44" s="12">
        <v>7.5</v>
      </c>
      <c r="J44" s="9">
        <v>33.94</v>
      </c>
      <c r="K44" s="9">
        <v>128</v>
      </c>
      <c r="L44" s="9"/>
      <c r="M44" s="9"/>
      <c r="N44" s="9"/>
      <c r="O44" s="9">
        <f t="shared" si="28"/>
        <v>128</v>
      </c>
      <c r="P44" s="9">
        <f t="shared" si="29"/>
        <v>1.8</v>
      </c>
      <c r="Q44" s="9">
        <f t="shared" si="30"/>
        <v>0.9</v>
      </c>
      <c r="R44" s="9">
        <f t="shared" si="31"/>
        <v>83.33</v>
      </c>
      <c r="S44" s="9">
        <f t="shared" si="32"/>
        <v>24</v>
      </c>
      <c r="T44" s="9">
        <f t="shared" si="33"/>
        <v>20</v>
      </c>
      <c r="U44" s="9">
        <f t="shared" si="34"/>
        <v>64</v>
      </c>
      <c r="V44" s="9">
        <f t="shared" si="35"/>
        <v>13</v>
      </c>
      <c r="W44" s="9">
        <f t="shared" si="36"/>
        <v>17</v>
      </c>
      <c r="X44" s="9">
        <f t="shared" si="37"/>
        <v>0</v>
      </c>
      <c r="Y44" s="9">
        <f t="shared" si="38"/>
        <v>26.5</v>
      </c>
      <c r="Z44" s="11" t="s">
        <v>125</v>
      </c>
      <c r="AA44" s="11" t="s">
        <v>229</v>
      </c>
      <c r="AB44" s="9" t="s">
        <v>44</v>
      </c>
      <c r="AC44" s="16" t="s">
        <v>226</v>
      </c>
      <c r="AD44" s="12">
        <v>51</v>
      </c>
      <c r="AE44" s="14" t="s">
        <v>46</v>
      </c>
      <c r="AF44" s="14">
        <v>140</v>
      </c>
      <c r="AG44" s="15" t="s">
        <v>230</v>
      </c>
      <c r="AH44" s="12">
        <f t="shared" si="39"/>
        <v>36.882716049382708</v>
      </c>
      <c r="AI44" s="12">
        <v>40</v>
      </c>
      <c r="AJ44" s="27">
        <v>40</v>
      </c>
      <c r="AK44" s="9">
        <v>27.78</v>
      </c>
      <c r="AL44" s="15" t="s">
        <v>231</v>
      </c>
      <c r="AM44" s="9" t="s">
        <v>232</v>
      </c>
      <c r="AN44" s="9"/>
    </row>
    <row r="45" spans="1:40" s="8" customFormat="1" ht="22.5" customHeight="1" x14ac:dyDescent="0.2">
      <c r="A45" s="9">
        <v>109</v>
      </c>
      <c r="B45" s="10">
        <v>42765</v>
      </c>
      <c r="C45" s="16">
        <v>60000344</v>
      </c>
      <c r="D45" s="11" t="s">
        <v>233</v>
      </c>
      <c r="E45" s="9" t="s">
        <v>50</v>
      </c>
      <c r="F45" s="9">
        <v>0</v>
      </c>
      <c r="G45" s="12" t="s">
        <v>116</v>
      </c>
      <c r="H45" s="12">
        <v>6</v>
      </c>
      <c r="I45" s="12">
        <v>10.5</v>
      </c>
      <c r="J45" s="9">
        <v>597.4</v>
      </c>
      <c r="K45" s="9">
        <v>47</v>
      </c>
      <c r="L45" s="9"/>
      <c r="M45" s="9"/>
      <c r="N45" s="9"/>
      <c r="O45" s="9">
        <f t="shared" si="28"/>
        <v>47</v>
      </c>
      <c r="P45" s="9">
        <f t="shared" si="29"/>
        <v>2.5</v>
      </c>
      <c r="Q45" s="9">
        <f t="shared" si="30"/>
        <v>1.0900000000000001</v>
      </c>
      <c r="R45" s="9">
        <f t="shared" si="31"/>
        <v>96.33</v>
      </c>
      <c r="S45" s="9">
        <f t="shared" si="32"/>
        <v>23.81</v>
      </c>
      <c r="T45" s="9">
        <f t="shared" si="33"/>
        <v>22.94</v>
      </c>
      <c r="U45" s="9">
        <f t="shared" si="34"/>
        <v>100</v>
      </c>
      <c r="V45" s="9">
        <f t="shared" si="35"/>
        <v>0</v>
      </c>
      <c r="W45" s="9">
        <f t="shared" si="36"/>
        <v>0</v>
      </c>
      <c r="X45" s="9">
        <f t="shared" si="37"/>
        <v>7.2</v>
      </c>
      <c r="Y45" s="9">
        <f t="shared" si="38"/>
        <v>18.8</v>
      </c>
      <c r="Z45" s="11" t="s">
        <v>234</v>
      </c>
      <c r="AA45" s="11" t="s">
        <v>235</v>
      </c>
      <c r="AB45" s="9" t="s">
        <v>44</v>
      </c>
      <c r="AC45" s="16" t="s">
        <v>117</v>
      </c>
      <c r="AD45" s="12">
        <v>44.9</v>
      </c>
      <c r="AE45" s="14" t="s">
        <v>58</v>
      </c>
      <c r="AF45" s="14">
        <v>170</v>
      </c>
      <c r="AG45" s="15"/>
      <c r="AH45" s="12">
        <f>((AF45/H45)+I45)</f>
        <v>38.833333333333329</v>
      </c>
      <c r="AI45" s="12">
        <v>18.5</v>
      </c>
      <c r="AJ45" s="27">
        <v>18.5</v>
      </c>
      <c r="AK45" s="9">
        <v>682.17</v>
      </c>
      <c r="AL45" s="15" t="s">
        <v>236</v>
      </c>
      <c r="AM45" s="9" t="s">
        <v>237</v>
      </c>
      <c r="AN45" s="9"/>
    </row>
    <row r="46" spans="1:40" s="8" customFormat="1" ht="22.5" customHeight="1" x14ac:dyDescent="0.2">
      <c r="A46" s="9">
        <v>110</v>
      </c>
      <c r="B46" s="10">
        <v>42765</v>
      </c>
      <c r="C46" s="16">
        <v>60000341</v>
      </c>
      <c r="D46" s="11" t="s">
        <v>238</v>
      </c>
      <c r="E46" s="9" t="s">
        <v>50</v>
      </c>
      <c r="F46" s="9">
        <v>0</v>
      </c>
      <c r="G46" s="12" t="s">
        <v>41</v>
      </c>
      <c r="H46" s="12">
        <v>20</v>
      </c>
      <c r="I46" s="12">
        <v>10.6</v>
      </c>
      <c r="J46" s="9">
        <v>14.01</v>
      </c>
      <c r="K46" s="9">
        <v>2</v>
      </c>
      <c r="L46" s="9"/>
      <c r="M46" s="9"/>
      <c r="N46" s="9"/>
      <c r="O46" s="9">
        <f t="shared" si="28"/>
        <v>2</v>
      </c>
      <c r="P46" s="9">
        <f t="shared" si="29"/>
        <v>3.2</v>
      </c>
      <c r="Q46" s="9">
        <f t="shared" si="30"/>
        <v>1.51</v>
      </c>
      <c r="R46" s="9">
        <f t="shared" si="31"/>
        <v>70.2</v>
      </c>
      <c r="S46" s="9">
        <f t="shared" si="32"/>
        <v>30.19</v>
      </c>
      <c r="T46" s="9">
        <f t="shared" si="33"/>
        <v>21.19</v>
      </c>
      <c r="U46" s="9">
        <f t="shared" si="34"/>
        <v>84.3</v>
      </c>
      <c r="V46" s="9">
        <f t="shared" si="35"/>
        <v>1.3</v>
      </c>
      <c r="W46" s="9">
        <f t="shared" si="36"/>
        <v>14.2</v>
      </c>
      <c r="X46" s="9">
        <f t="shared" si="37"/>
        <v>6.8</v>
      </c>
      <c r="Y46" s="9">
        <f t="shared" si="38"/>
        <v>16.7</v>
      </c>
      <c r="Z46" s="11" t="s">
        <v>239</v>
      </c>
      <c r="AA46" s="11" t="s">
        <v>240</v>
      </c>
      <c r="AB46" s="9" t="s">
        <v>44</v>
      </c>
      <c r="AC46" s="16" t="s">
        <v>57</v>
      </c>
      <c r="AD46" s="12">
        <v>55.4</v>
      </c>
      <c r="AE46" s="14" t="s">
        <v>46</v>
      </c>
      <c r="AF46" s="14">
        <v>450</v>
      </c>
      <c r="AG46" s="15"/>
      <c r="AH46" s="12">
        <f>(((AF46/(90*H46))*AD46)+I46)</f>
        <v>24.45</v>
      </c>
      <c r="AI46" s="12">
        <v>21.1</v>
      </c>
      <c r="AJ46" s="27">
        <v>21.1</v>
      </c>
      <c r="AK46" s="9">
        <v>17.55</v>
      </c>
      <c r="AL46" s="15" t="s">
        <v>241</v>
      </c>
      <c r="AM46" s="9" t="s">
        <v>242</v>
      </c>
      <c r="AN46" s="9"/>
    </row>
    <row r="47" spans="1:40" s="8" customFormat="1" ht="22.5" customHeight="1" x14ac:dyDescent="0.2">
      <c r="A47" s="9">
        <v>112</v>
      </c>
      <c r="B47" s="26">
        <v>42780</v>
      </c>
      <c r="C47" s="16">
        <v>60000355</v>
      </c>
      <c r="D47" s="11" t="s">
        <v>243</v>
      </c>
      <c r="E47" s="9" t="s">
        <v>50</v>
      </c>
      <c r="F47" s="9">
        <v>0</v>
      </c>
      <c r="G47" s="12" t="s">
        <v>41</v>
      </c>
      <c r="H47" s="12">
        <v>16.75</v>
      </c>
      <c r="I47" s="12">
        <v>14.9</v>
      </c>
      <c r="J47" s="9">
        <v>84.35</v>
      </c>
      <c r="K47" s="9">
        <v>287</v>
      </c>
      <c r="L47" s="9"/>
      <c r="M47" s="9"/>
      <c r="N47" s="9"/>
      <c r="O47" s="9">
        <f t="shared" si="28"/>
        <v>287</v>
      </c>
      <c r="P47" s="9">
        <f t="shared" si="29"/>
        <v>4.9000000000000004</v>
      </c>
      <c r="Q47" s="9">
        <f t="shared" si="30"/>
        <v>2.1</v>
      </c>
      <c r="R47" s="9">
        <f t="shared" si="31"/>
        <v>70.95</v>
      </c>
      <c r="S47" s="9">
        <f t="shared" si="32"/>
        <v>32.89</v>
      </c>
      <c r="T47" s="9">
        <f t="shared" si="33"/>
        <v>23.33</v>
      </c>
      <c r="U47" s="9">
        <f t="shared" si="34"/>
        <v>92.8</v>
      </c>
      <c r="V47" s="9">
        <f t="shared" si="35"/>
        <v>2.4</v>
      </c>
      <c r="W47" s="9">
        <f t="shared" si="36"/>
        <v>3.5</v>
      </c>
      <c r="X47" s="9">
        <f t="shared" si="37"/>
        <v>7</v>
      </c>
      <c r="Y47" s="9">
        <f t="shared" si="38"/>
        <v>16.3</v>
      </c>
      <c r="Z47" s="11" t="s">
        <v>209</v>
      </c>
      <c r="AA47" s="11" t="s">
        <v>244</v>
      </c>
      <c r="AB47" s="9" t="s">
        <v>44</v>
      </c>
      <c r="AC47" s="16" t="s">
        <v>98</v>
      </c>
      <c r="AD47" s="12">
        <v>47.5</v>
      </c>
      <c r="AE47" s="14" t="s">
        <v>46</v>
      </c>
      <c r="AF47" s="14">
        <v>350</v>
      </c>
      <c r="AG47" s="15"/>
      <c r="AH47" s="12">
        <f t="shared" ref="AH47:AH48" si="40">(((AF47/(90*H47))*AD47)+I47)</f>
        <v>25.928192371475951</v>
      </c>
      <c r="AI47" s="12">
        <v>19</v>
      </c>
      <c r="AJ47" s="27">
        <v>19</v>
      </c>
      <c r="AK47" s="9">
        <v>49.36</v>
      </c>
      <c r="AL47" s="15" t="s">
        <v>245</v>
      </c>
      <c r="AM47" s="9" t="s">
        <v>246</v>
      </c>
      <c r="AN47" s="9"/>
    </row>
    <row r="48" spans="1:40" s="8" customFormat="1" ht="22.5" customHeight="1" x14ac:dyDescent="0.2">
      <c r="A48" s="9">
        <v>113</v>
      </c>
      <c r="B48" s="26">
        <v>42781</v>
      </c>
      <c r="C48" s="16">
        <v>60000525</v>
      </c>
      <c r="D48" s="11" t="s">
        <v>127</v>
      </c>
      <c r="E48" s="9" t="s">
        <v>40</v>
      </c>
      <c r="F48" s="9">
        <v>0</v>
      </c>
      <c r="G48" s="12" t="s">
        <v>41</v>
      </c>
      <c r="H48" s="12">
        <v>15</v>
      </c>
      <c r="I48" s="12">
        <v>11.1</v>
      </c>
      <c r="J48" s="9">
        <v>56.99</v>
      </c>
      <c r="K48" s="9">
        <v>112</v>
      </c>
      <c r="L48" s="9"/>
      <c r="M48" s="9"/>
      <c r="N48" s="9"/>
      <c r="O48" s="9">
        <f t="shared" si="28"/>
        <v>112</v>
      </c>
      <c r="P48" s="9">
        <f t="shared" si="29"/>
        <v>3.1</v>
      </c>
      <c r="Q48" s="9">
        <f t="shared" si="30"/>
        <v>1.42</v>
      </c>
      <c r="R48" s="9">
        <f t="shared" si="31"/>
        <v>78.17</v>
      </c>
      <c r="S48" s="9">
        <f t="shared" si="32"/>
        <v>27.93</v>
      </c>
      <c r="T48" s="9">
        <f t="shared" si="33"/>
        <v>21.83</v>
      </c>
      <c r="U48" s="9">
        <f t="shared" si="34"/>
        <v>80.8</v>
      </c>
      <c r="V48" s="9">
        <f t="shared" si="35"/>
        <v>7.9</v>
      </c>
      <c r="W48" s="9">
        <f t="shared" si="36"/>
        <v>10.8</v>
      </c>
      <c r="X48" s="9">
        <f t="shared" si="37"/>
        <v>7.2</v>
      </c>
      <c r="Y48" s="9">
        <f t="shared" si="38"/>
        <v>15.9</v>
      </c>
      <c r="Z48" s="11" t="s">
        <v>169</v>
      </c>
      <c r="AA48" s="11" t="s">
        <v>247</v>
      </c>
      <c r="AB48" s="9" t="s">
        <v>44</v>
      </c>
      <c r="AC48" s="16" t="s">
        <v>248</v>
      </c>
      <c r="AD48" s="12">
        <v>50</v>
      </c>
      <c r="AE48" s="14" t="s">
        <v>46</v>
      </c>
      <c r="AF48" s="14">
        <v>300</v>
      </c>
      <c r="AG48" s="15" t="s">
        <v>249</v>
      </c>
      <c r="AH48" s="12">
        <f t="shared" si="40"/>
        <v>22.211111111111109</v>
      </c>
      <c r="AI48" s="12">
        <v>18.600000000000001</v>
      </c>
      <c r="AJ48" s="27">
        <v>18.600000000000001</v>
      </c>
      <c r="AK48" s="9">
        <v>59.02</v>
      </c>
      <c r="AL48" s="15" t="s">
        <v>250</v>
      </c>
      <c r="AM48" s="9" t="s">
        <v>251</v>
      </c>
      <c r="AN48" s="9"/>
    </row>
    <row r="49" spans="1:40" s="8" customFormat="1" ht="22.5" customHeight="1" x14ac:dyDescent="0.2">
      <c r="A49" s="9">
        <v>115</v>
      </c>
      <c r="B49" s="26">
        <v>42803</v>
      </c>
      <c r="C49" s="16">
        <v>60000827</v>
      </c>
      <c r="D49" t="s">
        <v>252</v>
      </c>
      <c r="E49" s="9" t="s">
        <v>40</v>
      </c>
      <c r="F49" s="9">
        <v>0</v>
      </c>
      <c r="G49" s="12" t="s">
        <v>55</v>
      </c>
      <c r="H49" s="12">
        <v>13</v>
      </c>
      <c r="I49" s="12">
        <v>10.1</v>
      </c>
      <c r="J49" s="9">
        <v>16.579999999999998</v>
      </c>
      <c r="K49" s="9">
        <v>190</v>
      </c>
      <c r="L49" s="9"/>
      <c r="M49" s="9"/>
      <c r="N49" s="9"/>
      <c r="O49" s="9">
        <f t="shared" si="28"/>
        <v>190</v>
      </c>
      <c r="P49" s="9">
        <f t="shared" si="29"/>
        <v>3.4</v>
      </c>
      <c r="Q49" s="9">
        <f t="shared" si="30"/>
        <v>1.5</v>
      </c>
      <c r="R49" s="9">
        <f t="shared" si="31"/>
        <v>67.33</v>
      </c>
      <c r="S49" s="9">
        <f t="shared" si="32"/>
        <v>33.659999999999997</v>
      </c>
      <c r="T49" s="9">
        <f t="shared" si="33"/>
        <v>22.67</v>
      </c>
      <c r="U49" s="9">
        <f t="shared" si="34"/>
        <v>92.8</v>
      </c>
      <c r="V49" s="9">
        <f t="shared" si="35"/>
        <v>3</v>
      </c>
      <c r="W49" s="9">
        <f t="shared" si="36"/>
        <v>3.6</v>
      </c>
      <c r="X49" s="9">
        <f t="shared" si="37"/>
        <v>6.6</v>
      </c>
      <c r="Y49" s="9">
        <f t="shared" si="38"/>
        <v>13.5</v>
      </c>
      <c r="Z49" s="11" t="s">
        <v>253</v>
      </c>
      <c r="AA49" s="11" t="s">
        <v>254</v>
      </c>
      <c r="AB49" s="9" t="s">
        <v>44</v>
      </c>
      <c r="AC49" s="16" t="s">
        <v>68</v>
      </c>
      <c r="AD49" s="12">
        <v>51</v>
      </c>
      <c r="AE49" s="14" t="s">
        <v>58</v>
      </c>
      <c r="AF49" s="14">
        <v>160</v>
      </c>
      <c r="AG49" s="15"/>
      <c r="AH49" s="12">
        <f>((AF49/H49)+I49)</f>
        <v>22.407692307692308</v>
      </c>
      <c r="AI49" s="12">
        <v>21.7</v>
      </c>
      <c r="AJ49" s="27">
        <v>21.7</v>
      </c>
      <c r="AK49" s="9">
        <v>29.76</v>
      </c>
      <c r="AL49" s="15" t="s">
        <v>255</v>
      </c>
      <c r="AM49" s="9" t="s">
        <v>256</v>
      </c>
      <c r="AN49" s="9"/>
    </row>
    <row r="50" spans="1:40" s="8" customFormat="1" ht="22.5" customHeight="1" x14ac:dyDescent="0.2">
      <c r="A50" s="9">
        <v>116</v>
      </c>
      <c r="B50" s="26">
        <v>42797</v>
      </c>
      <c r="C50" s="16">
        <v>58004539</v>
      </c>
      <c r="D50" s="11" t="s">
        <v>257</v>
      </c>
      <c r="E50" s="9" t="s">
        <v>50</v>
      </c>
      <c r="F50" s="9">
        <v>0</v>
      </c>
      <c r="G50" s="12" t="s">
        <v>78</v>
      </c>
      <c r="H50" s="12">
        <v>12.2</v>
      </c>
      <c r="I50" s="12">
        <v>12.2</v>
      </c>
      <c r="J50" s="9">
        <v>14.3</v>
      </c>
      <c r="K50" s="9">
        <v>201</v>
      </c>
      <c r="L50" s="9"/>
      <c r="M50" s="9"/>
      <c r="N50" s="9"/>
      <c r="O50" s="9">
        <f t="shared" si="28"/>
        <v>201</v>
      </c>
      <c r="P50" s="9">
        <f t="shared" si="29"/>
        <v>3.9</v>
      </c>
      <c r="Q50" s="9">
        <f t="shared" si="30"/>
        <v>1.8</v>
      </c>
      <c r="R50" s="9">
        <f t="shared" si="31"/>
        <v>67.78</v>
      </c>
      <c r="S50" s="9">
        <f t="shared" si="32"/>
        <v>31.97</v>
      </c>
      <c r="T50" s="9">
        <f t="shared" si="33"/>
        <v>21.67</v>
      </c>
      <c r="U50" s="9">
        <f t="shared" si="34"/>
        <v>71.8</v>
      </c>
      <c r="V50" s="9">
        <f t="shared" si="35"/>
        <v>21</v>
      </c>
      <c r="W50" s="9">
        <f t="shared" si="36"/>
        <v>5.0999999999999996</v>
      </c>
      <c r="X50" s="9">
        <f t="shared" si="37"/>
        <v>7</v>
      </c>
      <c r="Y50" s="9">
        <f t="shared" si="38"/>
        <v>16.5</v>
      </c>
      <c r="Z50" s="11" t="s">
        <v>258</v>
      </c>
      <c r="AA50" s="11" t="s">
        <v>259</v>
      </c>
      <c r="AB50" s="9" t="s">
        <v>44</v>
      </c>
      <c r="AC50" s="16" t="s">
        <v>191</v>
      </c>
      <c r="AD50" s="12">
        <v>54.2</v>
      </c>
      <c r="AE50" s="14" t="s">
        <v>46</v>
      </c>
      <c r="AF50" s="14">
        <v>350</v>
      </c>
      <c r="AG50" s="15"/>
      <c r="AH50" s="12">
        <f t="shared" ref="AH50" si="41">(((AF50/(90*H50))*AD50)+I50)</f>
        <v>29.476867030965391</v>
      </c>
      <c r="AI50" s="12">
        <v>30.1</v>
      </c>
      <c r="AJ50" s="27">
        <v>30.1</v>
      </c>
      <c r="AK50" s="9">
        <v>13.81</v>
      </c>
      <c r="AL50" s="15" t="s">
        <v>260</v>
      </c>
      <c r="AM50" s="9" t="s">
        <v>261</v>
      </c>
      <c r="AN50" s="9"/>
    </row>
    <row r="51" spans="1:40" s="8" customFormat="1" ht="22.5" customHeight="1" x14ac:dyDescent="0.2">
      <c r="A51" s="9">
        <v>118</v>
      </c>
      <c r="B51" s="10">
        <v>42810</v>
      </c>
      <c r="C51" s="16">
        <v>60000927</v>
      </c>
      <c r="D51" s="11" t="s">
        <v>262</v>
      </c>
      <c r="E51" s="9" t="s">
        <v>40</v>
      </c>
      <c r="F51" s="9">
        <v>0</v>
      </c>
      <c r="G51" s="12" t="s">
        <v>41</v>
      </c>
      <c r="H51" s="12">
        <v>6</v>
      </c>
      <c r="I51" s="12">
        <v>6.4</v>
      </c>
      <c r="J51" s="9">
        <v>51.81</v>
      </c>
      <c r="K51" s="9">
        <v>100</v>
      </c>
      <c r="L51" s="9"/>
      <c r="M51" s="9"/>
      <c r="N51" s="9"/>
      <c r="O51" s="9">
        <f t="shared" si="28"/>
        <v>100</v>
      </c>
      <c r="P51" s="9">
        <f t="shared" si="29"/>
        <v>1.8</v>
      </c>
      <c r="Q51" s="9">
        <f t="shared" si="30"/>
        <v>0.7</v>
      </c>
      <c r="R51" s="9">
        <f t="shared" si="31"/>
        <v>91.43</v>
      </c>
      <c r="S51" s="9">
        <f t="shared" si="32"/>
        <v>28.12</v>
      </c>
      <c r="T51" s="9">
        <f t="shared" si="33"/>
        <v>25.71</v>
      </c>
      <c r="U51" s="9">
        <f t="shared" si="34"/>
        <v>81.900000000000006</v>
      </c>
      <c r="V51" s="9">
        <f t="shared" si="35"/>
        <v>8.6</v>
      </c>
      <c r="W51" s="9">
        <f t="shared" si="36"/>
        <v>9.1999999999999993</v>
      </c>
      <c r="X51" s="9">
        <f t="shared" si="37"/>
        <v>9</v>
      </c>
      <c r="Y51" s="9">
        <f t="shared" si="38"/>
        <v>23.9</v>
      </c>
      <c r="Z51" s="11" t="s">
        <v>263</v>
      </c>
      <c r="AA51" s="11" t="s">
        <v>264</v>
      </c>
      <c r="AB51" s="9" t="s">
        <v>44</v>
      </c>
      <c r="AC51" s="16" t="s">
        <v>127</v>
      </c>
      <c r="AD51" s="12">
        <v>51.2</v>
      </c>
      <c r="AE51" s="14" t="s">
        <v>58</v>
      </c>
      <c r="AF51" s="14">
        <v>150</v>
      </c>
      <c r="AG51" s="15"/>
      <c r="AH51" s="12">
        <f t="shared" ref="AH51:AH52" si="42">((AF51/H51)+I51)</f>
        <v>31.4</v>
      </c>
      <c r="AI51" s="12">
        <v>19.100000000000001</v>
      </c>
      <c r="AJ51" s="27">
        <v>19.100000000000001</v>
      </c>
      <c r="AK51" s="9">
        <v>56.6</v>
      </c>
      <c r="AL51" s="15" t="s">
        <v>265</v>
      </c>
      <c r="AM51" s="9" t="s">
        <v>266</v>
      </c>
      <c r="AN51" s="9"/>
    </row>
    <row r="52" spans="1:40" s="48" customFormat="1" ht="22.5" customHeight="1" x14ac:dyDescent="0.2">
      <c r="A52" s="42">
        <v>119</v>
      </c>
      <c r="B52" s="49">
        <v>42811</v>
      </c>
      <c r="C52" s="46">
        <v>60000495</v>
      </c>
      <c r="D52" s="44" t="s">
        <v>267</v>
      </c>
      <c r="E52" s="42" t="s">
        <v>50</v>
      </c>
      <c r="F52" s="42"/>
      <c r="G52" s="45" t="s">
        <v>41</v>
      </c>
      <c r="H52" s="50"/>
      <c r="I52" s="45">
        <v>15</v>
      </c>
      <c r="J52" s="42"/>
      <c r="K52" s="42"/>
      <c r="L52" s="42"/>
      <c r="M52" s="42"/>
      <c r="N52" s="42"/>
      <c r="O52" s="42" t="e">
        <f t="shared" si="28"/>
        <v>#N/A</v>
      </c>
      <c r="P52" s="42" t="e">
        <f t="shared" si="29"/>
        <v>#N/A</v>
      </c>
      <c r="Q52" s="42" t="e">
        <f t="shared" si="30"/>
        <v>#N/A</v>
      </c>
      <c r="R52" s="42" t="e">
        <f t="shared" si="31"/>
        <v>#N/A</v>
      </c>
      <c r="S52" s="42" t="e">
        <f t="shared" si="32"/>
        <v>#N/A</v>
      </c>
      <c r="T52" s="42" t="e">
        <f t="shared" si="33"/>
        <v>#N/A</v>
      </c>
      <c r="U52" s="42" t="e">
        <f t="shared" si="34"/>
        <v>#N/A</v>
      </c>
      <c r="V52" s="42" t="e">
        <f t="shared" si="35"/>
        <v>#N/A</v>
      </c>
      <c r="W52" s="42" t="e">
        <f t="shared" si="36"/>
        <v>#N/A</v>
      </c>
      <c r="X52" s="42" t="e">
        <f t="shared" si="37"/>
        <v>#N/A</v>
      </c>
      <c r="Y52" s="42" t="e">
        <f t="shared" si="38"/>
        <v>#N/A</v>
      </c>
      <c r="Z52" s="44"/>
      <c r="AA52" s="44"/>
      <c r="AB52" s="42" t="s">
        <v>44</v>
      </c>
      <c r="AC52" s="46" t="s">
        <v>268</v>
      </c>
      <c r="AD52" s="45">
        <v>42</v>
      </c>
      <c r="AE52" s="47" t="s">
        <v>58</v>
      </c>
      <c r="AF52" s="47">
        <v>190</v>
      </c>
      <c r="AG52" s="51"/>
      <c r="AH52" s="50" t="e">
        <f t="shared" si="42"/>
        <v>#DIV/0!</v>
      </c>
      <c r="AI52" s="45">
        <v>21.4</v>
      </c>
      <c r="AJ52" s="52"/>
      <c r="AK52" s="42"/>
      <c r="AL52" s="51"/>
      <c r="AM52" s="42"/>
      <c r="AN52" s="42"/>
    </row>
    <row r="53" spans="1:40" s="8" customFormat="1" ht="22.5" customHeight="1" x14ac:dyDescent="0.2">
      <c r="A53" s="9">
        <v>120</v>
      </c>
      <c r="B53" s="26">
        <v>42809</v>
      </c>
      <c r="C53" s="16">
        <v>60000896</v>
      </c>
      <c r="D53" s="11" t="s">
        <v>112</v>
      </c>
      <c r="E53" s="9" t="s">
        <v>40</v>
      </c>
      <c r="F53" s="9">
        <v>0</v>
      </c>
      <c r="G53" s="12" t="s">
        <v>41</v>
      </c>
      <c r="H53" s="12">
        <v>13</v>
      </c>
      <c r="I53" s="12">
        <v>9.1</v>
      </c>
      <c r="J53" s="9">
        <v>5.45</v>
      </c>
      <c r="K53" s="9">
        <v>35</v>
      </c>
      <c r="L53" s="9"/>
      <c r="M53" s="9"/>
      <c r="N53" s="9"/>
      <c r="O53" s="9">
        <f t="shared" si="28"/>
        <v>35</v>
      </c>
      <c r="P53" s="9">
        <f t="shared" si="29"/>
        <v>2.8</v>
      </c>
      <c r="Q53" s="9">
        <f t="shared" si="30"/>
        <v>1.42</v>
      </c>
      <c r="R53" s="9">
        <f t="shared" si="31"/>
        <v>64.08</v>
      </c>
      <c r="S53" s="9">
        <f t="shared" si="32"/>
        <v>30.77</v>
      </c>
      <c r="T53" s="9">
        <f t="shared" si="33"/>
        <v>19.72</v>
      </c>
      <c r="U53" s="9">
        <f t="shared" si="34"/>
        <v>82.3</v>
      </c>
      <c r="V53" s="9">
        <f t="shared" si="35"/>
        <v>6.1</v>
      </c>
      <c r="W53" s="9">
        <f t="shared" si="36"/>
        <v>11.4</v>
      </c>
      <c r="X53" s="9">
        <f t="shared" si="37"/>
        <v>5.2</v>
      </c>
      <c r="Y53" s="9">
        <f t="shared" si="38"/>
        <v>21.1</v>
      </c>
      <c r="Z53" s="11" t="s">
        <v>134</v>
      </c>
      <c r="AA53" s="11" t="s">
        <v>269</v>
      </c>
      <c r="AB53" s="9" t="s">
        <v>44</v>
      </c>
      <c r="AC53" s="16" t="s">
        <v>171</v>
      </c>
      <c r="AD53" s="12">
        <v>51.3</v>
      </c>
      <c r="AE53" s="14" t="s">
        <v>46</v>
      </c>
      <c r="AF53" s="14">
        <v>400</v>
      </c>
      <c r="AG53" s="15"/>
      <c r="AH53" s="12">
        <f t="shared" ref="AH53:AH55" si="43">(((AF53/(90*H53))*AD53)+I53)</f>
        <v>26.638461538461534</v>
      </c>
      <c r="AI53" s="12">
        <v>15.7</v>
      </c>
      <c r="AJ53" s="27">
        <v>15.7</v>
      </c>
      <c r="AK53" s="9">
        <v>8.14</v>
      </c>
      <c r="AL53" s="15" t="s">
        <v>270</v>
      </c>
      <c r="AM53" s="9" t="s">
        <v>271</v>
      </c>
      <c r="AN53" s="9"/>
    </row>
    <row r="54" spans="1:40" s="8" customFormat="1" ht="22.5" customHeight="1" x14ac:dyDescent="0.25">
      <c r="A54" s="9">
        <v>121</v>
      </c>
      <c r="B54" s="10">
        <v>42808</v>
      </c>
      <c r="C54" s="28">
        <v>60000912</v>
      </c>
      <c r="D54" s="29" t="s">
        <v>272</v>
      </c>
      <c r="E54" s="9" t="s">
        <v>50</v>
      </c>
      <c r="F54" s="9">
        <v>0</v>
      </c>
      <c r="G54" s="12" t="s">
        <v>41</v>
      </c>
      <c r="H54" s="12">
        <v>18</v>
      </c>
      <c r="I54" s="12">
        <v>7.5</v>
      </c>
      <c r="J54" s="9">
        <v>0.55000000000000004</v>
      </c>
      <c r="K54" s="9">
        <v>5</v>
      </c>
      <c r="L54" s="9"/>
      <c r="M54" s="9"/>
      <c r="N54" s="9"/>
      <c r="O54" s="9">
        <f t="shared" ref="O54:O73" si="44">INDEX(platelet_b_60,MATCH(AA54,filename_b_60,0))</f>
        <v>5</v>
      </c>
      <c r="P54" s="9">
        <f t="shared" ref="P54:P73" si="45">INDEX(hgb_b_60,MATCH(AA54,filename_b_60,0))</f>
        <v>2.4</v>
      </c>
      <c r="Q54" s="9">
        <f t="shared" ref="Q54:Q73" si="46">INDEX(rbc_b_60,MATCH(AA54,filename_b_60,0))</f>
        <v>1.1499999999999999</v>
      </c>
      <c r="R54" s="9">
        <f t="shared" ref="R54:R73" si="47">INDEX(mcv_b_60,MATCH(AA54,filename_b_60,0))</f>
        <v>65.22</v>
      </c>
      <c r="S54" s="9">
        <f t="shared" ref="S54:S73" si="48">INDEX(mchc_b_60,MATCH(AA54,filename_b_60,0))</f>
        <v>32</v>
      </c>
      <c r="T54" s="9">
        <f t="shared" ref="T54:T73" si="49">INDEX(mch_b_60,MATCH(AA54,filename_b_60,0))</f>
        <v>20.87</v>
      </c>
      <c r="U54" s="9">
        <f t="shared" ref="U54:U73" si="50">INDEX(segs_b_60,MATCH(AA54,filename_b_60,0))</f>
        <v>11</v>
      </c>
      <c r="V54" s="9">
        <f t="shared" ref="V54:V73" si="51">INDEX(lymph_b_60,MATCH(AA54,filename_b_60,0))</f>
        <v>61.8</v>
      </c>
      <c r="W54" s="9">
        <f t="shared" ref="W54:W73" si="52">INDEX(mono_b_60,MATCH(AA54,filename_b_60,0))</f>
        <v>23.6</v>
      </c>
      <c r="X54" s="9">
        <f t="shared" ref="X54:X73" si="53">INDEX(protein_refract_b_60,MATCH(AA54,filename_b_60,0))</f>
        <v>6.2</v>
      </c>
      <c r="Y54" s="9">
        <f t="shared" ref="Y54:Y73" si="54">INDEX(rdw_b_60,MATCH(AA54,filename_b_60,0))</f>
        <v>16.600000000000001</v>
      </c>
      <c r="Z54" s="11" t="s">
        <v>273</v>
      </c>
      <c r="AA54" s="18" t="s">
        <v>274</v>
      </c>
      <c r="AB54" s="9" t="s">
        <v>44</v>
      </c>
      <c r="AC54" s="16" t="s">
        <v>275</v>
      </c>
      <c r="AD54" s="12">
        <v>48</v>
      </c>
      <c r="AE54" s="14" t="s">
        <v>75</v>
      </c>
      <c r="AF54" s="14">
        <v>350</v>
      </c>
      <c r="AG54" s="11"/>
      <c r="AH54" s="12">
        <f t="shared" si="43"/>
        <v>17.87037037037037</v>
      </c>
      <c r="AI54" s="12">
        <v>16.100000000000001</v>
      </c>
      <c r="AJ54" s="27">
        <v>16.100000000000001</v>
      </c>
      <c r="AK54" s="9">
        <v>0.27</v>
      </c>
      <c r="AL54" s="11" t="s">
        <v>209</v>
      </c>
      <c r="AM54" s="19" t="s">
        <v>276</v>
      </c>
      <c r="AN54" s="9"/>
    </row>
    <row r="55" spans="1:40" s="8" customFormat="1" ht="22.5" customHeight="1" x14ac:dyDescent="0.25">
      <c r="A55" s="9">
        <v>122</v>
      </c>
      <c r="B55" s="26">
        <v>42815</v>
      </c>
      <c r="C55" s="28">
        <v>60000912</v>
      </c>
      <c r="D55" s="29" t="s">
        <v>272</v>
      </c>
      <c r="E55" s="9" t="s">
        <v>50</v>
      </c>
      <c r="F55" s="9">
        <v>0</v>
      </c>
      <c r="G55" s="12" t="s">
        <v>41</v>
      </c>
      <c r="H55" s="12">
        <v>18</v>
      </c>
      <c r="I55" s="12">
        <v>9.4</v>
      </c>
      <c r="J55" s="9">
        <v>0.53</v>
      </c>
      <c r="K55" s="9">
        <v>13</v>
      </c>
      <c r="L55" s="9"/>
      <c r="M55" s="9"/>
      <c r="N55" s="9"/>
      <c r="O55" s="9">
        <f t="shared" si="44"/>
        <v>13</v>
      </c>
      <c r="P55" s="9">
        <f t="shared" si="45"/>
        <v>2.9</v>
      </c>
      <c r="Q55" s="9">
        <f t="shared" si="46"/>
        <v>1.41</v>
      </c>
      <c r="R55" s="9">
        <f t="shared" si="47"/>
        <v>66.67</v>
      </c>
      <c r="S55" s="9">
        <f t="shared" si="48"/>
        <v>30.85</v>
      </c>
      <c r="T55" s="9">
        <f t="shared" si="49"/>
        <v>20.57</v>
      </c>
      <c r="U55" s="9">
        <f t="shared" si="50"/>
        <v>26.3</v>
      </c>
      <c r="V55" s="9">
        <f t="shared" si="51"/>
        <v>49.1</v>
      </c>
      <c r="W55" s="9">
        <f t="shared" si="52"/>
        <v>20.8</v>
      </c>
      <c r="X55" s="9">
        <f t="shared" si="53"/>
        <v>5.8</v>
      </c>
      <c r="Y55" s="9">
        <f t="shared" si="54"/>
        <v>16</v>
      </c>
      <c r="Z55" s="11" t="s">
        <v>277</v>
      </c>
      <c r="AA55" s="18" t="s">
        <v>278</v>
      </c>
      <c r="AB55" s="9" t="s">
        <v>44</v>
      </c>
      <c r="AC55" s="13" t="s">
        <v>74</v>
      </c>
      <c r="AD55" s="12">
        <v>53</v>
      </c>
      <c r="AE55" s="14" t="s">
        <v>75</v>
      </c>
      <c r="AF55" s="14">
        <v>350</v>
      </c>
      <c r="AG55" s="15"/>
      <c r="AH55" s="12">
        <f t="shared" si="43"/>
        <v>20.850617283950619</v>
      </c>
      <c r="AI55" s="30">
        <v>13.6</v>
      </c>
      <c r="AJ55" s="31">
        <v>13.6</v>
      </c>
      <c r="AK55" s="9">
        <v>3.26</v>
      </c>
      <c r="AL55" s="15" t="s">
        <v>148</v>
      </c>
      <c r="AM55" s="19" t="s">
        <v>279</v>
      </c>
      <c r="AN55" s="9"/>
    </row>
    <row r="56" spans="1:40" s="8" customFormat="1" ht="22.5" customHeight="1" x14ac:dyDescent="0.2">
      <c r="A56" s="9">
        <v>123</v>
      </c>
      <c r="B56" s="26">
        <v>42851</v>
      </c>
      <c r="C56" s="16">
        <v>60001457</v>
      </c>
      <c r="D56" s="11" t="s">
        <v>280</v>
      </c>
      <c r="E56" s="9" t="s">
        <v>50</v>
      </c>
      <c r="F56" s="9">
        <v>0</v>
      </c>
      <c r="G56" s="12" t="s">
        <v>281</v>
      </c>
      <c r="H56" s="12">
        <v>23</v>
      </c>
      <c r="I56" s="12">
        <v>8.5</v>
      </c>
      <c r="J56" s="9">
        <v>10.47</v>
      </c>
      <c r="K56" s="9">
        <v>86</v>
      </c>
      <c r="L56" s="9"/>
      <c r="M56" s="9"/>
      <c r="N56" s="9"/>
      <c r="O56" s="9">
        <f t="shared" si="44"/>
        <v>86</v>
      </c>
      <c r="P56" s="9">
        <f t="shared" si="45"/>
        <v>2.8</v>
      </c>
      <c r="Q56" s="9">
        <f t="shared" si="46"/>
        <v>1.1599999999999999</v>
      </c>
      <c r="R56" s="9">
        <f t="shared" si="47"/>
        <v>73.28</v>
      </c>
      <c r="S56" s="9">
        <f t="shared" si="48"/>
        <v>32.94</v>
      </c>
      <c r="T56" s="9">
        <f t="shared" si="49"/>
        <v>24.14</v>
      </c>
      <c r="U56" s="9">
        <f t="shared" si="50"/>
        <v>87.2</v>
      </c>
      <c r="V56" s="9">
        <f t="shared" si="51"/>
        <v>10</v>
      </c>
      <c r="W56" s="9">
        <f t="shared" si="52"/>
        <v>2.2000000000000002</v>
      </c>
      <c r="X56" s="9">
        <f t="shared" si="53"/>
        <v>7.2</v>
      </c>
      <c r="Y56" s="9">
        <f t="shared" si="54"/>
        <v>14.2</v>
      </c>
      <c r="Z56" s="11" t="s">
        <v>138</v>
      </c>
      <c r="AA56" s="11" t="s">
        <v>282</v>
      </c>
      <c r="AB56" s="9" t="s">
        <v>44</v>
      </c>
      <c r="AC56" s="13" t="s">
        <v>57</v>
      </c>
      <c r="AD56" s="12">
        <v>52.8</v>
      </c>
      <c r="AE56" s="14" t="s">
        <v>58</v>
      </c>
      <c r="AF56" s="14">
        <v>200</v>
      </c>
      <c r="AG56" s="15"/>
      <c r="AH56" s="12">
        <f>((AF56/H56)+I56)</f>
        <v>17.195652173913043</v>
      </c>
      <c r="AI56" s="12">
        <v>14.6</v>
      </c>
      <c r="AJ56" s="27">
        <v>14.6</v>
      </c>
      <c r="AK56" s="9">
        <v>10</v>
      </c>
      <c r="AL56" s="15" t="s">
        <v>148</v>
      </c>
      <c r="AM56" s="9" t="s">
        <v>283</v>
      </c>
      <c r="AN56" s="9"/>
    </row>
    <row r="57" spans="1:40" s="8" customFormat="1" ht="22.5" customHeight="1" x14ac:dyDescent="0.2">
      <c r="A57" s="9">
        <v>124</v>
      </c>
      <c r="B57" s="10">
        <v>42863</v>
      </c>
      <c r="C57" s="16">
        <v>60001595</v>
      </c>
      <c r="D57" s="11" t="s">
        <v>284</v>
      </c>
      <c r="E57" s="9" t="s">
        <v>40</v>
      </c>
      <c r="F57" s="9">
        <v>0</v>
      </c>
      <c r="G57" s="12" t="s">
        <v>41</v>
      </c>
      <c r="H57" s="12">
        <v>2.5499999999999998</v>
      </c>
      <c r="I57" s="12">
        <v>18.899999999999999</v>
      </c>
      <c r="J57" s="9">
        <v>15.63</v>
      </c>
      <c r="K57" s="9">
        <v>38</v>
      </c>
      <c r="L57" s="9"/>
      <c r="M57" s="9"/>
      <c r="N57" s="9"/>
      <c r="O57" s="9">
        <f t="shared" si="44"/>
        <v>38</v>
      </c>
      <c r="P57" s="9">
        <f t="shared" si="45"/>
        <v>5.3</v>
      </c>
      <c r="Q57" s="9">
        <f t="shared" si="46"/>
        <v>2.73</v>
      </c>
      <c r="R57" s="9">
        <f t="shared" si="47"/>
        <v>69.23</v>
      </c>
      <c r="S57" s="9">
        <f t="shared" si="48"/>
        <v>28.04</v>
      </c>
      <c r="T57" s="9">
        <f t="shared" si="49"/>
        <v>19.41</v>
      </c>
      <c r="U57" s="9">
        <f t="shared" si="50"/>
        <v>84.4</v>
      </c>
      <c r="V57" s="9">
        <f t="shared" si="51"/>
        <v>7</v>
      </c>
      <c r="W57" s="9">
        <f t="shared" si="52"/>
        <v>8.1999999999999993</v>
      </c>
      <c r="X57" s="9">
        <f t="shared" si="53"/>
        <v>5.2</v>
      </c>
      <c r="Y57" s="9">
        <f t="shared" si="54"/>
        <v>20.399999999999999</v>
      </c>
      <c r="Z57" s="11" t="s">
        <v>285</v>
      </c>
      <c r="AA57" s="11" t="s">
        <v>286</v>
      </c>
      <c r="AB57" s="9" t="s">
        <v>44</v>
      </c>
      <c r="AC57" s="13" t="s">
        <v>181</v>
      </c>
      <c r="AD57" s="12">
        <v>43</v>
      </c>
      <c r="AE57" s="14" t="s">
        <v>46</v>
      </c>
      <c r="AF57" s="14">
        <v>70</v>
      </c>
      <c r="AG57" s="11" t="s">
        <v>287</v>
      </c>
      <c r="AH57" s="12">
        <f t="shared" ref="AH57:AH60" si="55">(((AF57/(90*H57))*AD57)+I57)</f>
        <v>32.015468409586056</v>
      </c>
      <c r="AI57" s="12">
        <v>41</v>
      </c>
      <c r="AJ57" s="27">
        <v>41</v>
      </c>
      <c r="AK57" s="9">
        <v>0</v>
      </c>
      <c r="AL57" s="15">
        <v>0</v>
      </c>
      <c r="AM57" s="9" t="s">
        <v>288</v>
      </c>
      <c r="AN57" s="9"/>
    </row>
    <row r="58" spans="1:40" s="8" customFormat="1" ht="22.5" customHeight="1" x14ac:dyDescent="0.2">
      <c r="A58" s="9">
        <v>125</v>
      </c>
      <c r="B58" s="26">
        <v>42871</v>
      </c>
      <c r="C58" s="16">
        <v>60001697</v>
      </c>
      <c r="D58" s="11" t="s">
        <v>289</v>
      </c>
      <c r="E58" s="9" t="s">
        <v>40</v>
      </c>
      <c r="F58" s="9">
        <v>0</v>
      </c>
      <c r="G58" s="12" t="s">
        <v>116</v>
      </c>
      <c r="H58" s="17"/>
      <c r="I58" s="12">
        <v>9</v>
      </c>
      <c r="J58" s="9">
        <v>1.64</v>
      </c>
      <c r="K58" s="9">
        <v>6</v>
      </c>
      <c r="L58" s="9"/>
      <c r="M58" s="9"/>
      <c r="N58" s="9"/>
      <c r="O58" s="9">
        <f t="shared" si="44"/>
        <v>6</v>
      </c>
      <c r="P58" s="9">
        <f t="shared" si="45"/>
        <v>2.5</v>
      </c>
      <c r="Q58" s="9">
        <f t="shared" si="46"/>
        <v>1.1000000000000001</v>
      </c>
      <c r="R58" s="9">
        <f t="shared" si="47"/>
        <v>81.819999999999993</v>
      </c>
      <c r="S58" s="9">
        <f t="shared" si="48"/>
        <v>27.78</v>
      </c>
      <c r="T58" s="9">
        <f t="shared" si="49"/>
        <v>22.73</v>
      </c>
      <c r="U58" s="9">
        <f t="shared" si="50"/>
        <v>0</v>
      </c>
      <c r="V58" s="9">
        <f t="shared" si="51"/>
        <v>0</v>
      </c>
      <c r="W58" s="9">
        <f t="shared" si="52"/>
        <v>0</v>
      </c>
      <c r="X58" s="9">
        <f t="shared" si="53"/>
        <v>10</v>
      </c>
      <c r="Y58" s="9">
        <f t="shared" si="54"/>
        <v>20.6</v>
      </c>
      <c r="Z58" s="11" t="s">
        <v>290</v>
      </c>
      <c r="AA58" s="11" t="s">
        <v>291</v>
      </c>
      <c r="AB58" s="9" t="s">
        <v>44</v>
      </c>
      <c r="AC58" s="13" t="s">
        <v>181</v>
      </c>
      <c r="AD58" s="12">
        <v>44</v>
      </c>
      <c r="AE58" s="14" t="s">
        <v>46</v>
      </c>
      <c r="AF58" s="32" t="s">
        <v>69</v>
      </c>
      <c r="AG58" s="11"/>
      <c r="AH58" s="17" t="e">
        <f t="shared" si="55"/>
        <v>#VALUE!</v>
      </c>
      <c r="AI58" s="12">
        <v>25</v>
      </c>
      <c r="AJ58" s="27">
        <v>0</v>
      </c>
      <c r="AK58" s="9">
        <v>0</v>
      </c>
      <c r="AL58" s="15" t="s">
        <v>292</v>
      </c>
      <c r="AM58" s="9" t="s">
        <v>293</v>
      </c>
      <c r="AN58" s="9"/>
    </row>
    <row r="59" spans="1:40" s="8" customFormat="1" ht="22.5" customHeight="1" x14ac:dyDescent="0.2">
      <c r="A59" s="9">
        <v>126</v>
      </c>
      <c r="B59" s="10">
        <v>42872</v>
      </c>
      <c r="C59" s="16">
        <v>60001703</v>
      </c>
      <c r="D59" s="11" t="s">
        <v>294</v>
      </c>
      <c r="E59" s="9" t="s">
        <v>40</v>
      </c>
      <c r="F59" s="9">
        <v>0</v>
      </c>
      <c r="G59" s="12" t="s">
        <v>295</v>
      </c>
      <c r="H59" s="12">
        <v>14.2</v>
      </c>
      <c r="I59" s="12">
        <v>10.5</v>
      </c>
      <c r="J59" s="9">
        <v>0.45</v>
      </c>
      <c r="K59" s="9">
        <v>5</v>
      </c>
      <c r="L59" s="9"/>
      <c r="M59" s="9"/>
      <c r="N59" s="9"/>
      <c r="O59" s="9">
        <f t="shared" si="44"/>
        <v>5</v>
      </c>
      <c r="P59" s="9">
        <f t="shared" si="45"/>
        <v>3.2</v>
      </c>
      <c r="Q59" s="9">
        <f t="shared" si="46"/>
        <v>1.24</v>
      </c>
      <c r="R59" s="9">
        <f t="shared" si="47"/>
        <v>84.68</v>
      </c>
      <c r="S59" s="9">
        <f t="shared" si="48"/>
        <v>30.48</v>
      </c>
      <c r="T59" s="9">
        <f t="shared" si="49"/>
        <v>25.81</v>
      </c>
      <c r="U59" s="9">
        <f t="shared" si="50"/>
        <v>91.2</v>
      </c>
      <c r="V59" s="9">
        <f t="shared" si="51"/>
        <v>4.4000000000000004</v>
      </c>
      <c r="W59" s="9">
        <f t="shared" si="52"/>
        <v>4.4000000000000004</v>
      </c>
      <c r="X59" s="9">
        <f t="shared" si="53"/>
        <v>7</v>
      </c>
      <c r="Y59" s="9">
        <f t="shared" si="54"/>
        <v>20.3</v>
      </c>
      <c r="Z59" s="11" t="s">
        <v>296</v>
      </c>
      <c r="AA59" s="11" t="s">
        <v>297</v>
      </c>
      <c r="AB59" s="9" t="s">
        <v>44</v>
      </c>
      <c r="AC59" s="13" t="s">
        <v>208</v>
      </c>
      <c r="AD59" s="12">
        <v>49.3</v>
      </c>
      <c r="AE59" s="14" t="s">
        <v>46</v>
      </c>
      <c r="AF59" s="14">
        <v>450</v>
      </c>
      <c r="AG59" s="11"/>
      <c r="AH59" s="12">
        <f t="shared" si="55"/>
        <v>27.859154929577464</v>
      </c>
      <c r="AI59" s="12">
        <v>22.4</v>
      </c>
      <c r="AJ59" s="27">
        <v>22.4</v>
      </c>
      <c r="AK59" s="9">
        <v>0.91</v>
      </c>
      <c r="AL59" s="15" t="s">
        <v>298</v>
      </c>
      <c r="AM59" s="9" t="s">
        <v>299</v>
      </c>
      <c r="AN59" s="9"/>
    </row>
    <row r="60" spans="1:40" s="8" customFormat="1" ht="22.5" customHeight="1" x14ac:dyDescent="0.25">
      <c r="A60" s="9">
        <v>127</v>
      </c>
      <c r="B60" s="33">
        <v>42870</v>
      </c>
      <c r="C60" s="34">
        <v>60001681</v>
      </c>
      <c r="D60" s="35" t="s">
        <v>300</v>
      </c>
      <c r="E60" s="9" t="s">
        <v>40</v>
      </c>
      <c r="F60" s="9">
        <v>0</v>
      </c>
      <c r="G60" s="12" t="s">
        <v>41</v>
      </c>
      <c r="H60" s="12">
        <v>15.8</v>
      </c>
      <c r="I60" s="12">
        <v>11.8</v>
      </c>
      <c r="J60" s="9">
        <v>2.64</v>
      </c>
      <c r="K60" s="9">
        <v>7</v>
      </c>
      <c r="L60" s="9"/>
      <c r="M60" s="9"/>
      <c r="N60" s="9"/>
      <c r="O60" s="9">
        <f t="shared" si="44"/>
        <v>7</v>
      </c>
      <c r="P60" s="9">
        <f t="shared" si="45"/>
        <v>3.3</v>
      </c>
      <c r="Q60" s="9">
        <f t="shared" si="46"/>
        <v>1.31</v>
      </c>
      <c r="R60" s="9">
        <f t="shared" si="47"/>
        <v>90.08</v>
      </c>
      <c r="S60" s="9">
        <f t="shared" si="48"/>
        <v>27.97</v>
      </c>
      <c r="T60" s="9">
        <f t="shared" si="49"/>
        <v>25.19</v>
      </c>
      <c r="U60" s="9">
        <f t="shared" si="50"/>
        <v>63.6</v>
      </c>
      <c r="V60" s="9">
        <f t="shared" si="51"/>
        <v>30.3</v>
      </c>
      <c r="W60" s="9">
        <f t="shared" si="52"/>
        <v>5.3</v>
      </c>
      <c r="X60" s="9">
        <f t="shared" si="53"/>
        <v>7.2</v>
      </c>
      <c r="Y60" s="9">
        <f t="shared" si="54"/>
        <v>20.9</v>
      </c>
      <c r="Z60" s="11" t="s">
        <v>301</v>
      </c>
      <c r="AA60" s="11" t="s">
        <v>302</v>
      </c>
      <c r="AB60" s="9" t="s">
        <v>44</v>
      </c>
      <c r="AC60" s="34" t="s">
        <v>303</v>
      </c>
      <c r="AD60" s="12">
        <v>53</v>
      </c>
      <c r="AE60" s="36" t="s">
        <v>46</v>
      </c>
      <c r="AF60" s="36">
        <v>300</v>
      </c>
      <c r="AG60" s="35" t="s">
        <v>304</v>
      </c>
      <c r="AH60" s="12">
        <f t="shared" si="55"/>
        <v>22.981434599156117</v>
      </c>
      <c r="AI60" s="12">
        <v>15.2</v>
      </c>
      <c r="AJ60" s="27">
        <v>15.2</v>
      </c>
      <c r="AK60" s="9">
        <v>2.84</v>
      </c>
      <c r="AL60" s="15" t="s">
        <v>195</v>
      </c>
      <c r="AM60" s="9" t="s">
        <v>305</v>
      </c>
      <c r="AN60" s="9"/>
    </row>
    <row r="61" spans="1:40" s="8" customFormat="1" ht="22.5" customHeight="1" x14ac:dyDescent="0.25">
      <c r="A61" s="9">
        <v>128</v>
      </c>
      <c r="B61" s="33">
        <v>42886</v>
      </c>
      <c r="C61" s="34">
        <v>59002198</v>
      </c>
      <c r="D61" s="35" t="s">
        <v>306</v>
      </c>
      <c r="E61" s="9" t="s">
        <v>40</v>
      </c>
      <c r="F61" s="9">
        <v>0</v>
      </c>
      <c r="G61" s="12" t="s">
        <v>41</v>
      </c>
      <c r="H61" s="17"/>
      <c r="I61" s="12">
        <v>14.2</v>
      </c>
      <c r="J61" s="9">
        <v>25.64</v>
      </c>
      <c r="K61" s="9">
        <v>784</v>
      </c>
      <c r="L61" s="9"/>
      <c r="M61" s="9"/>
      <c r="N61" s="9"/>
      <c r="O61" s="9">
        <f t="shared" si="44"/>
        <v>784</v>
      </c>
      <c r="P61" s="9">
        <f t="shared" si="45"/>
        <v>4.2</v>
      </c>
      <c r="Q61" s="9">
        <f t="shared" si="46"/>
        <v>2.02</v>
      </c>
      <c r="R61" s="9">
        <f t="shared" si="47"/>
        <v>70.3</v>
      </c>
      <c r="S61" s="9">
        <f t="shared" si="48"/>
        <v>29.58</v>
      </c>
      <c r="T61" s="9">
        <f t="shared" si="49"/>
        <v>20.79</v>
      </c>
      <c r="U61" s="9">
        <f t="shared" si="50"/>
        <v>88.4</v>
      </c>
      <c r="V61" s="9">
        <f t="shared" si="51"/>
        <v>7.6</v>
      </c>
      <c r="W61" s="9">
        <f t="shared" si="52"/>
        <v>3.2</v>
      </c>
      <c r="X61" s="9">
        <f t="shared" si="53"/>
        <v>7.2</v>
      </c>
      <c r="Y61" s="9">
        <f t="shared" si="54"/>
        <v>22.4</v>
      </c>
      <c r="Z61" s="11" t="s">
        <v>307</v>
      </c>
      <c r="AA61" s="11" t="s">
        <v>308</v>
      </c>
      <c r="AB61" s="9" t="s">
        <v>44</v>
      </c>
      <c r="AC61" s="16" t="s">
        <v>309</v>
      </c>
      <c r="AD61" s="12">
        <v>56</v>
      </c>
      <c r="AE61" s="36" t="s">
        <v>58</v>
      </c>
      <c r="AF61" s="36">
        <v>170</v>
      </c>
      <c r="AG61" s="35"/>
      <c r="AH61" s="17" t="e">
        <f>((AF61/H61)+I61)</f>
        <v>#DIV/0!</v>
      </c>
      <c r="AI61" s="12">
        <v>20.5</v>
      </c>
      <c r="AJ61" s="27">
        <v>20.5</v>
      </c>
      <c r="AK61" s="9">
        <v>30.82</v>
      </c>
      <c r="AL61" s="15" t="s">
        <v>310</v>
      </c>
      <c r="AM61" s="9" t="s">
        <v>311</v>
      </c>
      <c r="AN61" s="9"/>
    </row>
    <row r="62" spans="1:40" s="8" customFormat="1" ht="22.5" customHeight="1" x14ac:dyDescent="0.25">
      <c r="A62" s="9">
        <v>129</v>
      </c>
      <c r="B62" s="33">
        <v>42887</v>
      </c>
      <c r="C62" s="34">
        <v>60001921</v>
      </c>
      <c r="D62" s="35" t="s">
        <v>312</v>
      </c>
      <c r="E62" s="9" t="s">
        <v>40</v>
      </c>
      <c r="F62" s="9">
        <v>0</v>
      </c>
      <c r="G62" s="12" t="s">
        <v>313</v>
      </c>
      <c r="H62" s="12">
        <v>17</v>
      </c>
      <c r="I62" s="12">
        <v>26</v>
      </c>
      <c r="J62" s="9">
        <v>30.94</v>
      </c>
      <c r="K62" s="9">
        <v>414</v>
      </c>
      <c r="L62" s="9"/>
      <c r="M62" s="9"/>
      <c r="N62" s="9"/>
      <c r="O62" s="9">
        <f t="shared" si="44"/>
        <v>414</v>
      </c>
      <c r="P62" s="9">
        <f t="shared" si="45"/>
        <v>9.1999999999999993</v>
      </c>
      <c r="Q62" s="9">
        <f t="shared" si="46"/>
        <v>4.12</v>
      </c>
      <c r="R62" s="9">
        <f t="shared" si="47"/>
        <v>63.11</v>
      </c>
      <c r="S62" s="9">
        <f t="shared" si="48"/>
        <v>35.380000000000003</v>
      </c>
      <c r="T62" s="9">
        <f t="shared" si="49"/>
        <v>22.33</v>
      </c>
      <c r="U62" s="9">
        <f t="shared" si="50"/>
        <v>83.1</v>
      </c>
      <c r="V62" s="9">
        <f t="shared" si="51"/>
        <v>8.8000000000000007</v>
      </c>
      <c r="W62" s="9">
        <f t="shared" si="52"/>
        <v>7.5</v>
      </c>
      <c r="X62" s="9">
        <f t="shared" si="53"/>
        <v>6</v>
      </c>
      <c r="Y62" s="9">
        <f t="shared" si="54"/>
        <v>14.9</v>
      </c>
      <c r="Z62" s="11" t="s">
        <v>314</v>
      </c>
      <c r="AA62" s="11" t="s">
        <v>315</v>
      </c>
      <c r="AB62" s="9" t="s">
        <v>44</v>
      </c>
      <c r="AC62" s="34" t="s">
        <v>316</v>
      </c>
      <c r="AD62" s="12">
        <v>44</v>
      </c>
      <c r="AE62" s="36" t="s">
        <v>46</v>
      </c>
      <c r="AF62" s="36">
        <v>300</v>
      </c>
      <c r="AG62" s="35"/>
      <c r="AH62" s="12">
        <f t="shared" ref="AH62:AH85" si="56">(((AF62/(90*H62))*AD62)+I62)</f>
        <v>34.627450980392155</v>
      </c>
      <c r="AI62" s="12">
        <v>37</v>
      </c>
      <c r="AJ62" s="27">
        <v>37</v>
      </c>
      <c r="AK62" s="9">
        <v>0</v>
      </c>
      <c r="AL62" s="15">
        <v>0</v>
      </c>
      <c r="AM62" s="9" t="s">
        <v>317</v>
      </c>
      <c r="AN62" s="9"/>
    </row>
    <row r="63" spans="1:40" s="8" customFormat="1" ht="22.5" customHeight="1" x14ac:dyDescent="0.25">
      <c r="A63" s="9">
        <v>131</v>
      </c>
      <c r="B63" s="33">
        <v>42917</v>
      </c>
      <c r="C63" s="34">
        <v>60002254</v>
      </c>
      <c r="D63" s="35" t="s">
        <v>318</v>
      </c>
      <c r="E63" s="9" t="s">
        <v>40</v>
      </c>
      <c r="F63" s="9">
        <v>0</v>
      </c>
      <c r="G63" s="12" t="s">
        <v>41</v>
      </c>
      <c r="H63" s="12">
        <v>15.2</v>
      </c>
      <c r="I63" s="12">
        <v>17.899999999999999</v>
      </c>
      <c r="J63" s="9">
        <v>43.57</v>
      </c>
      <c r="K63" s="9">
        <v>147</v>
      </c>
      <c r="L63" s="9"/>
      <c r="M63" s="9"/>
      <c r="N63" s="9"/>
      <c r="O63" s="9">
        <f t="shared" si="44"/>
        <v>147</v>
      </c>
      <c r="P63" s="9">
        <f t="shared" si="45"/>
        <v>5.8</v>
      </c>
      <c r="Q63" s="9">
        <f t="shared" si="46"/>
        <v>2.77</v>
      </c>
      <c r="R63" s="9">
        <f t="shared" si="47"/>
        <v>64.62</v>
      </c>
      <c r="S63" s="9">
        <f t="shared" si="48"/>
        <v>32.4</v>
      </c>
      <c r="T63" s="9">
        <f t="shared" si="49"/>
        <v>20.94</v>
      </c>
      <c r="U63" s="9">
        <f t="shared" si="50"/>
        <v>86</v>
      </c>
      <c r="V63" s="9">
        <f t="shared" si="51"/>
        <v>1.4</v>
      </c>
      <c r="W63" s="9">
        <f t="shared" si="52"/>
        <v>11.8</v>
      </c>
      <c r="X63" s="9">
        <f t="shared" si="53"/>
        <v>4.8</v>
      </c>
      <c r="Y63" s="9">
        <f t="shared" si="54"/>
        <v>13.9</v>
      </c>
      <c r="Z63" s="11" t="s">
        <v>128</v>
      </c>
      <c r="AA63" s="11" t="s">
        <v>319</v>
      </c>
      <c r="AB63" s="9" t="s">
        <v>44</v>
      </c>
      <c r="AC63" s="16" t="s">
        <v>191</v>
      </c>
      <c r="AD63" s="12">
        <v>52.6</v>
      </c>
      <c r="AE63" s="36" t="s">
        <v>46</v>
      </c>
      <c r="AF63" s="36">
        <v>280</v>
      </c>
      <c r="AG63" s="35"/>
      <c r="AH63" s="12">
        <f t="shared" si="56"/>
        <v>28.666081871345028</v>
      </c>
      <c r="AI63" s="12">
        <v>23</v>
      </c>
      <c r="AJ63" s="27">
        <v>23</v>
      </c>
      <c r="AK63" s="9">
        <v>42.3</v>
      </c>
      <c r="AL63" s="15" t="s">
        <v>320</v>
      </c>
      <c r="AM63" s="9" t="s">
        <v>321</v>
      </c>
      <c r="AN63" s="9"/>
    </row>
    <row r="64" spans="1:40" s="8" customFormat="1" ht="22.5" customHeight="1" x14ac:dyDescent="0.25">
      <c r="A64" s="9">
        <v>132</v>
      </c>
      <c r="B64" s="33">
        <v>42914</v>
      </c>
      <c r="C64" s="34">
        <v>60001929</v>
      </c>
      <c r="D64" s="35" t="s">
        <v>322</v>
      </c>
      <c r="E64" s="9" t="s">
        <v>40</v>
      </c>
      <c r="F64" s="9">
        <v>0</v>
      </c>
      <c r="G64" s="12" t="s">
        <v>97</v>
      </c>
      <c r="H64" s="12">
        <v>25.6</v>
      </c>
      <c r="I64" s="12">
        <v>22.3</v>
      </c>
      <c r="J64" s="9">
        <v>22.03</v>
      </c>
      <c r="K64" s="9">
        <v>200</v>
      </c>
      <c r="L64" s="9"/>
      <c r="M64" s="9"/>
      <c r="N64" s="9"/>
      <c r="O64" s="9">
        <f t="shared" si="44"/>
        <v>200</v>
      </c>
      <c r="P64" s="9">
        <f t="shared" si="45"/>
        <v>7.3</v>
      </c>
      <c r="Q64" s="9">
        <f t="shared" si="46"/>
        <v>2.84</v>
      </c>
      <c r="R64" s="9">
        <f t="shared" si="47"/>
        <v>78.52</v>
      </c>
      <c r="S64" s="9">
        <f t="shared" si="48"/>
        <v>32.74</v>
      </c>
      <c r="T64" s="9">
        <f t="shared" si="49"/>
        <v>25.7</v>
      </c>
      <c r="U64" s="9">
        <f t="shared" si="50"/>
        <v>91.1</v>
      </c>
      <c r="V64" s="9">
        <f t="shared" si="51"/>
        <v>5.8</v>
      </c>
      <c r="W64" s="9">
        <f t="shared" si="52"/>
        <v>2.7</v>
      </c>
      <c r="X64" s="9">
        <f t="shared" si="53"/>
        <v>6.4</v>
      </c>
      <c r="Y64" s="9">
        <f t="shared" si="54"/>
        <v>24.8</v>
      </c>
      <c r="Z64" s="11" t="s">
        <v>298</v>
      </c>
      <c r="AA64" s="11" t="s">
        <v>323</v>
      </c>
      <c r="AB64" s="9" t="s">
        <v>44</v>
      </c>
      <c r="AC64" s="34" t="s">
        <v>45</v>
      </c>
      <c r="AD64" s="12">
        <v>49</v>
      </c>
      <c r="AE64" s="36" t="s">
        <v>46</v>
      </c>
      <c r="AF64" s="36">
        <v>350</v>
      </c>
      <c r="AG64" s="35"/>
      <c r="AH64" s="12">
        <f t="shared" si="56"/>
        <v>29.74357638888889</v>
      </c>
      <c r="AI64" s="12">
        <v>25.6</v>
      </c>
      <c r="AJ64" s="27">
        <v>25.6</v>
      </c>
      <c r="AK64" s="9">
        <v>27.36</v>
      </c>
      <c r="AL64" s="15" t="s">
        <v>324</v>
      </c>
      <c r="AM64" s="9" t="s">
        <v>325</v>
      </c>
      <c r="AN64" s="9"/>
    </row>
    <row r="65" spans="1:40" s="48" customFormat="1" ht="22.5" customHeight="1" x14ac:dyDescent="0.25">
      <c r="A65" s="42">
        <v>133</v>
      </c>
      <c r="B65" s="53">
        <v>42906</v>
      </c>
      <c r="C65" s="54">
        <v>60002056</v>
      </c>
      <c r="D65" s="55" t="s">
        <v>326</v>
      </c>
      <c r="E65" s="42"/>
      <c r="F65" s="42"/>
      <c r="G65" s="45" t="s">
        <v>41</v>
      </c>
      <c r="H65" s="45">
        <v>19</v>
      </c>
      <c r="I65" s="45">
        <v>16</v>
      </c>
      <c r="J65" s="42"/>
      <c r="K65" s="42"/>
      <c r="L65" s="42"/>
      <c r="M65" s="42"/>
      <c r="N65" s="42"/>
      <c r="O65" s="42" t="e">
        <f t="shared" si="44"/>
        <v>#N/A</v>
      </c>
      <c r="P65" s="42" t="e">
        <f t="shared" si="45"/>
        <v>#N/A</v>
      </c>
      <c r="Q65" s="42" t="e">
        <f t="shared" si="46"/>
        <v>#N/A</v>
      </c>
      <c r="R65" s="42" t="e">
        <f t="shared" si="47"/>
        <v>#N/A</v>
      </c>
      <c r="S65" s="42" t="e">
        <f t="shared" si="48"/>
        <v>#N/A</v>
      </c>
      <c r="T65" s="42" t="e">
        <f t="shared" si="49"/>
        <v>#N/A</v>
      </c>
      <c r="U65" s="42" t="e">
        <f t="shared" si="50"/>
        <v>#N/A</v>
      </c>
      <c r="V65" s="42" t="e">
        <f t="shared" si="51"/>
        <v>#N/A</v>
      </c>
      <c r="W65" s="42" t="e">
        <f t="shared" si="52"/>
        <v>#N/A</v>
      </c>
      <c r="X65" s="42" t="e">
        <f t="shared" si="53"/>
        <v>#N/A</v>
      </c>
      <c r="Y65" s="42" t="e">
        <f t="shared" si="54"/>
        <v>#N/A</v>
      </c>
      <c r="Z65" s="44"/>
      <c r="AA65" s="44"/>
      <c r="AB65" s="42" t="s">
        <v>44</v>
      </c>
      <c r="AC65" s="46" t="s">
        <v>214</v>
      </c>
      <c r="AD65" s="45">
        <v>53.1</v>
      </c>
      <c r="AE65" s="56" t="s">
        <v>46</v>
      </c>
      <c r="AF65" s="56">
        <v>300</v>
      </c>
      <c r="AG65" s="55" t="s">
        <v>327</v>
      </c>
      <c r="AH65" s="45">
        <f t="shared" si="56"/>
        <v>25.315789473684212</v>
      </c>
      <c r="AI65" s="45">
        <v>27.9</v>
      </c>
      <c r="AJ65" s="52"/>
      <c r="AK65" s="42"/>
      <c r="AL65" s="51"/>
      <c r="AM65" s="42"/>
      <c r="AN65" s="42"/>
    </row>
    <row r="66" spans="1:40" s="8" customFormat="1" ht="22.5" customHeight="1" x14ac:dyDescent="0.25">
      <c r="A66" s="9">
        <v>134</v>
      </c>
      <c r="B66" s="33">
        <v>42906</v>
      </c>
      <c r="C66" s="34">
        <v>60002199</v>
      </c>
      <c r="D66" s="35" t="s">
        <v>328</v>
      </c>
      <c r="E66" s="9" t="s">
        <v>50</v>
      </c>
      <c r="F66" s="9"/>
      <c r="G66" s="12" t="s">
        <v>41</v>
      </c>
      <c r="H66" s="12">
        <v>3</v>
      </c>
      <c r="I66" s="12">
        <v>18</v>
      </c>
      <c r="J66" s="9"/>
      <c r="K66" s="9"/>
      <c r="L66" s="9"/>
      <c r="M66" s="9"/>
      <c r="N66" s="9"/>
      <c r="O66" s="9" t="e">
        <f t="shared" si="44"/>
        <v>#N/A</v>
      </c>
      <c r="P66" s="9" t="e">
        <f t="shared" si="45"/>
        <v>#N/A</v>
      </c>
      <c r="Q66" s="9" t="e">
        <f t="shared" si="46"/>
        <v>#N/A</v>
      </c>
      <c r="R66" s="9" t="e">
        <f t="shared" si="47"/>
        <v>#N/A</v>
      </c>
      <c r="S66" s="9" t="e">
        <f t="shared" si="48"/>
        <v>#N/A</v>
      </c>
      <c r="T66" s="9" t="e">
        <f t="shared" si="49"/>
        <v>#N/A</v>
      </c>
      <c r="U66" s="9" t="e">
        <f t="shared" si="50"/>
        <v>#N/A</v>
      </c>
      <c r="V66" s="9" t="e">
        <f t="shared" si="51"/>
        <v>#N/A</v>
      </c>
      <c r="W66" s="9" t="e">
        <f t="shared" si="52"/>
        <v>#N/A</v>
      </c>
      <c r="X66" s="9" t="e">
        <f t="shared" si="53"/>
        <v>#N/A</v>
      </c>
      <c r="Y66" s="9" t="e">
        <f t="shared" si="54"/>
        <v>#N/A</v>
      </c>
      <c r="Z66" s="11"/>
      <c r="AA66" s="11"/>
      <c r="AB66" s="9" t="s">
        <v>44</v>
      </c>
      <c r="AC66" s="16" t="s">
        <v>214</v>
      </c>
      <c r="AD66" s="12">
        <v>53.1</v>
      </c>
      <c r="AE66" s="36" t="s">
        <v>46</v>
      </c>
      <c r="AF66" s="36">
        <v>100</v>
      </c>
      <c r="AG66" s="35"/>
      <c r="AH66" s="12">
        <f t="shared" si="56"/>
        <v>37.666666666666671</v>
      </c>
      <c r="AI66" s="12">
        <v>23.9</v>
      </c>
      <c r="AJ66" s="27">
        <v>23.9</v>
      </c>
      <c r="AK66" s="9">
        <v>20.46</v>
      </c>
      <c r="AL66" s="15" t="s">
        <v>329</v>
      </c>
      <c r="AM66" s="9" t="s">
        <v>330</v>
      </c>
      <c r="AN66" s="9"/>
    </row>
    <row r="67" spans="1:40" s="48" customFormat="1" ht="22.5" customHeight="1" x14ac:dyDescent="0.25">
      <c r="A67" s="42">
        <v>135</v>
      </c>
      <c r="B67" s="53">
        <v>42927</v>
      </c>
      <c r="C67" s="54">
        <v>60002491</v>
      </c>
      <c r="D67" s="55" t="s">
        <v>331</v>
      </c>
      <c r="E67" s="42" t="s">
        <v>40</v>
      </c>
      <c r="F67" s="42"/>
      <c r="G67" s="45" t="s">
        <v>78</v>
      </c>
      <c r="H67" s="45">
        <v>26</v>
      </c>
      <c r="I67" s="45">
        <v>13</v>
      </c>
      <c r="J67" s="42"/>
      <c r="K67" s="42"/>
      <c r="L67" s="42"/>
      <c r="M67" s="42"/>
      <c r="N67" s="42"/>
      <c r="O67" s="42" t="e">
        <f t="shared" si="44"/>
        <v>#N/A</v>
      </c>
      <c r="P67" s="42" t="e">
        <f t="shared" si="45"/>
        <v>#N/A</v>
      </c>
      <c r="Q67" s="42" t="e">
        <f t="shared" si="46"/>
        <v>#N/A</v>
      </c>
      <c r="R67" s="42" t="e">
        <f t="shared" si="47"/>
        <v>#N/A</v>
      </c>
      <c r="S67" s="42" t="e">
        <f t="shared" si="48"/>
        <v>#N/A</v>
      </c>
      <c r="T67" s="42" t="e">
        <f t="shared" si="49"/>
        <v>#N/A</v>
      </c>
      <c r="U67" s="42" t="e">
        <f t="shared" si="50"/>
        <v>#N/A</v>
      </c>
      <c r="V67" s="42" t="e">
        <f t="shared" si="51"/>
        <v>#N/A</v>
      </c>
      <c r="W67" s="42" t="e">
        <f t="shared" si="52"/>
        <v>#N/A</v>
      </c>
      <c r="X67" s="42" t="e">
        <f t="shared" si="53"/>
        <v>#N/A</v>
      </c>
      <c r="Y67" s="42" t="e">
        <f t="shared" si="54"/>
        <v>#N/A</v>
      </c>
      <c r="Z67" s="44"/>
      <c r="AA67" s="44"/>
      <c r="AB67" s="42" t="s">
        <v>44</v>
      </c>
      <c r="AC67" s="54" t="s">
        <v>332</v>
      </c>
      <c r="AD67" s="45">
        <v>51.2</v>
      </c>
      <c r="AE67" s="56" t="s">
        <v>46</v>
      </c>
      <c r="AF67" s="56">
        <v>300</v>
      </c>
      <c r="AG67" s="55"/>
      <c r="AH67" s="45">
        <f t="shared" si="56"/>
        <v>19.564102564102562</v>
      </c>
      <c r="AI67" s="45">
        <v>17</v>
      </c>
      <c r="AJ67" s="52"/>
      <c r="AK67" s="42"/>
      <c r="AL67" s="44"/>
      <c r="AM67" s="42"/>
      <c r="AN67" s="42"/>
    </row>
    <row r="68" spans="1:40" s="8" customFormat="1" ht="22.5" customHeight="1" x14ac:dyDescent="0.25">
      <c r="A68" s="9">
        <v>136</v>
      </c>
      <c r="B68" s="33">
        <v>42927</v>
      </c>
      <c r="C68" s="34">
        <v>60002490</v>
      </c>
      <c r="D68" s="35" t="s">
        <v>333</v>
      </c>
      <c r="E68" s="9"/>
      <c r="F68" s="9"/>
      <c r="G68" s="12" t="s">
        <v>41</v>
      </c>
      <c r="H68" s="17"/>
      <c r="I68" s="12">
        <v>12</v>
      </c>
      <c r="J68" s="9"/>
      <c r="K68" s="9"/>
      <c r="L68" s="9"/>
      <c r="M68" s="9"/>
      <c r="N68" s="9"/>
      <c r="O68" s="9" t="e">
        <f t="shared" si="44"/>
        <v>#N/A</v>
      </c>
      <c r="P68" s="9" t="e">
        <f t="shared" si="45"/>
        <v>#N/A</v>
      </c>
      <c r="Q68" s="9" t="e">
        <f t="shared" si="46"/>
        <v>#N/A</v>
      </c>
      <c r="R68" s="9" t="e">
        <f t="shared" si="47"/>
        <v>#N/A</v>
      </c>
      <c r="S68" s="9" t="e">
        <f t="shared" si="48"/>
        <v>#N/A</v>
      </c>
      <c r="T68" s="9" t="e">
        <f t="shared" si="49"/>
        <v>#N/A</v>
      </c>
      <c r="U68" s="9" t="e">
        <f t="shared" si="50"/>
        <v>#N/A</v>
      </c>
      <c r="V68" s="9" t="e">
        <f t="shared" si="51"/>
        <v>#N/A</v>
      </c>
      <c r="W68" s="9" t="e">
        <f t="shared" si="52"/>
        <v>#N/A</v>
      </c>
      <c r="X68" s="9" t="e">
        <f t="shared" si="53"/>
        <v>#N/A</v>
      </c>
      <c r="Y68" s="9" t="e">
        <f t="shared" si="54"/>
        <v>#N/A</v>
      </c>
      <c r="Z68" s="11"/>
      <c r="AA68" s="11"/>
      <c r="AB68" s="9" t="s">
        <v>44</v>
      </c>
      <c r="AC68" s="34" t="s">
        <v>101</v>
      </c>
      <c r="AD68" s="12">
        <v>47</v>
      </c>
      <c r="AE68" s="36" t="s">
        <v>46</v>
      </c>
      <c r="AF68" s="36">
        <v>300</v>
      </c>
      <c r="AG68" s="35"/>
      <c r="AH68" s="17" t="e">
        <f t="shared" si="56"/>
        <v>#DIV/0!</v>
      </c>
      <c r="AI68" s="12">
        <v>22</v>
      </c>
      <c r="AJ68" s="27">
        <v>22</v>
      </c>
      <c r="AK68" s="9">
        <v>0</v>
      </c>
      <c r="AL68" s="15" t="s">
        <v>334</v>
      </c>
      <c r="AM68" s="9" t="s">
        <v>335</v>
      </c>
      <c r="AN68" s="9"/>
    </row>
    <row r="69" spans="1:40" s="8" customFormat="1" ht="22.5" customHeight="1" x14ac:dyDescent="0.25">
      <c r="A69" s="9">
        <v>137</v>
      </c>
      <c r="B69" s="33">
        <v>42936</v>
      </c>
      <c r="C69" s="34">
        <v>60002584</v>
      </c>
      <c r="D69" s="35" t="s">
        <v>336</v>
      </c>
      <c r="E69" s="9" t="s">
        <v>40</v>
      </c>
      <c r="F69" s="9">
        <v>0</v>
      </c>
      <c r="G69" s="12" t="s">
        <v>66</v>
      </c>
      <c r="H69" s="12">
        <v>3</v>
      </c>
      <c r="I69" s="12">
        <v>7.2</v>
      </c>
      <c r="J69" s="9">
        <v>8.92</v>
      </c>
      <c r="K69" s="9">
        <v>5</v>
      </c>
      <c r="L69" s="9"/>
      <c r="M69" s="9"/>
      <c r="N69" s="9"/>
      <c r="O69" s="9">
        <f t="shared" si="44"/>
        <v>5</v>
      </c>
      <c r="P69" s="9">
        <f t="shared" si="45"/>
        <v>2.2000000000000002</v>
      </c>
      <c r="Q69" s="9">
        <f t="shared" si="46"/>
        <v>0.98</v>
      </c>
      <c r="R69" s="9">
        <f t="shared" si="47"/>
        <v>73.47</v>
      </c>
      <c r="S69" s="9">
        <f t="shared" si="48"/>
        <v>30.56</v>
      </c>
      <c r="T69" s="9">
        <f t="shared" si="49"/>
        <v>22.45</v>
      </c>
      <c r="U69" s="9">
        <f t="shared" si="50"/>
        <v>78.5</v>
      </c>
      <c r="V69" s="9">
        <f t="shared" si="51"/>
        <v>17.5</v>
      </c>
      <c r="W69" s="9">
        <f t="shared" si="52"/>
        <v>4</v>
      </c>
      <c r="X69" s="9">
        <f t="shared" si="53"/>
        <v>8.1999999999999993</v>
      </c>
      <c r="Y69" s="9">
        <f t="shared" si="54"/>
        <v>16.600000000000001</v>
      </c>
      <c r="Z69" s="11" t="s">
        <v>157</v>
      </c>
      <c r="AA69" s="11" t="s">
        <v>337</v>
      </c>
      <c r="AB69" s="9" t="s">
        <v>44</v>
      </c>
      <c r="AC69" s="16" t="s">
        <v>338</v>
      </c>
      <c r="AD69" s="12">
        <v>48</v>
      </c>
      <c r="AE69" s="36" t="s">
        <v>46</v>
      </c>
      <c r="AF69" s="36">
        <v>100</v>
      </c>
      <c r="AG69" s="35" t="s">
        <v>339</v>
      </c>
      <c r="AH69" s="12">
        <f t="shared" si="56"/>
        <v>24.977777777777778</v>
      </c>
      <c r="AI69" s="12">
        <v>22.8</v>
      </c>
      <c r="AJ69" s="27">
        <v>22.8</v>
      </c>
      <c r="AK69" s="9">
        <v>10.86</v>
      </c>
      <c r="AL69" s="15" t="s">
        <v>245</v>
      </c>
      <c r="AM69" s="9" t="s">
        <v>340</v>
      </c>
      <c r="AN69" s="9"/>
    </row>
    <row r="70" spans="1:40" s="8" customFormat="1" ht="22.5" customHeight="1" x14ac:dyDescent="0.25">
      <c r="A70" s="9">
        <v>138</v>
      </c>
      <c r="B70" s="33">
        <v>42941</v>
      </c>
      <c r="C70" s="34">
        <v>60002659</v>
      </c>
      <c r="D70" s="35" t="s">
        <v>341</v>
      </c>
      <c r="E70" s="9" t="s">
        <v>50</v>
      </c>
      <c r="F70" s="9">
        <v>0</v>
      </c>
      <c r="G70" s="12" t="s">
        <v>78</v>
      </c>
      <c r="H70" s="17"/>
      <c r="I70" s="12">
        <v>12.7</v>
      </c>
      <c r="J70" s="9">
        <v>14.16</v>
      </c>
      <c r="K70" s="9">
        <v>10</v>
      </c>
      <c r="L70" s="9"/>
      <c r="M70" s="9"/>
      <c r="N70" s="9"/>
      <c r="O70" s="9">
        <f t="shared" si="44"/>
        <v>10</v>
      </c>
      <c r="P70" s="9">
        <f t="shared" si="45"/>
        <v>4</v>
      </c>
      <c r="Q70" s="9">
        <f t="shared" si="46"/>
        <v>1.71</v>
      </c>
      <c r="R70" s="9">
        <f t="shared" si="47"/>
        <v>74.27</v>
      </c>
      <c r="S70" s="9">
        <f t="shared" si="48"/>
        <v>31.5</v>
      </c>
      <c r="T70" s="9">
        <f t="shared" si="49"/>
        <v>23.39</v>
      </c>
      <c r="U70" s="9">
        <f t="shared" si="50"/>
        <v>83.6</v>
      </c>
      <c r="V70" s="9">
        <f t="shared" si="51"/>
        <v>9.5</v>
      </c>
      <c r="W70" s="9">
        <f t="shared" si="52"/>
        <v>6.7</v>
      </c>
      <c r="X70" s="9">
        <f t="shared" si="53"/>
        <v>6.2</v>
      </c>
      <c r="Y70" s="9">
        <f t="shared" si="54"/>
        <v>16.399999999999999</v>
      </c>
      <c r="Z70" s="11" t="s">
        <v>169</v>
      </c>
      <c r="AA70" s="11" t="s">
        <v>342</v>
      </c>
      <c r="AB70" s="9" t="s">
        <v>44</v>
      </c>
      <c r="AC70" s="16" t="s">
        <v>338</v>
      </c>
      <c r="AD70" s="12">
        <v>48</v>
      </c>
      <c r="AE70" s="36" t="s">
        <v>46</v>
      </c>
      <c r="AF70" s="36">
        <v>200</v>
      </c>
      <c r="AG70" s="35" t="s">
        <v>327</v>
      </c>
      <c r="AH70" s="17" t="e">
        <f t="shared" si="56"/>
        <v>#DIV/0!</v>
      </c>
      <c r="AI70" s="12">
        <v>21.2</v>
      </c>
      <c r="AJ70" s="27">
        <v>21.2</v>
      </c>
      <c r="AK70" s="9">
        <v>23.16</v>
      </c>
      <c r="AL70" s="15" t="s">
        <v>186</v>
      </c>
      <c r="AM70" s="9" t="s">
        <v>343</v>
      </c>
      <c r="AN70" s="9"/>
    </row>
    <row r="71" spans="1:40" s="8" customFormat="1" ht="22.5" customHeight="1" x14ac:dyDescent="0.25">
      <c r="A71" s="9">
        <v>139</v>
      </c>
      <c r="B71" s="33">
        <v>42957</v>
      </c>
      <c r="C71" s="34">
        <v>60002840</v>
      </c>
      <c r="D71" s="35" t="s">
        <v>344</v>
      </c>
      <c r="E71" s="9" t="s">
        <v>40</v>
      </c>
      <c r="F71" s="9">
        <v>0</v>
      </c>
      <c r="G71" s="12" t="s">
        <v>41</v>
      </c>
      <c r="H71" s="17"/>
      <c r="I71" s="12">
        <v>24.8</v>
      </c>
      <c r="J71" s="9">
        <v>36.729999999999997</v>
      </c>
      <c r="K71" s="9">
        <v>0</v>
      </c>
      <c r="L71" s="9"/>
      <c r="M71" s="9"/>
      <c r="N71" s="9"/>
      <c r="O71" s="9">
        <f t="shared" si="44"/>
        <v>0</v>
      </c>
      <c r="P71" s="9">
        <f t="shared" si="45"/>
        <v>7.9</v>
      </c>
      <c r="Q71" s="9">
        <f t="shared" si="46"/>
        <v>4.03</v>
      </c>
      <c r="R71" s="9">
        <f t="shared" si="47"/>
        <v>61.54</v>
      </c>
      <c r="S71" s="9">
        <f t="shared" si="48"/>
        <v>31.85</v>
      </c>
      <c r="T71" s="9">
        <f t="shared" si="49"/>
        <v>19.600000000000001</v>
      </c>
      <c r="U71" s="9">
        <f t="shared" si="50"/>
        <v>65.400000000000006</v>
      </c>
      <c r="V71" s="9">
        <f t="shared" si="51"/>
        <v>21.8</v>
      </c>
      <c r="W71" s="9">
        <f t="shared" si="52"/>
        <v>8</v>
      </c>
      <c r="X71" s="9">
        <f t="shared" si="53"/>
        <v>0</v>
      </c>
      <c r="Y71" s="9">
        <f t="shared" si="54"/>
        <v>21.6</v>
      </c>
      <c r="Z71" s="11" t="s">
        <v>345</v>
      </c>
      <c r="AA71" s="11" t="s">
        <v>346</v>
      </c>
      <c r="AB71" s="9" t="s">
        <v>44</v>
      </c>
      <c r="AC71" s="16" t="s">
        <v>338</v>
      </c>
      <c r="AD71" s="12">
        <v>48</v>
      </c>
      <c r="AE71" s="36" t="s">
        <v>46</v>
      </c>
      <c r="AF71" s="36">
        <v>100</v>
      </c>
      <c r="AG71" s="35"/>
      <c r="AH71" s="17" t="e">
        <f t="shared" si="56"/>
        <v>#DIV/0!</v>
      </c>
      <c r="AI71" s="12">
        <v>25</v>
      </c>
      <c r="AJ71" s="27">
        <v>25</v>
      </c>
      <c r="AK71" s="9">
        <v>0</v>
      </c>
      <c r="AL71" s="15">
        <v>0</v>
      </c>
      <c r="AM71" s="9" t="s">
        <v>347</v>
      </c>
      <c r="AN71" s="9"/>
    </row>
    <row r="72" spans="1:40" s="8" customFormat="1" ht="22.5" customHeight="1" x14ac:dyDescent="0.25">
      <c r="A72" s="9">
        <v>140</v>
      </c>
      <c r="B72" s="33">
        <v>42955</v>
      </c>
      <c r="C72" s="28">
        <v>60002755</v>
      </c>
      <c r="D72" s="29" t="s">
        <v>348</v>
      </c>
      <c r="E72" s="9" t="s">
        <v>50</v>
      </c>
      <c r="F72" s="9">
        <v>0</v>
      </c>
      <c r="G72" s="12" t="s">
        <v>219</v>
      </c>
      <c r="H72" s="17"/>
      <c r="I72" s="12">
        <v>8.1</v>
      </c>
      <c r="J72" s="9">
        <v>0.86</v>
      </c>
      <c r="K72" s="9">
        <v>3</v>
      </c>
      <c r="L72" s="9"/>
      <c r="M72" s="9"/>
      <c r="N72" s="9"/>
      <c r="O72" s="9">
        <f t="shared" si="44"/>
        <v>3</v>
      </c>
      <c r="P72" s="9">
        <f t="shared" si="45"/>
        <v>2.7</v>
      </c>
      <c r="Q72" s="9">
        <f t="shared" si="46"/>
        <v>1.22</v>
      </c>
      <c r="R72" s="9">
        <f t="shared" si="47"/>
        <v>66.39</v>
      </c>
      <c r="S72" s="9">
        <f t="shared" si="48"/>
        <v>33.33</v>
      </c>
      <c r="T72" s="9">
        <f t="shared" si="49"/>
        <v>22.13</v>
      </c>
      <c r="U72" s="9">
        <f t="shared" si="50"/>
        <v>19.8</v>
      </c>
      <c r="V72" s="9">
        <f t="shared" si="51"/>
        <v>67.400000000000006</v>
      </c>
      <c r="W72" s="9">
        <f t="shared" si="52"/>
        <v>10.5</v>
      </c>
      <c r="X72" s="9">
        <f t="shared" si="53"/>
        <v>7.4</v>
      </c>
      <c r="Y72" s="9">
        <f t="shared" si="54"/>
        <v>14</v>
      </c>
      <c r="Z72" s="11" t="s">
        <v>125</v>
      </c>
      <c r="AA72" s="18" t="s">
        <v>349</v>
      </c>
      <c r="AB72" s="9" t="s">
        <v>44</v>
      </c>
      <c r="AC72" s="34" t="s">
        <v>117</v>
      </c>
      <c r="AD72" s="12">
        <v>46</v>
      </c>
      <c r="AE72" s="36" t="s">
        <v>46</v>
      </c>
      <c r="AF72" s="36">
        <v>450</v>
      </c>
      <c r="AG72" s="35"/>
      <c r="AH72" s="17" t="e">
        <f t="shared" si="56"/>
        <v>#DIV/0!</v>
      </c>
      <c r="AI72" s="12">
        <v>21.9</v>
      </c>
      <c r="AJ72" s="27">
        <v>21.9</v>
      </c>
      <c r="AK72" s="9">
        <v>1.32</v>
      </c>
      <c r="AL72" s="15" t="s">
        <v>150</v>
      </c>
      <c r="AM72" s="19" t="s">
        <v>350</v>
      </c>
      <c r="AN72" s="9"/>
    </row>
    <row r="73" spans="1:40" s="8" customFormat="1" ht="22.5" customHeight="1" x14ac:dyDescent="0.25">
      <c r="A73" s="9">
        <v>141</v>
      </c>
      <c r="B73" s="33">
        <v>42965</v>
      </c>
      <c r="C73" s="28">
        <v>60002755</v>
      </c>
      <c r="D73" s="29" t="s">
        <v>348</v>
      </c>
      <c r="E73" s="9" t="s">
        <v>50</v>
      </c>
      <c r="F73" s="9">
        <v>0</v>
      </c>
      <c r="G73" s="12" t="s">
        <v>219</v>
      </c>
      <c r="H73" s="12">
        <v>18.600000000000001</v>
      </c>
      <c r="I73" s="12">
        <v>9.3000000000000007</v>
      </c>
      <c r="J73" s="9">
        <v>4.1900000000000004</v>
      </c>
      <c r="K73" s="9">
        <v>3</v>
      </c>
      <c r="L73" s="9"/>
      <c r="M73" s="9"/>
      <c r="N73" s="9"/>
      <c r="O73" s="9">
        <f t="shared" si="44"/>
        <v>3</v>
      </c>
      <c r="P73" s="9">
        <f t="shared" si="45"/>
        <v>3.1</v>
      </c>
      <c r="Q73" s="9">
        <f t="shared" si="46"/>
        <v>1.42</v>
      </c>
      <c r="R73" s="9">
        <f t="shared" si="47"/>
        <v>65.489999999999995</v>
      </c>
      <c r="S73" s="9">
        <f t="shared" si="48"/>
        <v>33.33</v>
      </c>
      <c r="T73" s="9">
        <f t="shared" si="49"/>
        <v>21.83</v>
      </c>
      <c r="U73" s="9">
        <f t="shared" si="50"/>
        <v>85.2</v>
      </c>
      <c r="V73" s="9">
        <f t="shared" si="51"/>
        <v>11.5</v>
      </c>
      <c r="W73" s="9">
        <f t="shared" si="52"/>
        <v>3.1</v>
      </c>
      <c r="X73" s="9">
        <f t="shared" si="53"/>
        <v>9</v>
      </c>
      <c r="Y73" s="9">
        <f t="shared" si="54"/>
        <v>13.6</v>
      </c>
      <c r="Z73" s="11" t="s">
        <v>119</v>
      </c>
      <c r="AA73" s="18" t="s">
        <v>351</v>
      </c>
      <c r="AB73" s="9" t="s">
        <v>44</v>
      </c>
      <c r="AC73" s="34" t="s">
        <v>248</v>
      </c>
      <c r="AD73" s="12">
        <v>42</v>
      </c>
      <c r="AE73" s="36" t="s">
        <v>46</v>
      </c>
      <c r="AF73" s="36">
        <v>450</v>
      </c>
      <c r="AG73" s="35"/>
      <c r="AH73" s="12">
        <f t="shared" si="56"/>
        <v>20.590322580645161</v>
      </c>
      <c r="AI73" s="30">
        <v>21.7</v>
      </c>
      <c r="AJ73" s="31">
        <v>21.7</v>
      </c>
      <c r="AK73" s="9">
        <v>1.67</v>
      </c>
      <c r="AL73" s="11" t="s">
        <v>352</v>
      </c>
      <c r="AM73" s="19" t="s">
        <v>353</v>
      </c>
      <c r="AN73" s="9"/>
    </row>
    <row r="74" spans="1:40" s="48" customFormat="1" ht="22.5" customHeight="1" x14ac:dyDescent="0.25">
      <c r="A74" s="42">
        <v>142</v>
      </c>
      <c r="B74" s="43">
        <v>42976</v>
      </c>
      <c r="C74" s="54">
        <v>60003100</v>
      </c>
      <c r="D74" s="55" t="s">
        <v>354</v>
      </c>
      <c r="E74" s="42" t="s">
        <v>40</v>
      </c>
      <c r="F74" s="42"/>
      <c r="G74" s="45" t="s">
        <v>41</v>
      </c>
      <c r="H74" s="45">
        <v>10</v>
      </c>
      <c r="I74" s="45">
        <v>16</v>
      </c>
      <c r="J74" s="42"/>
      <c r="K74" s="42"/>
      <c r="L74" s="42"/>
      <c r="M74" s="42"/>
      <c r="N74" s="42"/>
      <c r="O74" s="42" t="e">
        <f>INDEX(platelet_b_60,MATCH(D74,name_b_60,0))</f>
        <v>#N/A</v>
      </c>
      <c r="P74" s="42" t="e">
        <f>INDEX(hgb_b_60,MATCH($D74,name_b_60,0))</f>
        <v>#N/A</v>
      </c>
      <c r="Q74" s="42" t="e">
        <f>INDEX(rbc_b_60,MATCH($D74,name_b_60,0))</f>
        <v>#N/A</v>
      </c>
      <c r="R74" s="42" t="e">
        <f>INDEX(mcv_b_60,MATCH($D74,name_b_60,0))</f>
        <v>#N/A</v>
      </c>
      <c r="S74" s="42" t="e">
        <f>INDEX(mchc_b_60,MATCH($D74,name_b_60,0))</f>
        <v>#N/A</v>
      </c>
      <c r="T74" s="42" t="e">
        <f>INDEX(mch_b_60,MATCH($D74,name_b_60,0))</f>
        <v>#N/A</v>
      </c>
      <c r="U74" s="42" t="e">
        <f>INDEX(segs_b_60,MATCH($D74,name_b_60,0))</f>
        <v>#N/A</v>
      </c>
      <c r="V74" s="42" t="e">
        <f>INDEX(lymph_b_60,MATCH($D74,name_b_60,0))</f>
        <v>#N/A</v>
      </c>
      <c r="W74" s="42" t="e">
        <f>INDEX(mono_b_60,MATCH($D74,name_b_60,0))</f>
        <v>#N/A</v>
      </c>
      <c r="X74" s="42" t="e">
        <f>INDEX(protein_refract_b_60,MATCH($D74,name_b_60,0))</f>
        <v>#N/A</v>
      </c>
      <c r="Y74" s="42" t="e">
        <f>INDEX(rdw_b_60,MATCH($D74,name_b_60,0))</f>
        <v>#N/A</v>
      </c>
      <c r="Z74" s="44"/>
      <c r="AA74" s="44"/>
      <c r="AB74" s="42" t="s">
        <v>44</v>
      </c>
      <c r="AC74" s="46" t="s">
        <v>316</v>
      </c>
      <c r="AD74" s="45">
        <v>50</v>
      </c>
      <c r="AE74" s="56" t="s">
        <v>46</v>
      </c>
      <c r="AF74" s="56">
        <v>200</v>
      </c>
      <c r="AG74" s="55" t="s">
        <v>355</v>
      </c>
      <c r="AH74" s="45">
        <f t="shared" si="56"/>
        <v>27.111111111111111</v>
      </c>
      <c r="AI74" s="45">
        <v>30</v>
      </c>
      <c r="AJ74" s="52"/>
      <c r="AK74" s="42"/>
      <c r="AL74" s="51"/>
      <c r="AM74" s="42"/>
      <c r="AN74" s="42"/>
    </row>
    <row r="75" spans="1:40" s="8" customFormat="1" ht="22.5" customHeight="1" x14ac:dyDescent="0.25">
      <c r="A75" s="9">
        <v>143</v>
      </c>
      <c r="B75" s="10">
        <v>43000</v>
      </c>
      <c r="C75" s="34">
        <v>60003031</v>
      </c>
      <c r="D75" s="35" t="s">
        <v>356</v>
      </c>
      <c r="E75" s="9" t="s">
        <v>50</v>
      </c>
      <c r="F75" s="9">
        <v>0</v>
      </c>
      <c r="G75" s="12" t="s">
        <v>41</v>
      </c>
      <c r="H75" s="12">
        <v>10.8</v>
      </c>
      <c r="I75" s="12">
        <v>11.5</v>
      </c>
      <c r="J75" s="9">
        <v>70.75</v>
      </c>
      <c r="K75" s="9">
        <v>380</v>
      </c>
      <c r="L75" s="9"/>
      <c r="M75" s="9"/>
      <c r="N75" s="9"/>
      <c r="O75" s="9">
        <f>INDEX(platelet_b_60,MATCH(D75,name_b_60,0))</f>
        <v>380</v>
      </c>
      <c r="P75" s="9">
        <f>INDEX(hgb_b_60,MATCH($D75,name_b_60,0))</f>
        <v>3</v>
      </c>
      <c r="Q75" s="9">
        <f>INDEX(rbc_b_60,MATCH($D75,name_b_60,0))</f>
        <v>1.51</v>
      </c>
      <c r="R75" s="9">
        <f>INDEX(mcv_b_60,MATCH($D75,name_b_60,0))</f>
        <v>76.16</v>
      </c>
      <c r="S75" s="9">
        <f>INDEX(mchc_b_60,MATCH($D75,name_b_60,0))</f>
        <v>26.09</v>
      </c>
      <c r="T75" s="9">
        <f>INDEX(mch_b_60,MATCH($D75,name_b_60,0))</f>
        <v>19.87</v>
      </c>
      <c r="U75" s="9">
        <f>INDEX(segs_b_60,MATCH($D75,name_b_60,0))</f>
        <v>91.8</v>
      </c>
      <c r="V75" s="9">
        <f>INDEX(lymph_b_60,MATCH($D75,name_b_60,0))</f>
        <v>4.0999999999999996</v>
      </c>
      <c r="W75" s="9">
        <f>INDEX(mono_b_60,MATCH($D75,name_b_60,0))</f>
        <v>3.3</v>
      </c>
      <c r="X75" s="9">
        <f>INDEX(protein_refract_b_60,MATCH($D75,name_b_60,0))</f>
        <v>5</v>
      </c>
      <c r="Y75" s="9">
        <f>INDEX(rdw_b_60,MATCH($D75,name_b_60,0))</f>
        <v>0</v>
      </c>
      <c r="Z75" s="11" t="s">
        <v>357</v>
      </c>
      <c r="AA75" s="11" t="s">
        <v>358</v>
      </c>
      <c r="AB75" s="9" t="s">
        <v>44</v>
      </c>
      <c r="AC75" s="16" t="s">
        <v>316</v>
      </c>
      <c r="AD75" s="12">
        <v>50</v>
      </c>
      <c r="AE75" s="36" t="s">
        <v>46</v>
      </c>
      <c r="AF75" s="36">
        <v>140</v>
      </c>
      <c r="AG75" s="35"/>
      <c r="AH75" s="12">
        <f t="shared" si="56"/>
        <v>18.701646090534979</v>
      </c>
      <c r="AI75" s="12">
        <v>27</v>
      </c>
      <c r="AJ75" s="27">
        <v>27</v>
      </c>
      <c r="AK75" s="9">
        <v>0</v>
      </c>
      <c r="AL75" s="15">
        <v>0</v>
      </c>
      <c r="AM75" s="9" t="s">
        <v>359</v>
      </c>
      <c r="AN75" s="9"/>
    </row>
    <row r="76" spans="1:40" s="48" customFormat="1" ht="22.5" customHeight="1" x14ac:dyDescent="0.25">
      <c r="A76" s="42">
        <v>144</v>
      </c>
      <c r="B76" s="53">
        <v>42989</v>
      </c>
      <c r="C76" s="54">
        <v>60003271</v>
      </c>
      <c r="D76" s="55" t="s">
        <v>354</v>
      </c>
      <c r="E76" s="42" t="s">
        <v>50</v>
      </c>
      <c r="F76" s="42"/>
      <c r="G76" s="45" t="s">
        <v>41</v>
      </c>
      <c r="H76" s="45">
        <v>4.5999999999999996</v>
      </c>
      <c r="I76" s="45">
        <v>12</v>
      </c>
      <c r="J76" s="42"/>
      <c r="K76" s="42"/>
      <c r="L76" s="42"/>
      <c r="M76" s="42"/>
      <c r="N76" s="42"/>
      <c r="O76" s="42" t="e">
        <f>INDEX(platelet_b_60,MATCH(D76,name_b_60,0))</f>
        <v>#N/A</v>
      </c>
      <c r="P76" s="42" t="e">
        <f>INDEX(hgb_b_60,MATCH($D76,name_b_60,0))</f>
        <v>#N/A</v>
      </c>
      <c r="Q76" s="42" t="e">
        <f>INDEX(rbc_b_60,MATCH($D76,name_b_60,0))</f>
        <v>#N/A</v>
      </c>
      <c r="R76" s="42" t="e">
        <f>INDEX(mcv_b_60,MATCH($D76,name_b_60,0))</f>
        <v>#N/A</v>
      </c>
      <c r="S76" s="42" t="e">
        <f>INDEX(mchc_b_60,MATCH($D76,name_b_60,0))</f>
        <v>#N/A</v>
      </c>
      <c r="T76" s="42" t="e">
        <f>INDEX(mch_b_60,MATCH($D76,name_b_60,0))</f>
        <v>#N/A</v>
      </c>
      <c r="U76" s="42" t="e">
        <f>INDEX(segs_b_60,MATCH($D76,name_b_60,0))</f>
        <v>#N/A</v>
      </c>
      <c r="V76" s="42" t="e">
        <f>INDEX(lymph_b_60,MATCH($D76,name_b_60,0))</f>
        <v>#N/A</v>
      </c>
      <c r="W76" s="42" t="e">
        <f>INDEX(mono_b_60,MATCH($D76,name_b_60,0))</f>
        <v>#N/A</v>
      </c>
      <c r="X76" s="42" t="e">
        <f>INDEX(protein_refract_b_60,MATCH($D76,name_b_60,0))</f>
        <v>#N/A</v>
      </c>
      <c r="Y76" s="42" t="e">
        <f>INDEX(rdw_b_60,MATCH($D76,name_b_60,0))</f>
        <v>#N/A</v>
      </c>
      <c r="Z76" s="44"/>
      <c r="AA76" s="44"/>
      <c r="AB76" s="42" t="s">
        <v>44</v>
      </c>
      <c r="AC76" s="46" t="s">
        <v>309</v>
      </c>
      <c r="AD76" s="45">
        <v>55</v>
      </c>
      <c r="AE76" s="56" t="s">
        <v>46</v>
      </c>
      <c r="AF76" s="56">
        <v>100</v>
      </c>
      <c r="AG76" s="55" t="s">
        <v>339</v>
      </c>
      <c r="AH76" s="45">
        <f t="shared" si="56"/>
        <v>25.285024154589372</v>
      </c>
      <c r="AI76" s="45">
        <v>20.5</v>
      </c>
      <c r="AJ76" s="52"/>
      <c r="AK76" s="42"/>
      <c r="AL76" s="51"/>
      <c r="AM76" s="42"/>
      <c r="AN76" s="42"/>
    </row>
    <row r="77" spans="1:40" s="8" customFormat="1" ht="22.5" customHeight="1" x14ac:dyDescent="0.25">
      <c r="A77" s="9">
        <v>146</v>
      </c>
      <c r="B77" s="33">
        <v>42990</v>
      </c>
      <c r="C77" s="34">
        <v>60003220</v>
      </c>
      <c r="D77" s="35" t="s">
        <v>360</v>
      </c>
      <c r="E77" s="9" t="s">
        <v>50</v>
      </c>
      <c r="F77" s="9">
        <v>0</v>
      </c>
      <c r="G77" s="12" t="s">
        <v>361</v>
      </c>
      <c r="H77" s="12">
        <v>26</v>
      </c>
      <c r="I77" s="12">
        <v>6.8</v>
      </c>
      <c r="J77" s="9">
        <v>7.8</v>
      </c>
      <c r="K77" s="9">
        <v>15</v>
      </c>
      <c r="L77" s="9"/>
      <c r="M77" s="9"/>
      <c r="N77" s="9"/>
      <c r="O77" s="9">
        <f>INDEX(platelet_b_60,MATCH(D77,name_b_60,0))</f>
        <v>15</v>
      </c>
      <c r="P77" s="9">
        <f>INDEX(hgb_b_60,MATCH($D77,name_b_60,0))</f>
        <v>2.1</v>
      </c>
      <c r="Q77" s="9">
        <f>INDEX(rbc_b_60,MATCH($D77,name_b_60,0))</f>
        <v>0.87</v>
      </c>
      <c r="R77" s="9">
        <f>INDEX(mcv_b_60,MATCH($D77,name_b_60,0))</f>
        <v>78.16</v>
      </c>
      <c r="S77" s="9">
        <f>INDEX(mchc_b_60,MATCH($D77,name_b_60,0))</f>
        <v>30.88</v>
      </c>
      <c r="T77" s="9">
        <f>INDEX(mch_b_60,MATCH($D77,name_b_60,0))</f>
        <v>24.14</v>
      </c>
      <c r="U77" s="9">
        <f>INDEX(segs_b_60,MATCH($D77,name_b_60,0))</f>
        <v>79.599999999999994</v>
      </c>
      <c r="V77" s="9">
        <f>INDEX(lymph_b_60,MATCH($D77,name_b_60,0))</f>
        <v>14</v>
      </c>
      <c r="W77" s="9">
        <f>INDEX(mono_b_60,MATCH($D77,name_b_60,0))</f>
        <v>6</v>
      </c>
      <c r="X77" s="9">
        <f>INDEX(protein_refract_b_60,MATCH($D77,name_b_60,0))</f>
        <v>3.8</v>
      </c>
      <c r="Y77" s="9">
        <f>INDEX(rdw_b_60,MATCH($D77,name_b_60,0))</f>
        <v>29.5</v>
      </c>
      <c r="Z77" s="11" t="s">
        <v>138</v>
      </c>
      <c r="AA77" s="11" t="s">
        <v>362</v>
      </c>
      <c r="AB77" s="9" t="s">
        <v>44</v>
      </c>
      <c r="AC77" s="34" t="s">
        <v>171</v>
      </c>
      <c r="AD77" s="12">
        <v>53.3</v>
      </c>
      <c r="AE77" s="36" t="s">
        <v>46</v>
      </c>
      <c r="AF77" s="36">
        <v>450</v>
      </c>
      <c r="AG77" s="35"/>
      <c r="AH77" s="12">
        <f t="shared" si="56"/>
        <v>17.05</v>
      </c>
      <c r="AI77" s="12">
        <v>19</v>
      </c>
      <c r="AJ77" s="27">
        <v>19</v>
      </c>
      <c r="AK77" s="9">
        <v>4.54</v>
      </c>
      <c r="AL77" s="15" t="s">
        <v>363</v>
      </c>
      <c r="AM77" s="9" t="s">
        <v>364</v>
      </c>
      <c r="AN77" s="9"/>
    </row>
    <row r="78" spans="1:40" s="8" customFormat="1" ht="22.5" customHeight="1" x14ac:dyDescent="0.25">
      <c r="A78" s="24">
        <v>147</v>
      </c>
      <c r="B78" s="37">
        <v>43101</v>
      </c>
      <c r="C78" s="24">
        <v>59004943</v>
      </c>
      <c r="D78" s="24" t="s">
        <v>365</v>
      </c>
      <c r="E78" s="24" t="s">
        <v>40</v>
      </c>
      <c r="F78" s="24">
        <v>0</v>
      </c>
      <c r="G78" s="24" t="s">
        <v>219</v>
      </c>
      <c r="H78" s="24">
        <v>13</v>
      </c>
      <c r="I78" s="24">
        <v>14.2</v>
      </c>
      <c r="J78" s="24">
        <v>21.55</v>
      </c>
      <c r="K78" s="24">
        <v>111</v>
      </c>
      <c r="L78" s="24"/>
      <c r="M78" s="24"/>
      <c r="N78" s="24"/>
      <c r="O78" s="24">
        <f t="shared" ref="O78:O85" si="57">INDEX(platelet_b_61,MATCH(D78,name_b_61,0))</f>
        <v>111</v>
      </c>
      <c r="P78" s="24">
        <f t="shared" ref="P78:P85" si="58">INDEX(hgb_b_61,MATCH($D78,name_b_61,0))</f>
        <v>4.5</v>
      </c>
      <c r="Q78" s="24">
        <f t="shared" ref="Q78:Q85" si="59">INDEX(rbc_b_61,MATCH($D78,name_b_61,0))</f>
        <v>2.36</v>
      </c>
      <c r="R78" s="24">
        <f t="shared" ref="R78:R85" si="60">INDEX(mcv_b_61,MATCH($D78,name_b_61,0))</f>
        <v>60.17</v>
      </c>
      <c r="S78" s="24">
        <f t="shared" ref="S78:S85" si="61">INDEX(mchc_b_61,MATCH($D78,name_b_61,0))</f>
        <v>31.69</v>
      </c>
      <c r="T78" s="24">
        <f t="shared" ref="T78:T85" si="62">INDEX(mch_b_61,MATCH($D78,name_b_61,0))</f>
        <v>19.07</v>
      </c>
      <c r="U78" s="24">
        <f t="shared" ref="U78:U85" si="63">INDEX(segs_b_61,MATCH($D78,name_b_61,0))</f>
        <v>79.2</v>
      </c>
      <c r="V78" s="24">
        <f t="shared" ref="V78:V85" si="64">INDEX(lymph_b_61,MATCH($D78,name_b_61,0))</f>
        <v>9.1999999999999993</v>
      </c>
      <c r="W78" s="24">
        <f t="shared" ref="W78:W85" si="65">INDEX(mono_b_61,MATCH($D78,name_b_61,0))</f>
        <v>11.6</v>
      </c>
      <c r="X78" s="24">
        <f t="shared" ref="X78:X85" si="66">INDEX(protein_refract_b_61,MATCH($D78,name_b_61,0))</f>
        <v>6.2</v>
      </c>
      <c r="Y78" s="24">
        <f t="shared" ref="Y78:Y85" si="67">INDEX(rdw_b_61,MATCH($D78,name_b_61,0))</f>
        <v>16.600000000000001</v>
      </c>
      <c r="Z78" s="38" t="s">
        <v>366</v>
      </c>
      <c r="AA78" s="38" t="s">
        <v>367</v>
      </c>
      <c r="AB78" s="24" t="s">
        <v>44</v>
      </c>
      <c r="AC78" s="24" t="s">
        <v>368</v>
      </c>
      <c r="AD78" s="24">
        <v>36</v>
      </c>
      <c r="AE78" s="39" t="s">
        <v>75</v>
      </c>
      <c r="AF78" s="24">
        <v>250</v>
      </c>
      <c r="AG78" s="38"/>
      <c r="AH78" s="24">
        <f t="shared" si="56"/>
        <v>21.892307692307689</v>
      </c>
      <c r="AI78" s="24">
        <v>17</v>
      </c>
      <c r="AJ78" s="24">
        <v>17</v>
      </c>
      <c r="AK78" s="24">
        <v>28.8</v>
      </c>
      <c r="AL78" s="38" t="s">
        <v>140</v>
      </c>
      <c r="AM78" s="24" t="s">
        <v>369</v>
      </c>
      <c r="AN78" s="9"/>
    </row>
    <row r="79" spans="1:40" s="8" customFormat="1" ht="22.5" customHeight="1" x14ac:dyDescent="0.25">
      <c r="A79" s="9">
        <v>150</v>
      </c>
      <c r="B79" s="40">
        <v>43104</v>
      </c>
      <c r="C79" s="9">
        <v>61000038</v>
      </c>
      <c r="D79" s="9" t="s">
        <v>370</v>
      </c>
      <c r="E79" s="9" t="s">
        <v>50</v>
      </c>
      <c r="F79" s="9">
        <v>0</v>
      </c>
      <c r="G79" s="12" t="s">
        <v>41</v>
      </c>
      <c r="H79" s="12">
        <v>22</v>
      </c>
      <c r="I79" s="12">
        <v>17</v>
      </c>
      <c r="J79" s="9">
        <v>0</v>
      </c>
      <c r="K79" s="9">
        <v>0</v>
      </c>
      <c r="L79" s="9"/>
      <c r="M79" s="9"/>
      <c r="N79" s="9"/>
      <c r="O79" s="9">
        <f t="shared" si="57"/>
        <v>0</v>
      </c>
      <c r="P79" s="9">
        <f t="shared" si="58"/>
        <v>0</v>
      </c>
      <c r="Q79" s="9">
        <f t="shared" si="59"/>
        <v>0</v>
      </c>
      <c r="R79" s="9">
        <f t="shared" si="60"/>
        <v>0</v>
      </c>
      <c r="S79" s="9">
        <f t="shared" si="61"/>
        <v>0</v>
      </c>
      <c r="T79" s="9">
        <f t="shared" si="62"/>
        <v>0</v>
      </c>
      <c r="U79" s="9">
        <f t="shared" si="63"/>
        <v>0</v>
      </c>
      <c r="V79" s="9">
        <f t="shared" si="64"/>
        <v>0</v>
      </c>
      <c r="W79" s="9">
        <f t="shared" si="65"/>
        <v>0</v>
      </c>
      <c r="X79" s="9">
        <f t="shared" si="66"/>
        <v>10</v>
      </c>
      <c r="Y79" s="9">
        <f t="shared" si="67"/>
        <v>0</v>
      </c>
      <c r="Z79" s="41">
        <v>0</v>
      </c>
      <c r="AA79" s="41" t="s">
        <v>371</v>
      </c>
      <c r="AB79" s="9" t="s">
        <v>44</v>
      </c>
      <c r="AC79" s="9" t="s">
        <v>83</v>
      </c>
      <c r="AD79" s="12">
        <v>57.4</v>
      </c>
      <c r="AE79" s="36" t="s">
        <v>46</v>
      </c>
      <c r="AF79" s="17" t="s">
        <v>69</v>
      </c>
      <c r="AG79" s="41"/>
      <c r="AH79" s="17" t="e">
        <f t="shared" si="56"/>
        <v>#VALUE!</v>
      </c>
      <c r="AI79" s="12">
        <v>27.6</v>
      </c>
      <c r="AJ79" s="12">
        <v>27.4</v>
      </c>
      <c r="AK79" s="9">
        <v>33.01</v>
      </c>
      <c r="AL79" s="41" t="s">
        <v>372</v>
      </c>
      <c r="AM79" s="9" t="s">
        <v>373</v>
      </c>
      <c r="AN79" s="9"/>
    </row>
    <row r="80" spans="1:40" s="8" customFormat="1" ht="22.5" customHeight="1" x14ac:dyDescent="0.2">
      <c r="A80" s="9">
        <v>151</v>
      </c>
      <c r="B80" s="40">
        <v>43107</v>
      </c>
      <c r="C80" s="9">
        <v>61000087</v>
      </c>
      <c r="D80" s="9" t="s">
        <v>374</v>
      </c>
      <c r="E80" s="9" t="s">
        <v>40</v>
      </c>
      <c r="F80" s="9">
        <v>0</v>
      </c>
      <c r="G80" s="12" t="s">
        <v>41</v>
      </c>
      <c r="H80" s="12">
        <v>1.3</v>
      </c>
      <c r="I80" s="12">
        <v>15.7</v>
      </c>
      <c r="J80" s="9">
        <v>9.2200000000000006</v>
      </c>
      <c r="K80" s="9">
        <v>3</v>
      </c>
      <c r="L80" s="9"/>
      <c r="M80" s="9"/>
      <c r="N80" s="9"/>
      <c r="O80" s="9">
        <f t="shared" si="57"/>
        <v>3</v>
      </c>
      <c r="P80" s="9">
        <f t="shared" si="58"/>
        <v>4.5</v>
      </c>
      <c r="Q80" s="9">
        <f t="shared" si="59"/>
        <v>2.4500000000000002</v>
      </c>
      <c r="R80" s="9">
        <f t="shared" si="60"/>
        <v>64.08</v>
      </c>
      <c r="S80" s="9">
        <f t="shared" si="61"/>
        <v>28.66</v>
      </c>
      <c r="T80" s="9">
        <f t="shared" si="62"/>
        <v>18.37</v>
      </c>
      <c r="U80" s="9">
        <f t="shared" si="63"/>
        <v>64.2</v>
      </c>
      <c r="V80" s="9">
        <f t="shared" si="64"/>
        <v>27.9</v>
      </c>
      <c r="W80" s="9">
        <f t="shared" si="65"/>
        <v>7.2</v>
      </c>
      <c r="X80" s="9">
        <f t="shared" si="66"/>
        <v>5.2</v>
      </c>
      <c r="Y80" s="9">
        <f t="shared" si="67"/>
        <v>20.100000000000001</v>
      </c>
      <c r="Z80" s="41" t="s">
        <v>375</v>
      </c>
      <c r="AA80" s="41" t="s">
        <v>376</v>
      </c>
      <c r="AB80" s="9" t="s">
        <v>44</v>
      </c>
      <c r="AC80" s="9" t="s">
        <v>127</v>
      </c>
      <c r="AD80" s="12">
        <v>49.9</v>
      </c>
      <c r="AE80" s="12" t="s">
        <v>75</v>
      </c>
      <c r="AF80" s="12">
        <v>80</v>
      </c>
      <c r="AG80" s="41"/>
      <c r="AH80" s="12">
        <f t="shared" si="56"/>
        <v>49.819658119658115</v>
      </c>
      <c r="AI80" s="12">
        <v>28.7</v>
      </c>
      <c r="AJ80" s="12">
        <v>28.7</v>
      </c>
      <c r="AK80" s="9">
        <v>12.38</v>
      </c>
      <c r="AL80" s="41" t="s">
        <v>377</v>
      </c>
      <c r="AM80" s="9" t="s">
        <v>378</v>
      </c>
      <c r="AN80" s="9"/>
    </row>
    <row r="81" spans="1:40" s="8" customFormat="1" ht="22.5" customHeight="1" x14ac:dyDescent="0.25">
      <c r="A81" s="9">
        <v>153</v>
      </c>
      <c r="B81" s="40">
        <v>43116</v>
      </c>
      <c r="C81" s="9">
        <v>61000218</v>
      </c>
      <c r="D81" s="9" t="s">
        <v>112</v>
      </c>
      <c r="E81" s="9" t="s">
        <v>40</v>
      </c>
      <c r="F81" s="9">
        <v>0</v>
      </c>
      <c r="G81" s="12" t="s">
        <v>41</v>
      </c>
      <c r="H81" s="12">
        <v>6.5</v>
      </c>
      <c r="I81" s="12">
        <v>13.1</v>
      </c>
      <c r="J81" s="9">
        <v>28.6</v>
      </c>
      <c r="K81" s="9">
        <v>4</v>
      </c>
      <c r="L81" s="9"/>
      <c r="M81" s="9"/>
      <c r="N81" s="9"/>
      <c r="O81" s="9">
        <f t="shared" si="57"/>
        <v>4</v>
      </c>
      <c r="P81" s="9">
        <f t="shared" si="58"/>
        <v>3.5</v>
      </c>
      <c r="Q81" s="9">
        <f t="shared" si="59"/>
        <v>1.59</v>
      </c>
      <c r="R81" s="9">
        <f t="shared" si="60"/>
        <v>82.39</v>
      </c>
      <c r="S81" s="9">
        <f t="shared" si="61"/>
        <v>26.72</v>
      </c>
      <c r="T81" s="9">
        <f t="shared" si="62"/>
        <v>22.01</v>
      </c>
      <c r="U81" s="9">
        <f t="shared" si="63"/>
        <v>73.599999999999994</v>
      </c>
      <c r="V81" s="9">
        <f t="shared" si="64"/>
        <v>10.5</v>
      </c>
      <c r="W81" s="9">
        <f t="shared" si="65"/>
        <v>15.6</v>
      </c>
      <c r="X81" s="9">
        <f t="shared" si="66"/>
        <v>7</v>
      </c>
      <c r="Y81" s="9">
        <f t="shared" si="67"/>
        <v>20.8</v>
      </c>
      <c r="Z81" s="41" t="s">
        <v>122</v>
      </c>
      <c r="AA81" s="41" t="s">
        <v>379</v>
      </c>
      <c r="AB81" s="9" t="s">
        <v>44</v>
      </c>
      <c r="AC81" s="9" t="s">
        <v>380</v>
      </c>
      <c r="AD81" s="12">
        <v>47.9</v>
      </c>
      <c r="AE81" s="36" t="s">
        <v>46</v>
      </c>
      <c r="AF81" s="12">
        <v>200</v>
      </c>
      <c r="AG81" s="41"/>
      <c r="AH81" s="12">
        <f t="shared" si="56"/>
        <v>29.476068376068376</v>
      </c>
      <c r="AI81" s="12">
        <v>28.9</v>
      </c>
      <c r="AJ81" s="12">
        <v>28.9</v>
      </c>
      <c r="AK81" s="9">
        <v>21.19</v>
      </c>
      <c r="AL81" s="41" t="s">
        <v>314</v>
      </c>
      <c r="AM81" s="9" t="s">
        <v>381</v>
      </c>
      <c r="AN81" s="9"/>
    </row>
    <row r="82" spans="1:40" s="8" customFormat="1" ht="22.5" customHeight="1" x14ac:dyDescent="0.2">
      <c r="A82" s="9">
        <v>154</v>
      </c>
      <c r="B82" s="40">
        <v>43119</v>
      </c>
      <c r="C82" s="9">
        <v>61000229</v>
      </c>
      <c r="D82" s="9" t="s">
        <v>382</v>
      </c>
      <c r="E82" s="9" t="s">
        <v>40</v>
      </c>
      <c r="F82" s="9">
        <v>0</v>
      </c>
      <c r="G82" s="12" t="s">
        <v>41</v>
      </c>
      <c r="H82" s="12">
        <v>38</v>
      </c>
      <c r="I82" s="12">
        <v>11.3</v>
      </c>
      <c r="J82" s="9">
        <v>33.520000000000003</v>
      </c>
      <c r="K82" s="9">
        <v>2</v>
      </c>
      <c r="L82" s="9"/>
      <c r="M82" s="9"/>
      <c r="N82" s="9"/>
      <c r="O82" s="9">
        <f t="shared" si="57"/>
        <v>2</v>
      </c>
      <c r="P82" s="9">
        <f t="shared" si="58"/>
        <v>3</v>
      </c>
      <c r="Q82" s="9">
        <f t="shared" si="59"/>
        <v>1.18</v>
      </c>
      <c r="R82" s="9">
        <f t="shared" si="60"/>
        <v>95.76</v>
      </c>
      <c r="S82" s="9">
        <f t="shared" si="61"/>
        <v>26.55</v>
      </c>
      <c r="T82" s="9">
        <f t="shared" si="62"/>
        <v>25.42</v>
      </c>
      <c r="U82" s="9">
        <f t="shared" si="63"/>
        <v>64</v>
      </c>
      <c r="V82" s="9">
        <f t="shared" si="64"/>
        <v>25</v>
      </c>
      <c r="W82" s="9">
        <f t="shared" si="65"/>
        <v>9</v>
      </c>
      <c r="X82" s="9">
        <f t="shared" si="66"/>
        <v>7</v>
      </c>
      <c r="Y82" s="9">
        <f t="shared" si="67"/>
        <v>0</v>
      </c>
      <c r="Z82" s="41" t="s">
        <v>239</v>
      </c>
      <c r="AA82" s="41" t="s">
        <v>383</v>
      </c>
      <c r="AB82" s="9" t="s">
        <v>44</v>
      </c>
      <c r="AC82" s="9" t="s">
        <v>338</v>
      </c>
      <c r="AD82" s="12">
        <v>48.4</v>
      </c>
      <c r="AE82" s="12" t="s">
        <v>75</v>
      </c>
      <c r="AF82" s="12">
        <v>400</v>
      </c>
      <c r="AG82" s="41"/>
      <c r="AH82" s="12">
        <f t="shared" si="56"/>
        <v>16.960818713450294</v>
      </c>
      <c r="AI82" s="12">
        <v>18.600000000000001</v>
      </c>
      <c r="AJ82" s="12">
        <v>18.600000000000001</v>
      </c>
      <c r="AK82" s="9">
        <v>28.43</v>
      </c>
      <c r="AL82" s="41" t="s">
        <v>384</v>
      </c>
      <c r="AM82" s="9" t="s">
        <v>385</v>
      </c>
      <c r="AN82" s="9"/>
    </row>
    <row r="83" spans="1:40" s="8" customFormat="1" ht="22.5" customHeight="1" x14ac:dyDescent="0.25">
      <c r="A83" s="9">
        <v>155</v>
      </c>
      <c r="B83" s="40">
        <v>43128</v>
      </c>
      <c r="C83" s="9">
        <v>60003967</v>
      </c>
      <c r="D83" s="9" t="s">
        <v>386</v>
      </c>
      <c r="E83" s="9" t="s">
        <v>40</v>
      </c>
      <c r="F83" s="9">
        <v>0</v>
      </c>
      <c r="G83" s="12" t="s">
        <v>41</v>
      </c>
      <c r="H83" s="12">
        <v>12.8</v>
      </c>
      <c r="I83" s="12">
        <v>19.600000000000001</v>
      </c>
      <c r="J83" s="9">
        <v>36.229999999999997</v>
      </c>
      <c r="K83" s="9">
        <v>148</v>
      </c>
      <c r="L83" s="9"/>
      <c r="M83" s="9"/>
      <c r="N83" s="9"/>
      <c r="O83" s="9">
        <f t="shared" si="57"/>
        <v>148</v>
      </c>
      <c r="P83" s="9">
        <f t="shared" si="58"/>
        <v>6.7</v>
      </c>
      <c r="Q83" s="9">
        <f t="shared" si="59"/>
        <v>2.86</v>
      </c>
      <c r="R83" s="9">
        <f t="shared" si="60"/>
        <v>68.53</v>
      </c>
      <c r="S83" s="9">
        <f t="shared" si="61"/>
        <v>34.18</v>
      </c>
      <c r="T83" s="9">
        <f t="shared" si="62"/>
        <v>23.43</v>
      </c>
      <c r="U83" s="9">
        <f t="shared" si="63"/>
        <v>86.5</v>
      </c>
      <c r="V83" s="9">
        <f t="shared" si="64"/>
        <v>6.2</v>
      </c>
      <c r="W83" s="9">
        <f t="shared" si="65"/>
        <v>6.8</v>
      </c>
      <c r="X83" s="9">
        <f t="shared" si="66"/>
        <v>7</v>
      </c>
      <c r="Y83" s="9">
        <f t="shared" si="67"/>
        <v>18.100000000000001</v>
      </c>
      <c r="Z83" s="41" t="s">
        <v>265</v>
      </c>
      <c r="AA83" s="41" t="s">
        <v>387</v>
      </c>
      <c r="AB83" s="9" t="s">
        <v>44</v>
      </c>
      <c r="AC83" s="9" t="s">
        <v>191</v>
      </c>
      <c r="AD83" s="12">
        <v>45</v>
      </c>
      <c r="AE83" s="36" t="s">
        <v>46</v>
      </c>
      <c r="AF83" s="12">
        <v>300</v>
      </c>
      <c r="AG83" s="41"/>
      <c r="AH83" s="12">
        <f t="shared" si="56"/>
        <v>31.318750000000001</v>
      </c>
      <c r="AI83" s="12">
        <v>31.2</v>
      </c>
      <c r="AJ83" s="12">
        <v>31.2</v>
      </c>
      <c r="AK83" s="9">
        <v>35.51</v>
      </c>
      <c r="AL83" s="41" t="s">
        <v>388</v>
      </c>
      <c r="AM83" s="9" t="s">
        <v>389</v>
      </c>
      <c r="AN83" s="9"/>
    </row>
    <row r="84" spans="1:40" s="8" customFormat="1" ht="22.5" customHeight="1" x14ac:dyDescent="0.25">
      <c r="A84" s="9">
        <v>156</v>
      </c>
      <c r="B84" s="40">
        <v>43133</v>
      </c>
      <c r="C84" s="9">
        <v>61000369</v>
      </c>
      <c r="D84" s="9" t="s">
        <v>390</v>
      </c>
      <c r="E84" s="9" t="s">
        <v>50</v>
      </c>
      <c r="F84" s="9">
        <v>0</v>
      </c>
      <c r="G84" s="12" t="s">
        <v>116</v>
      </c>
      <c r="H84" s="12">
        <v>2.9</v>
      </c>
      <c r="I84" s="12">
        <v>22.7</v>
      </c>
      <c r="J84" s="9">
        <v>13.13</v>
      </c>
      <c r="K84" s="9">
        <v>209</v>
      </c>
      <c r="L84" s="9"/>
      <c r="M84" s="9"/>
      <c r="N84" s="9"/>
      <c r="O84" s="9">
        <f t="shared" si="57"/>
        <v>209</v>
      </c>
      <c r="P84" s="9">
        <f t="shared" si="58"/>
        <v>7.2</v>
      </c>
      <c r="Q84" s="9">
        <f t="shared" si="59"/>
        <v>3.15</v>
      </c>
      <c r="R84" s="9">
        <f t="shared" si="60"/>
        <v>72.06</v>
      </c>
      <c r="S84" s="9">
        <f t="shared" si="61"/>
        <v>31.72</v>
      </c>
      <c r="T84" s="9">
        <f t="shared" si="62"/>
        <v>22.86</v>
      </c>
      <c r="U84" s="9">
        <f t="shared" si="63"/>
        <v>36</v>
      </c>
      <c r="V84" s="9">
        <f t="shared" si="64"/>
        <v>54.4</v>
      </c>
      <c r="W84" s="9">
        <f t="shared" si="65"/>
        <v>7.5</v>
      </c>
      <c r="X84" s="9">
        <f t="shared" si="66"/>
        <v>11.2</v>
      </c>
      <c r="Y84" s="9">
        <f t="shared" si="67"/>
        <v>21.5</v>
      </c>
      <c r="Z84" s="41" t="s">
        <v>150</v>
      </c>
      <c r="AA84" s="41" t="s">
        <v>391</v>
      </c>
      <c r="AB84" s="9" t="s">
        <v>44</v>
      </c>
      <c r="AC84" s="9" t="s">
        <v>380</v>
      </c>
      <c r="AD84" s="12">
        <v>47.9</v>
      </c>
      <c r="AE84" s="36" t="s">
        <v>46</v>
      </c>
      <c r="AF84" s="12">
        <v>100</v>
      </c>
      <c r="AG84" s="41"/>
      <c r="AH84" s="12">
        <f t="shared" si="56"/>
        <v>41.052490421455943</v>
      </c>
      <c r="AI84" s="12">
        <v>35.4</v>
      </c>
      <c r="AJ84" s="12">
        <v>35.4</v>
      </c>
      <c r="AK84" s="9">
        <v>21.73</v>
      </c>
      <c r="AL84" s="41" t="s">
        <v>392</v>
      </c>
      <c r="AM84" s="9" t="s">
        <v>393</v>
      </c>
      <c r="AN84" s="9"/>
    </row>
    <row r="85" spans="1:40" s="8" customFormat="1" ht="22.5" customHeight="1" x14ac:dyDescent="0.25">
      <c r="A85" s="9">
        <v>157</v>
      </c>
      <c r="B85" s="40">
        <v>43133</v>
      </c>
      <c r="C85" s="9">
        <v>58006235</v>
      </c>
      <c r="D85" s="9" t="s">
        <v>394</v>
      </c>
      <c r="E85" s="9" t="s">
        <v>40</v>
      </c>
      <c r="F85" s="9">
        <v>0</v>
      </c>
      <c r="G85" s="12" t="s">
        <v>97</v>
      </c>
      <c r="H85" s="12">
        <v>58</v>
      </c>
      <c r="I85" s="12">
        <v>37.200000000000003</v>
      </c>
      <c r="J85" s="9">
        <v>10.19</v>
      </c>
      <c r="K85" s="9">
        <v>164</v>
      </c>
      <c r="L85" s="9"/>
      <c r="M85" s="9"/>
      <c r="N85" s="9"/>
      <c r="O85" s="9">
        <f t="shared" si="57"/>
        <v>164</v>
      </c>
      <c r="P85" s="9">
        <f t="shared" si="58"/>
        <v>13.1</v>
      </c>
      <c r="Q85" s="9">
        <f t="shared" si="59"/>
        <v>5.78</v>
      </c>
      <c r="R85" s="9">
        <f t="shared" si="60"/>
        <v>64.36</v>
      </c>
      <c r="S85" s="9">
        <f t="shared" si="61"/>
        <v>35.22</v>
      </c>
      <c r="T85" s="9">
        <f t="shared" si="62"/>
        <v>22.66</v>
      </c>
      <c r="U85" s="9">
        <f t="shared" si="63"/>
        <v>72.7</v>
      </c>
      <c r="V85" s="9">
        <f t="shared" si="64"/>
        <v>19.399999999999999</v>
      </c>
      <c r="W85" s="9">
        <f t="shared" si="65"/>
        <v>4.0999999999999996</v>
      </c>
      <c r="X85" s="9">
        <f t="shared" si="66"/>
        <v>6</v>
      </c>
      <c r="Y85" s="9">
        <f t="shared" si="67"/>
        <v>17.399999999999999</v>
      </c>
      <c r="Z85" s="41" t="s">
        <v>395</v>
      </c>
      <c r="AA85" s="41" t="s">
        <v>396</v>
      </c>
      <c r="AB85" s="9" t="s">
        <v>44</v>
      </c>
      <c r="AC85" s="9" t="s">
        <v>397</v>
      </c>
      <c r="AD85" s="12">
        <v>47.7</v>
      </c>
      <c r="AE85" s="36" t="s">
        <v>46</v>
      </c>
      <c r="AF85" s="12">
        <v>300</v>
      </c>
      <c r="AG85" s="41"/>
      <c r="AH85" s="12">
        <f t="shared" si="56"/>
        <v>39.941379310344828</v>
      </c>
      <c r="AI85" s="12">
        <v>37.700000000000003</v>
      </c>
      <c r="AJ85" s="12">
        <v>37.700000000000003</v>
      </c>
      <c r="AK85" s="9">
        <v>11</v>
      </c>
      <c r="AL85" s="41" t="s">
        <v>395</v>
      </c>
      <c r="AM85" s="9" t="s">
        <v>398</v>
      </c>
      <c r="AN8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57010821</dc:creator>
  <cp:lastModifiedBy>57010821</cp:lastModifiedBy>
  <dcterms:created xsi:type="dcterms:W3CDTF">2018-03-02T14:46:27Z</dcterms:created>
  <dcterms:modified xsi:type="dcterms:W3CDTF">2018-03-02T15:53:51Z</dcterms:modified>
</cp:coreProperties>
</file>