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ropbox/Job Application Material/Job_Talk/"/>
    </mc:Choice>
  </mc:AlternateContent>
  <xr:revisionPtr revIDLastSave="0" documentId="13_ncr:1_{F5AECC25-3703-6D4A-BC1B-2C0FEACC038A}" xr6:coauthVersionLast="47" xr6:coauthVersionMax="47" xr10:uidLastSave="{00000000-0000-0000-0000-000000000000}"/>
  <bookViews>
    <workbookView xWindow="0" yWindow="740" windowWidth="30720" windowHeight="16580" activeTab="7" xr2:uid="{CE776EE9-3066-864A-B575-CA71ABEBD60D}"/>
  </bookViews>
  <sheets>
    <sheet name="LH" sheetId="1" r:id="rId1"/>
    <sheet name="Data" sheetId="3" r:id="rId2"/>
    <sheet name="Mortality" sheetId="5" r:id="rId3"/>
    <sheet name="Abundance" sheetId="8" r:id="rId4"/>
    <sheet name="CC Likelihood" sheetId="6" r:id="rId5"/>
    <sheet name="F Likelihood" sheetId="7" r:id="rId6"/>
    <sheet name="CPUE Likelihood" sheetId="9" r:id="rId7"/>
    <sheet name="Full" sheetId="4" r:id="rId8"/>
    <sheet name="CAA simulation" sheetId="2" r:id="rId9"/>
  </sheets>
  <definedNames>
    <definedName name="bha" localSheetId="3">Abundance!$C$23</definedName>
    <definedName name="bha" localSheetId="8">'CAA simulation'!$H$18</definedName>
    <definedName name="bha" localSheetId="4">'CC Likelihood'!$C$27</definedName>
    <definedName name="bha" localSheetId="6">'CPUE Likelihood'!$C$29</definedName>
    <definedName name="bha" localSheetId="1">Data!$C$37</definedName>
    <definedName name="bha" localSheetId="5">'F Likelihood'!$C$28</definedName>
    <definedName name="bha" localSheetId="7">Full!$C$40</definedName>
    <definedName name="bha" localSheetId="2">Mortality!$C$23</definedName>
    <definedName name="bha">LH!$C$37</definedName>
    <definedName name="bhb" localSheetId="3">Abundance!$C$24</definedName>
    <definedName name="bhb" localSheetId="8">'CAA simulation'!$H$19</definedName>
    <definedName name="bhb" localSheetId="4">'CC Likelihood'!$C$28</definedName>
    <definedName name="bhb" localSheetId="6">'CPUE Likelihood'!$C$30</definedName>
    <definedName name="bhb" localSheetId="1">Data!$C$38</definedName>
    <definedName name="bhb" localSheetId="5">'F Likelihood'!$C$29</definedName>
    <definedName name="bhb" localSheetId="7">Full!$C$41</definedName>
    <definedName name="bhb" localSheetId="2">Mortality!$C$24</definedName>
    <definedName name="bhb">LH!$C$38</definedName>
    <definedName name="CR">'CC Likelihood'!$C$29</definedName>
    <definedName name="Eo" localSheetId="8">'CAA simulation'!$H$17</definedName>
    <definedName name="Eo">'CC Likelihood'!$C$25</definedName>
    <definedName name="Fbar" localSheetId="3">Abundance!$C$16</definedName>
    <definedName name="Fbar" localSheetId="8">'CAA simulation'!$H$12</definedName>
    <definedName name="Fbar" localSheetId="4">'CC Likelihood'!$C$16</definedName>
    <definedName name="Fbar" localSheetId="6">'CPUE Likelihood'!$C$15</definedName>
    <definedName name="Fbar" localSheetId="1">Data!$C$21</definedName>
    <definedName name="Fbar" localSheetId="5">'F Likelihood'!$C$16</definedName>
    <definedName name="Fbar" localSheetId="7">Full!$C$22</definedName>
    <definedName name="Fbar" localSheetId="2">Mortality!$C$16</definedName>
    <definedName name="Fbar">LH!$C$21</definedName>
    <definedName name="h" localSheetId="3">Abundance!$C$14</definedName>
    <definedName name="h" localSheetId="8">'CAA simulation'!$H$16</definedName>
    <definedName name="h" localSheetId="4">'CC Likelihood'!$C$14</definedName>
    <definedName name="h" localSheetId="6">'CPUE Likelihood'!$C$13</definedName>
    <definedName name="h" localSheetId="1">Data!$C$19</definedName>
    <definedName name="h" localSheetId="5">'F Likelihood'!$C$14</definedName>
    <definedName name="h" localSheetId="7">Full!$C$20</definedName>
    <definedName name="h" localSheetId="2">Mortality!$C$14</definedName>
    <definedName name="h">LH!$C$19</definedName>
    <definedName name="lenv50" localSheetId="3">Abundance!$C$9</definedName>
    <definedName name="lenv50" localSheetId="4">'CC Likelihood'!$C$9</definedName>
    <definedName name="lenv50" localSheetId="6">'CPUE Likelihood'!$C$9</definedName>
    <definedName name="lenv50" localSheetId="1">Data!$C$9</definedName>
    <definedName name="lenv50" localSheetId="5">'F Likelihood'!$C$9</definedName>
    <definedName name="lenv50" localSheetId="7">Full!$C$9</definedName>
    <definedName name="lenv50" localSheetId="2">Mortality!$C$9</definedName>
    <definedName name="lenv50">LH!$C$9</definedName>
    <definedName name="Linf" localSheetId="3">Abundance!$C$4</definedName>
    <definedName name="Linf" localSheetId="4">'CC Likelihood'!$C$4</definedName>
    <definedName name="Linf" localSheetId="6">'CPUE Likelihood'!$C$4</definedName>
    <definedName name="Linf" localSheetId="1">Data!$C$4</definedName>
    <definedName name="Linf" localSheetId="5">'F Likelihood'!$C$4</definedName>
    <definedName name="Linf" localSheetId="7">Full!$C$4</definedName>
    <definedName name="Linf" localSheetId="2">Mortality!$C$4</definedName>
    <definedName name="Linf">LH!$C$4</definedName>
    <definedName name="Lo" localSheetId="3">Abundance!$C$6</definedName>
    <definedName name="Lo" localSheetId="4">'CC Likelihood'!$C$6</definedName>
    <definedName name="Lo" localSheetId="6">'CPUE Likelihood'!$C$6</definedName>
    <definedName name="Lo" localSheetId="1">Data!$C$6</definedName>
    <definedName name="Lo" localSheetId="5">'F Likelihood'!$C$6</definedName>
    <definedName name="Lo" localSheetId="7">Full!$C$6</definedName>
    <definedName name="Lo" localSheetId="2">Mortality!$C$6</definedName>
    <definedName name="Lo">LH!$C$6</definedName>
    <definedName name="lv50_" localSheetId="3">Abundance!$C$9</definedName>
    <definedName name="lv50_" localSheetId="4">'CC Likelihood'!$C$9</definedName>
    <definedName name="lv50_" localSheetId="6">'CPUE Likelihood'!$C$9</definedName>
    <definedName name="lv50_" localSheetId="1">Data!$C$9</definedName>
    <definedName name="lv50_" localSheetId="5">'F Likelihood'!$C$9</definedName>
    <definedName name="lv50_" localSheetId="7">Full!$C$9</definedName>
    <definedName name="lv50_" localSheetId="2">Mortality!$C$9</definedName>
    <definedName name="lv50_">LH!$C$9</definedName>
    <definedName name="lwa" localSheetId="3">Abundance!$C$2</definedName>
    <definedName name="lwa" localSheetId="4">'CC Likelihood'!$C$2</definedName>
    <definedName name="lwa" localSheetId="6">'CPUE Likelihood'!$C$2</definedName>
    <definedName name="lwa" localSheetId="1">Data!$C$2</definedName>
    <definedName name="lwa" localSheetId="5">'F Likelihood'!$C$2</definedName>
    <definedName name="lwa" localSheetId="7">Full!$C$2</definedName>
    <definedName name="lwa" localSheetId="2">Mortality!$C$2</definedName>
    <definedName name="lwa">LH!$C$2</definedName>
    <definedName name="lwb" localSheetId="3">Abundance!$C$3</definedName>
    <definedName name="lwb" localSheetId="4">'CC Likelihood'!$C$3</definedName>
    <definedName name="lwb" localSheetId="6">'CPUE Likelihood'!$C$3</definedName>
    <definedName name="lwb" localSheetId="1">Data!$C$3</definedName>
    <definedName name="lwb" localSheetId="5">'F Likelihood'!$C$3</definedName>
    <definedName name="lwb" localSheetId="7">Full!$C$3</definedName>
    <definedName name="lwb" localSheetId="2">Mortality!$C$3</definedName>
    <definedName name="lwb">LH!$C$3</definedName>
    <definedName name="M" localSheetId="3">Abundance!$C$8</definedName>
    <definedName name="M" localSheetId="8">'CAA simulation'!$H$15</definedName>
    <definedName name="M" localSheetId="4">'CC Likelihood'!$C$8</definedName>
    <definedName name="M" localSheetId="6">'CPUE Likelihood'!$C$8</definedName>
    <definedName name="M" localSheetId="1">Data!$C$8</definedName>
    <definedName name="M" localSheetId="5">'F Likelihood'!$C$8</definedName>
    <definedName name="M" localSheetId="7">Full!$C$8</definedName>
    <definedName name="M" localSheetId="2">Mortality!$C$8</definedName>
    <definedName name="M">LH!$C$8</definedName>
    <definedName name="q">'CAA simulation'!$H$13</definedName>
    <definedName name="recK" localSheetId="3">Abundance!#REF!</definedName>
    <definedName name="recK" localSheetId="4">'CC Likelihood'!#REF!</definedName>
    <definedName name="recK" localSheetId="6">'CPUE Likelihood'!#REF!</definedName>
    <definedName name="recK" localSheetId="1">Data!#REF!</definedName>
    <definedName name="recK" localSheetId="5">'F Likelihood'!#REF!</definedName>
    <definedName name="recK" localSheetId="7">Full!#REF!</definedName>
    <definedName name="recK" localSheetId="2">Mortality!#REF!</definedName>
    <definedName name="recK">LH!#REF!</definedName>
    <definedName name="Ro" localSheetId="3">Abundance!$C$15</definedName>
    <definedName name="Ro" localSheetId="8">'CAA simulation'!$H$14</definedName>
    <definedName name="Ro" localSheetId="4">'CC Likelihood'!$C$15</definedName>
    <definedName name="Ro" localSheetId="6">'CPUE Likelihood'!$C$14</definedName>
    <definedName name="Ro" localSheetId="1">Data!$C$20</definedName>
    <definedName name="Ro" localSheetId="5">'F Likelihood'!$C$15</definedName>
    <definedName name="Ro" localSheetId="7">Full!$C$21</definedName>
    <definedName name="Ro" localSheetId="2">Mortality!$C$15</definedName>
    <definedName name="Ro">LH!$C$20</definedName>
    <definedName name="scale">'CAA simulation'!$H$22</definedName>
    <definedName name="sdv" localSheetId="3">Abundance!$C$10</definedName>
    <definedName name="sdv" localSheetId="4">'CC Likelihood'!$C$10</definedName>
    <definedName name="sdv" localSheetId="6">'CPUE Likelihood'!$C$10</definedName>
    <definedName name="sdv" localSheetId="1">Data!$C$10</definedName>
    <definedName name="sdv" localSheetId="5">'F Likelihood'!$C$10</definedName>
    <definedName name="sdv" localSheetId="7">Full!$C$10</definedName>
    <definedName name="sdv" localSheetId="2">Mortality!$C$10</definedName>
    <definedName name="sdv">LH!$C$10</definedName>
    <definedName name="sigmaCatch" localSheetId="3">Abundance!#REF!</definedName>
    <definedName name="sigmaCatch" localSheetId="4">'CC Likelihood'!#REF!</definedName>
    <definedName name="sigmaCatch" localSheetId="6">'CPUE Likelihood'!#REF!</definedName>
    <definedName name="sigmaCatch" localSheetId="1">Data!#REF!</definedName>
    <definedName name="sigmaCatch" localSheetId="5">'F Likelihood'!#REF!</definedName>
    <definedName name="sigmaCatch" localSheetId="7">Full!#REF!</definedName>
    <definedName name="sigmaCatch" localSheetId="2">Mortality!#REF!</definedName>
    <definedName name="sigmaCatch">LH!#REF!</definedName>
    <definedName name="sigmaCC" localSheetId="3">Abundance!$C$17</definedName>
    <definedName name="sigmaCC" localSheetId="4">'CC Likelihood'!$C$17</definedName>
    <definedName name="sigmaCC" localSheetId="6">'CPUE Likelihood'!$C$16</definedName>
    <definedName name="sigmaCC" localSheetId="1">Data!$C$22</definedName>
    <definedName name="sigmaCC" localSheetId="5">'F Likelihood'!$C$17</definedName>
    <definedName name="sigmaCC" localSheetId="7">Full!$C$23</definedName>
    <definedName name="sigmaCC" localSheetId="2">Mortality!$C$17</definedName>
    <definedName name="sigmaCC">LH!$C$22</definedName>
    <definedName name="sigmaCPUE" localSheetId="7">Full!$C$25</definedName>
    <definedName name="sigmaCPUE">'CPUE Likelihood'!$C$18</definedName>
    <definedName name="sigmaF" localSheetId="3">Abundance!$C$18</definedName>
    <definedName name="sigmaF" localSheetId="8">'CAA simulation'!$H$24</definedName>
    <definedName name="sigmaF" localSheetId="4">'CC Likelihood'!$C$18</definedName>
    <definedName name="sigmaF" localSheetId="6">'CPUE Likelihood'!$C$17</definedName>
    <definedName name="sigmaF" localSheetId="1">Data!$C$23</definedName>
    <definedName name="sigmaF" localSheetId="5">'F Likelihood'!$C$18</definedName>
    <definedName name="sigmaF" localSheetId="7">Full!$C$24</definedName>
    <definedName name="sigmaF" localSheetId="2">Mortality!$C$18</definedName>
    <definedName name="sigmaF">LH!$C$23</definedName>
    <definedName name="sigmaMat" localSheetId="3">Abundance!#REF!</definedName>
    <definedName name="sigmaMat" localSheetId="4">'CC Likelihood'!#REF!</definedName>
    <definedName name="sigmaMat" localSheetId="6">'CPUE Likelihood'!#REF!</definedName>
    <definedName name="sigmaMat" localSheetId="1">Data!#REF!</definedName>
    <definedName name="sigmaMat" localSheetId="5">'F Likelihood'!#REF!</definedName>
    <definedName name="sigmaMat" localSheetId="7">Full!#REF!</definedName>
    <definedName name="sigmaMat" localSheetId="2">Mortality!#REF!</definedName>
    <definedName name="sigmaMat">LH!#REF!</definedName>
    <definedName name="solver_adj" localSheetId="3" hidden="1">Abundance!$G$20:$G$39,Abundance!#REF!</definedName>
    <definedName name="solver_adj" localSheetId="4" hidden="1">'CC Likelihood'!$G$20:$G$39,'CC Likelihood'!#REF!</definedName>
    <definedName name="solver_adj" localSheetId="6" hidden="1">'CPUE Likelihood'!$H$20:$H$39,'CPUE Likelihood'!#REF!</definedName>
    <definedName name="solver_adj" localSheetId="1" hidden="1">Data!$F$20:$F$39,Data!$C$14:$C$18</definedName>
    <definedName name="solver_adj" localSheetId="5" hidden="1">'F Likelihood'!$H$20:$H$39,'F Likelihood'!#REF!</definedName>
    <definedName name="solver_adj" localSheetId="7" hidden="1">Full!$C$14:$C$17,Full!$C$19,Full!$H$20:$H$39</definedName>
    <definedName name="solver_adj" localSheetId="0" hidden="1">LH!$G$20:$G$39,LH!$C$14:$C$18</definedName>
    <definedName name="solver_adj" localSheetId="2" hidden="1">Mortality!$G$20:$G$39,Mortality!#REF!</definedName>
    <definedName name="solver_cvg" localSheetId="3" hidden="1">0.0001</definedName>
    <definedName name="solver_cvg" localSheetId="4" hidden="1">0.0001</definedName>
    <definedName name="solver_cvg" localSheetId="6" hidden="1">0.0001</definedName>
    <definedName name="solver_cvg" localSheetId="1" hidden="1">0.0001</definedName>
    <definedName name="solver_cvg" localSheetId="5" hidden="1">0.0001</definedName>
    <definedName name="solver_cvg" localSheetId="7" hidden="1">0.0001</definedName>
    <definedName name="solver_cvg" localSheetId="0" hidden="1">0.0001</definedName>
    <definedName name="solver_cvg" localSheetId="2" hidden="1">0.0001</definedName>
    <definedName name="solver_drv" localSheetId="3" hidden="1">1</definedName>
    <definedName name="solver_drv" localSheetId="4" hidden="1">1</definedName>
    <definedName name="solver_drv" localSheetId="6" hidden="1">1</definedName>
    <definedName name="solver_drv" localSheetId="1" hidden="1">1</definedName>
    <definedName name="solver_drv" localSheetId="5" hidden="1">1</definedName>
    <definedName name="solver_drv" localSheetId="7" hidden="1">1</definedName>
    <definedName name="solver_drv" localSheetId="0" hidden="1">1</definedName>
    <definedName name="solver_drv" localSheetId="2" hidden="1">1</definedName>
    <definedName name="solver_eng" localSheetId="3" hidden="1">1</definedName>
    <definedName name="solver_eng" localSheetId="4" hidden="1">1</definedName>
    <definedName name="solver_eng" localSheetId="6" hidden="1">1</definedName>
    <definedName name="solver_eng" localSheetId="1" hidden="1">1</definedName>
    <definedName name="solver_eng" localSheetId="5" hidden="1">1</definedName>
    <definedName name="solver_eng" localSheetId="7" hidden="1">1</definedName>
    <definedName name="solver_eng" localSheetId="0" hidden="1">1</definedName>
    <definedName name="solver_eng" localSheetId="2" hidden="1">1</definedName>
    <definedName name="solver_itr" localSheetId="3" hidden="1">2147483647</definedName>
    <definedName name="solver_itr" localSheetId="4" hidden="1">2147483647</definedName>
    <definedName name="solver_itr" localSheetId="6" hidden="1">2147483647</definedName>
    <definedName name="solver_itr" localSheetId="1" hidden="1">2147483647</definedName>
    <definedName name="solver_itr" localSheetId="5" hidden="1">2147483647</definedName>
    <definedName name="solver_itr" localSheetId="7" hidden="1">2147483647</definedName>
    <definedName name="solver_itr" localSheetId="0" hidden="1">2147483647</definedName>
    <definedName name="solver_itr" localSheetId="2" hidden="1">2147483647</definedName>
    <definedName name="solver_lhs1" localSheetId="3" hidden="1">Abundance!#REF!</definedName>
    <definedName name="solver_lhs1" localSheetId="4" hidden="1">'CC Likelihood'!#REF!</definedName>
    <definedName name="solver_lhs1" localSheetId="6" hidden="1">'CPUE Likelihood'!#REF!</definedName>
    <definedName name="solver_lhs1" localSheetId="1" hidden="1">Data!#REF!</definedName>
    <definedName name="solver_lhs1" localSheetId="5" hidden="1">'F Likelihood'!#REF!</definedName>
    <definedName name="solver_lhs1" localSheetId="7" hidden="1">Full!#REF!</definedName>
    <definedName name="solver_lhs1" localSheetId="0" hidden="1">LH!#REF!</definedName>
    <definedName name="solver_lhs1" localSheetId="2" hidden="1">Mortality!#REF!</definedName>
    <definedName name="solver_lhs2" localSheetId="3" hidden="1">Abundance!#REF!</definedName>
    <definedName name="solver_lhs2" localSheetId="4" hidden="1">'CC Likelihood'!#REF!</definedName>
    <definedName name="solver_lhs2" localSheetId="6" hidden="1">'CPUE Likelihood'!#REF!</definedName>
    <definedName name="solver_lhs2" localSheetId="1" hidden="1">Data!#REF!</definedName>
    <definedName name="solver_lhs2" localSheetId="5" hidden="1">'F Likelihood'!#REF!</definedName>
    <definedName name="solver_lhs2" localSheetId="7" hidden="1">Full!#REF!</definedName>
    <definedName name="solver_lhs2" localSheetId="0" hidden="1">LH!#REF!</definedName>
    <definedName name="solver_lhs2" localSheetId="2" hidden="1">Mortality!#REF!</definedName>
    <definedName name="solver_lhs3" localSheetId="3" hidden="1">Abundance!#REF!</definedName>
    <definedName name="solver_lhs3" localSheetId="4" hidden="1">'CC Likelihood'!#REF!</definedName>
    <definedName name="solver_lhs3" localSheetId="6" hidden="1">'CPUE Likelihood'!#REF!</definedName>
    <definedName name="solver_lhs3" localSheetId="1" hidden="1">Data!#REF!</definedName>
    <definedName name="solver_lhs3" localSheetId="5" hidden="1">'F Likelihood'!#REF!</definedName>
    <definedName name="solver_lhs3" localSheetId="7" hidden="1">Full!#REF!</definedName>
    <definedName name="solver_lhs3" localSheetId="0" hidden="1">LH!#REF!</definedName>
    <definedName name="solver_lhs3" localSheetId="2" hidden="1">Mortality!#REF!</definedName>
    <definedName name="solver_lin" localSheetId="3" hidden="1">2</definedName>
    <definedName name="solver_lin" localSheetId="4" hidden="1">2</definedName>
    <definedName name="solver_lin" localSheetId="6" hidden="1">2</definedName>
    <definedName name="solver_lin" localSheetId="1" hidden="1">2</definedName>
    <definedName name="solver_lin" localSheetId="5" hidden="1">2</definedName>
    <definedName name="solver_lin" localSheetId="7" hidden="1">2</definedName>
    <definedName name="solver_lin" localSheetId="0" hidden="1">2</definedName>
    <definedName name="solver_lin" localSheetId="2" hidden="1">2</definedName>
    <definedName name="solver_mip" localSheetId="3" hidden="1">2147483647</definedName>
    <definedName name="solver_mip" localSheetId="4" hidden="1">2147483647</definedName>
    <definedName name="solver_mip" localSheetId="6" hidden="1">2147483647</definedName>
    <definedName name="solver_mip" localSheetId="1" hidden="1">2147483647</definedName>
    <definedName name="solver_mip" localSheetId="5" hidden="1">2147483647</definedName>
    <definedName name="solver_mip" localSheetId="7" hidden="1">2147483647</definedName>
    <definedName name="solver_mip" localSheetId="0" hidden="1">2147483647</definedName>
    <definedName name="solver_mip" localSheetId="2" hidden="1">2147483647</definedName>
    <definedName name="solver_mni" localSheetId="3" hidden="1">30</definedName>
    <definedName name="solver_mni" localSheetId="4" hidden="1">30</definedName>
    <definedName name="solver_mni" localSheetId="6" hidden="1">30</definedName>
    <definedName name="solver_mni" localSheetId="1" hidden="1">30</definedName>
    <definedName name="solver_mni" localSheetId="5" hidden="1">30</definedName>
    <definedName name="solver_mni" localSheetId="7" hidden="1">30</definedName>
    <definedName name="solver_mni" localSheetId="0" hidden="1">30</definedName>
    <definedName name="solver_mni" localSheetId="2" hidden="1">30</definedName>
    <definedName name="solver_mrt" localSheetId="3" hidden="1">0.075</definedName>
    <definedName name="solver_mrt" localSheetId="4" hidden="1">0.075</definedName>
    <definedName name="solver_mrt" localSheetId="6" hidden="1">0.075</definedName>
    <definedName name="solver_mrt" localSheetId="1" hidden="1">0.075</definedName>
    <definedName name="solver_mrt" localSheetId="5" hidden="1">0.075</definedName>
    <definedName name="solver_mrt" localSheetId="7" hidden="1">0.075</definedName>
    <definedName name="solver_mrt" localSheetId="0" hidden="1">0.075</definedName>
    <definedName name="solver_mrt" localSheetId="2" hidden="1">0.075</definedName>
    <definedName name="solver_msl" localSheetId="3" hidden="1">2</definedName>
    <definedName name="solver_msl" localSheetId="4" hidden="1">2</definedName>
    <definedName name="solver_msl" localSheetId="6" hidden="1">2</definedName>
    <definedName name="solver_msl" localSheetId="1" hidden="1">2</definedName>
    <definedName name="solver_msl" localSheetId="5" hidden="1">2</definedName>
    <definedName name="solver_msl" localSheetId="7" hidden="1">2</definedName>
    <definedName name="solver_msl" localSheetId="0" hidden="1">2</definedName>
    <definedName name="solver_msl" localSheetId="2" hidden="1">2</definedName>
    <definedName name="solver_neg" localSheetId="3" hidden="1">2</definedName>
    <definedName name="solver_neg" localSheetId="4" hidden="1">2</definedName>
    <definedName name="solver_neg" localSheetId="6" hidden="1">2</definedName>
    <definedName name="solver_neg" localSheetId="1" hidden="1">2</definedName>
    <definedName name="solver_neg" localSheetId="5" hidden="1">2</definedName>
    <definedName name="solver_neg" localSheetId="7" hidden="1">2</definedName>
    <definedName name="solver_neg" localSheetId="0" hidden="1">2</definedName>
    <definedName name="solver_neg" localSheetId="2" hidden="1">2</definedName>
    <definedName name="solver_nod" localSheetId="3" hidden="1">2147483647</definedName>
    <definedName name="solver_nod" localSheetId="4" hidden="1">2147483647</definedName>
    <definedName name="solver_nod" localSheetId="6" hidden="1">2147483647</definedName>
    <definedName name="solver_nod" localSheetId="1" hidden="1">2147483647</definedName>
    <definedName name="solver_nod" localSheetId="5" hidden="1">2147483647</definedName>
    <definedName name="solver_nod" localSheetId="7" hidden="1">2147483647</definedName>
    <definedName name="solver_nod" localSheetId="0" hidden="1">2147483647</definedName>
    <definedName name="solver_nod" localSheetId="2" hidden="1">2147483647</definedName>
    <definedName name="solver_num" localSheetId="3" hidden="1">0</definedName>
    <definedName name="solver_num" localSheetId="4" hidden="1">0</definedName>
    <definedName name="solver_num" localSheetId="6" hidden="1">0</definedName>
    <definedName name="solver_num" localSheetId="1" hidden="1">0</definedName>
    <definedName name="solver_num" localSheetId="5" hidden="1">0</definedName>
    <definedName name="solver_num" localSheetId="7" hidden="1">0</definedName>
    <definedName name="solver_num" localSheetId="0" hidden="1">0</definedName>
    <definedName name="solver_num" localSheetId="2" hidden="1">0</definedName>
    <definedName name="solver_opt" localSheetId="3" hidden="1">Abundance!$C$28</definedName>
    <definedName name="solver_opt" localSheetId="4" hidden="1">'CC Likelihood'!$C$22</definedName>
    <definedName name="solver_opt" localSheetId="6" hidden="1">'CPUE Likelihood'!$C$24</definedName>
    <definedName name="solver_opt" localSheetId="1" hidden="1">Data!$C$28</definedName>
    <definedName name="solver_opt" localSheetId="5" hidden="1">'F Likelihood'!$C$23</definedName>
    <definedName name="solver_opt" localSheetId="7" hidden="1">Full!$C$31</definedName>
    <definedName name="solver_opt" localSheetId="0" hidden="1">LH!$C$28</definedName>
    <definedName name="solver_opt" localSheetId="2" hidden="1">Mortality!$C$28</definedName>
    <definedName name="solver_pre" localSheetId="3" hidden="1">0.000001</definedName>
    <definedName name="solver_pre" localSheetId="4" hidden="1">0.000001</definedName>
    <definedName name="solver_pre" localSheetId="6" hidden="1">0.000001</definedName>
    <definedName name="solver_pre" localSheetId="1" hidden="1">0.000001</definedName>
    <definedName name="solver_pre" localSheetId="5" hidden="1">0.000001</definedName>
    <definedName name="solver_pre" localSheetId="7" hidden="1">0.000001</definedName>
    <definedName name="solver_pre" localSheetId="0" hidden="1">0.000001</definedName>
    <definedName name="solver_pre" localSheetId="2" hidden="1">0.000001</definedName>
    <definedName name="solver_rbv" localSheetId="3" hidden="1">1</definedName>
    <definedName name="solver_rbv" localSheetId="4" hidden="1">1</definedName>
    <definedName name="solver_rbv" localSheetId="6" hidden="1">1</definedName>
    <definedName name="solver_rbv" localSheetId="1" hidden="1">1</definedName>
    <definedName name="solver_rbv" localSheetId="5" hidden="1">1</definedName>
    <definedName name="solver_rbv" localSheetId="7" hidden="1">1</definedName>
    <definedName name="solver_rbv" localSheetId="0" hidden="1">1</definedName>
    <definedName name="solver_rbv" localSheetId="2" hidden="1">1</definedName>
    <definedName name="solver_rel1" localSheetId="3" hidden="1">3</definedName>
    <definedName name="solver_rel1" localSheetId="4" hidden="1">3</definedName>
    <definedName name="solver_rel1" localSheetId="6" hidden="1">3</definedName>
    <definedName name="solver_rel1" localSheetId="1" hidden="1">3</definedName>
    <definedName name="solver_rel1" localSheetId="5" hidden="1">3</definedName>
    <definedName name="solver_rel1" localSheetId="7" hidden="1">3</definedName>
    <definedName name="solver_rel1" localSheetId="0" hidden="1">3</definedName>
    <definedName name="solver_rel1" localSheetId="2" hidden="1">3</definedName>
    <definedName name="solver_rel2" localSheetId="3" hidden="1">1</definedName>
    <definedName name="solver_rel2" localSheetId="4" hidden="1">1</definedName>
    <definedName name="solver_rel2" localSheetId="6" hidden="1">1</definedName>
    <definedName name="solver_rel2" localSheetId="1" hidden="1">1</definedName>
    <definedName name="solver_rel2" localSheetId="5" hidden="1">1</definedName>
    <definedName name="solver_rel2" localSheetId="7" hidden="1">1</definedName>
    <definedName name="solver_rel2" localSheetId="0" hidden="1">1</definedName>
    <definedName name="solver_rel2" localSheetId="2" hidden="1">1</definedName>
    <definedName name="solver_rel3" localSheetId="3" hidden="1">3</definedName>
    <definedName name="solver_rel3" localSheetId="4" hidden="1">3</definedName>
    <definedName name="solver_rel3" localSheetId="6" hidden="1">3</definedName>
    <definedName name="solver_rel3" localSheetId="1" hidden="1">3</definedName>
    <definedName name="solver_rel3" localSheetId="5" hidden="1">3</definedName>
    <definedName name="solver_rel3" localSheetId="7" hidden="1">3</definedName>
    <definedName name="solver_rel3" localSheetId="0" hidden="1">3</definedName>
    <definedName name="solver_rel3" localSheetId="2" hidden="1">3</definedName>
    <definedName name="solver_rhs1" localSheetId="3" hidden="1">100</definedName>
    <definedName name="solver_rhs1" localSheetId="4" hidden="1">100</definedName>
    <definedName name="solver_rhs1" localSheetId="6" hidden="1">100</definedName>
    <definedName name="solver_rhs1" localSheetId="1" hidden="1">100</definedName>
    <definedName name="solver_rhs1" localSheetId="5" hidden="1">100</definedName>
    <definedName name="solver_rhs1" localSheetId="7" hidden="1">100</definedName>
    <definedName name="solver_rhs1" localSheetId="0" hidden="1">100</definedName>
    <definedName name="solver_rhs1" localSheetId="2" hidden="1">100</definedName>
    <definedName name="solver_rhs2" localSheetId="3" hidden="1">1</definedName>
    <definedName name="solver_rhs2" localSheetId="4" hidden="1">1</definedName>
    <definedName name="solver_rhs2" localSheetId="6" hidden="1">1</definedName>
    <definedName name="solver_rhs2" localSheetId="1" hidden="1">1</definedName>
    <definedName name="solver_rhs2" localSheetId="5" hidden="1">1</definedName>
    <definedName name="solver_rhs2" localSheetId="7" hidden="1">1</definedName>
    <definedName name="solver_rhs2" localSheetId="0" hidden="1">1</definedName>
    <definedName name="solver_rhs2" localSheetId="2" hidden="1">1</definedName>
    <definedName name="solver_rhs3" localSheetId="3" hidden="1">0.000001</definedName>
    <definedName name="solver_rhs3" localSheetId="4" hidden="1">0.000001</definedName>
    <definedName name="solver_rhs3" localSheetId="6" hidden="1">0.000001</definedName>
    <definedName name="solver_rhs3" localSheetId="1" hidden="1">0.000001</definedName>
    <definedName name="solver_rhs3" localSheetId="5" hidden="1">0.000001</definedName>
    <definedName name="solver_rhs3" localSheetId="7" hidden="1">0.000001</definedName>
    <definedName name="solver_rhs3" localSheetId="0" hidden="1">0.000001</definedName>
    <definedName name="solver_rhs3" localSheetId="2" hidden="1">0.000001</definedName>
    <definedName name="solver_rlx" localSheetId="3" hidden="1">1</definedName>
    <definedName name="solver_rlx" localSheetId="4" hidden="1">1</definedName>
    <definedName name="solver_rlx" localSheetId="6" hidden="1">1</definedName>
    <definedName name="solver_rlx" localSheetId="1" hidden="1">1</definedName>
    <definedName name="solver_rlx" localSheetId="5" hidden="1">1</definedName>
    <definedName name="solver_rlx" localSheetId="7" hidden="1">1</definedName>
    <definedName name="solver_rlx" localSheetId="0" hidden="1">1</definedName>
    <definedName name="solver_rlx" localSheetId="2" hidden="1">1</definedName>
    <definedName name="solver_rsd" localSheetId="3" hidden="1">0</definedName>
    <definedName name="solver_rsd" localSheetId="4" hidden="1">0</definedName>
    <definedName name="solver_rsd" localSheetId="6" hidden="1">0</definedName>
    <definedName name="solver_rsd" localSheetId="1" hidden="1">0</definedName>
    <definedName name="solver_rsd" localSheetId="5" hidden="1">0</definedName>
    <definedName name="solver_rsd" localSheetId="7" hidden="1">0</definedName>
    <definedName name="solver_rsd" localSheetId="0" hidden="1">0</definedName>
    <definedName name="solver_rsd" localSheetId="2" hidden="1">0</definedName>
    <definedName name="solver_scl" localSheetId="3" hidden="1">2</definedName>
    <definedName name="solver_scl" localSheetId="4" hidden="1">2</definedName>
    <definedName name="solver_scl" localSheetId="6" hidden="1">2</definedName>
    <definedName name="solver_scl" localSheetId="1" hidden="1">2</definedName>
    <definedName name="solver_scl" localSheetId="5" hidden="1">2</definedName>
    <definedName name="solver_scl" localSheetId="7" hidden="1">2</definedName>
    <definedName name="solver_scl" localSheetId="0" hidden="1">2</definedName>
    <definedName name="solver_scl" localSheetId="2" hidden="1">2</definedName>
    <definedName name="solver_sho" localSheetId="3" hidden="1">2</definedName>
    <definedName name="solver_sho" localSheetId="4" hidden="1">2</definedName>
    <definedName name="solver_sho" localSheetId="6" hidden="1">2</definedName>
    <definedName name="solver_sho" localSheetId="1" hidden="1">2</definedName>
    <definedName name="solver_sho" localSheetId="5" hidden="1">2</definedName>
    <definedName name="solver_sho" localSheetId="7" hidden="1">2</definedName>
    <definedName name="solver_sho" localSheetId="0" hidden="1">2</definedName>
    <definedName name="solver_sho" localSheetId="2" hidden="1">2</definedName>
    <definedName name="solver_ssz" localSheetId="3" hidden="1">100</definedName>
    <definedName name="solver_ssz" localSheetId="4" hidden="1">100</definedName>
    <definedName name="solver_ssz" localSheetId="6" hidden="1">100</definedName>
    <definedName name="solver_ssz" localSheetId="1" hidden="1">100</definedName>
    <definedName name="solver_ssz" localSheetId="5" hidden="1">100</definedName>
    <definedName name="solver_ssz" localSheetId="7" hidden="1">100</definedName>
    <definedName name="solver_ssz" localSheetId="0" hidden="1">100</definedName>
    <definedName name="solver_ssz" localSheetId="2" hidden="1">100</definedName>
    <definedName name="solver_tim" localSheetId="3" hidden="1">2147483647</definedName>
    <definedName name="solver_tim" localSheetId="4" hidden="1">2147483647</definedName>
    <definedName name="solver_tim" localSheetId="6" hidden="1">2147483647</definedName>
    <definedName name="solver_tim" localSheetId="1" hidden="1">2147483647</definedName>
    <definedName name="solver_tim" localSheetId="5" hidden="1">2147483647</definedName>
    <definedName name="solver_tim" localSheetId="7" hidden="1">2147483647</definedName>
    <definedName name="solver_tim" localSheetId="0" hidden="1">2147483647</definedName>
    <definedName name="solver_tim" localSheetId="2" hidden="1">2147483647</definedName>
    <definedName name="solver_tol" localSheetId="3" hidden="1">0.01</definedName>
    <definedName name="solver_tol" localSheetId="4" hidden="1">0.01</definedName>
    <definedName name="solver_tol" localSheetId="6" hidden="1">0.01</definedName>
    <definedName name="solver_tol" localSheetId="1" hidden="1">0.01</definedName>
    <definedName name="solver_tol" localSheetId="5" hidden="1">0.01</definedName>
    <definedName name="solver_tol" localSheetId="7" hidden="1">0.01</definedName>
    <definedName name="solver_tol" localSheetId="0" hidden="1">0.01</definedName>
    <definedName name="solver_tol" localSheetId="2" hidden="1">0.01</definedName>
    <definedName name="solver_typ" localSheetId="3" hidden="1">2</definedName>
    <definedName name="solver_typ" localSheetId="4" hidden="1">2</definedName>
    <definedName name="solver_typ" localSheetId="6" hidden="1">2</definedName>
    <definedName name="solver_typ" localSheetId="1" hidden="1">2</definedName>
    <definedName name="solver_typ" localSheetId="5" hidden="1">2</definedName>
    <definedName name="solver_typ" localSheetId="7" hidden="1">2</definedName>
    <definedName name="solver_typ" localSheetId="0" hidden="1">2</definedName>
    <definedName name="solver_typ" localSheetId="2" hidden="1">2</definedName>
    <definedName name="solver_val" localSheetId="3" hidden="1">0</definedName>
    <definedName name="solver_val" localSheetId="4" hidden="1">0</definedName>
    <definedName name="solver_val" localSheetId="6" hidden="1">0</definedName>
    <definedName name="solver_val" localSheetId="1" hidden="1">0</definedName>
    <definedName name="solver_val" localSheetId="5" hidden="1">0</definedName>
    <definedName name="solver_val" localSheetId="7" hidden="1">0</definedName>
    <definedName name="solver_val" localSheetId="0" hidden="1">0</definedName>
    <definedName name="solver_val" localSheetId="2" hidden="1">0</definedName>
    <definedName name="solver_ver" localSheetId="3" hidden="1">2</definedName>
    <definedName name="solver_ver" localSheetId="4" hidden="1">2</definedName>
    <definedName name="solver_ver" localSheetId="6" hidden="1">2</definedName>
    <definedName name="solver_ver" localSheetId="1" hidden="1">2</definedName>
    <definedName name="solver_ver" localSheetId="5" hidden="1">2</definedName>
    <definedName name="solver_ver" localSheetId="7" hidden="1">2</definedName>
    <definedName name="solver_ver" localSheetId="0" hidden="1">2</definedName>
    <definedName name="solver_ver" localSheetId="2" hidden="1">2</definedName>
    <definedName name="vbk" localSheetId="3">Abundance!$C$5</definedName>
    <definedName name="vbk" localSheetId="4">'CC Likelihood'!$C$5</definedName>
    <definedName name="vbk" localSheetId="6">'CPUE Likelihood'!$C$5</definedName>
    <definedName name="vbk" localSheetId="1">Data!$C$5</definedName>
    <definedName name="vbk" localSheetId="5">'F Likelihood'!$C$5</definedName>
    <definedName name="vbk" localSheetId="7">Full!$C$5</definedName>
    <definedName name="vbk" localSheetId="2">Mortality!$C$5</definedName>
    <definedName name="vbk">LH!$C$5</definedName>
    <definedName name="VBo">'CC Likelihood'!$C$26</definedName>
    <definedName name="Wmat" localSheetId="3">Abundance!$C$7</definedName>
    <definedName name="Wmat" localSheetId="4">'CC Likelihood'!$C$7</definedName>
    <definedName name="Wmat" localSheetId="6">'CPUE Likelihood'!$C$7</definedName>
    <definedName name="Wmat" localSheetId="1">Data!$C$7</definedName>
    <definedName name="Wmat" localSheetId="5">'F Likelihood'!$C$7</definedName>
    <definedName name="Wmat" localSheetId="7">Full!$C$7</definedName>
    <definedName name="Wmat" localSheetId="2">Mortality!$C$7</definedName>
    <definedName name="Wmat">LH!$C$7</definedName>
    <definedName name="xpos">'CAA simulation'!$H$23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39" i="9" l="1"/>
  <c r="AA22" i="9"/>
  <c r="AA23" i="9" s="1"/>
  <c r="AA21" i="9"/>
  <c r="Y39" i="6"/>
  <c r="Y22" i="6"/>
  <c r="Y23" i="6" s="1"/>
  <c r="Y21" i="6"/>
  <c r="Z22" i="7"/>
  <c r="Z23" i="7" s="1"/>
  <c r="Z21" i="7"/>
  <c r="Y22" i="8"/>
  <c r="Y23" i="8"/>
  <c r="Y24" i="8" s="1"/>
  <c r="Y25" i="8" s="1"/>
  <c r="Y26" i="8" s="1"/>
  <c r="Y27" i="8" s="1"/>
  <c r="Y28" i="8" s="1"/>
  <c r="Y29" i="8" s="1"/>
  <c r="Y30" i="8" s="1"/>
  <c r="Y31" i="8" s="1"/>
  <c r="Y32" i="8" s="1"/>
  <c r="Y21" i="8"/>
  <c r="Q20" i="8"/>
  <c r="R20" i="8"/>
  <c r="S20" i="8"/>
  <c r="T20" i="8"/>
  <c r="U20" i="8"/>
  <c r="V20" i="8"/>
  <c r="W20" i="8"/>
  <c r="X20" i="8"/>
  <c r="Y20" i="8"/>
  <c r="P20" i="8"/>
  <c r="BB21" i="6"/>
  <c r="BC21" i="6"/>
  <c r="BD21" i="6"/>
  <c r="BE21" i="6"/>
  <c r="BF21" i="6"/>
  <c r="BG21" i="6"/>
  <c r="BH21" i="6"/>
  <c r="BI21" i="6"/>
  <c r="BJ21" i="6"/>
  <c r="BK21" i="6"/>
  <c r="BL21" i="6"/>
  <c r="BC22" i="6"/>
  <c r="BD22" i="6"/>
  <c r="BE22" i="6"/>
  <c r="BF22" i="6"/>
  <c r="BG22" i="6"/>
  <c r="BH22" i="6"/>
  <c r="BI22" i="6"/>
  <c r="BJ22" i="6"/>
  <c r="BK22" i="6"/>
  <c r="BL22" i="6"/>
  <c r="BD23" i="6"/>
  <c r="BE23" i="6"/>
  <c r="BF23" i="6"/>
  <c r="BG23" i="6"/>
  <c r="BH23" i="6"/>
  <c r="BI23" i="6"/>
  <c r="BJ23" i="6"/>
  <c r="BK23" i="6"/>
  <c r="BE24" i="6"/>
  <c r="BF24" i="6"/>
  <c r="BG24" i="6"/>
  <c r="BH24" i="6"/>
  <c r="BI24" i="6"/>
  <c r="BJ24" i="6"/>
  <c r="BK24" i="6"/>
  <c r="BF25" i="6"/>
  <c r="BG25" i="6"/>
  <c r="BH25" i="6"/>
  <c r="BI25" i="6"/>
  <c r="BJ25" i="6"/>
  <c r="BK25" i="6"/>
  <c r="BG26" i="6"/>
  <c r="BH26" i="6"/>
  <c r="BI26" i="6"/>
  <c r="BJ26" i="6"/>
  <c r="BK26" i="6"/>
  <c r="BH27" i="6"/>
  <c r="BI27" i="6"/>
  <c r="BJ27" i="6"/>
  <c r="BK27" i="6"/>
  <c r="BI28" i="6"/>
  <c r="BJ28" i="6"/>
  <c r="BK28" i="6"/>
  <c r="BJ29" i="6"/>
  <c r="BK29" i="6"/>
  <c r="BK30" i="6"/>
  <c r="BC20" i="6"/>
  <c r="BD20" i="6"/>
  <c r="BE20" i="6"/>
  <c r="BF20" i="6"/>
  <c r="BG20" i="6"/>
  <c r="BH20" i="6"/>
  <c r="BI20" i="6"/>
  <c r="BJ20" i="6"/>
  <c r="BK20" i="6"/>
  <c r="BL20" i="6"/>
  <c r="BB20" i="6"/>
  <c r="BC21" i="7"/>
  <c r="BD21" i="7"/>
  <c r="BE21" i="7"/>
  <c r="BF21" i="7"/>
  <c r="BG21" i="7"/>
  <c r="BH21" i="7"/>
  <c r="BI21" i="7"/>
  <c r="BJ21" i="7"/>
  <c r="BK21" i="7"/>
  <c r="BL21" i="7"/>
  <c r="BM21" i="7"/>
  <c r="BD22" i="7"/>
  <c r="BE22" i="7"/>
  <c r="BF22" i="7"/>
  <c r="BG22" i="7"/>
  <c r="BH22" i="7"/>
  <c r="BI22" i="7"/>
  <c r="BJ22" i="7"/>
  <c r="BK22" i="7"/>
  <c r="BL22" i="7"/>
  <c r="BM22" i="7"/>
  <c r="BE23" i="7"/>
  <c r="BF23" i="7"/>
  <c r="BG23" i="7"/>
  <c r="BH23" i="7"/>
  <c r="BI23" i="7"/>
  <c r="BJ23" i="7"/>
  <c r="BK23" i="7"/>
  <c r="BL23" i="7"/>
  <c r="BF24" i="7"/>
  <c r="BG24" i="7"/>
  <c r="BH24" i="7"/>
  <c r="BI24" i="7"/>
  <c r="BJ24" i="7"/>
  <c r="BK24" i="7"/>
  <c r="BL24" i="7"/>
  <c r="BG25" i="7"/>
  <c r="BH25" i="7"/>
  <c r="BI25" i="7"/>
  <c r="BJ25" i="7"/>
  <c r="BK25" i="7"/>
  <c r="BL25" i="7"/>
  <c r="BH26" i="7"/>
  <c r="BI26" i="7"/>
  <c r="BJ26" i="7"/>
  <c r="BK26" i="7"/>
  <c r="BL26" i="7"/>
  <c r="BI27" i="7"/>
  <c r="BJ27" i="7"/>
  <c r="BK27" i="7"/>
  <c r="BL27" i="7"/>
  <c r="BJ28" i="7"/>
  <c r="BK28" i="7"/>
  <c r="BL28" i="7"/>
  <c r="BK29" i="7"/>
  <c r="BL29" i="7"/>
  <c r="BL30" i="7"/>
  <c r="BD20" i="7"/>
  <c r="BE20" i="7"/>
  <c r="BF20" i="7"/>
  <c r="BG20" i="7"/>
  <c r="BH20" i="7"/>
  <c r="BI20" i="7"/>
  <c r="BJ20" i="7"/>
  <c r="BK20" i="7"/>
  <c r="BL20" i="7"/>
  <c r="BM20" i="7"/>
  <c r="BC20" i="7"/>
  <c r="BD21" i="9"/>
  <c r="BE21" i="9"/>
  <c r="BF21" i="9"/>
  <c r="BG21" i="9"/>
  <c r="BH21" i="9"/>
  <c r="BI21" i="9"/>
  <c r="BJ21" i="9"/>
  <c r="BK21" i="9"/>
  <c r="BL21" i="9"/>
  <c r="BM21" i="9"/>
  <c r="BN21" i="9"/>
  <c r="BE22" i="9"/>
  <c r="BF22" i="9"/>
  <c r="BG22" i="9"/>
  <c r="BH22" i="9"/>
  <c r="BI22" i="9"/>
  <c r="BJ22" i="9"/>
  <c r="BK22" i="9"/>
  <c r="BL22" i="9"/>
  <c r="BM22" i="9"/>
  <c r="BN22" i="9"/>
  <c r="BF23" i="9"/>
  <c r="BG23" i="9"/>
  <c r="BH23" i="9"/>
  <c r="BI23" i="9"/>
  <c r="BJ23" i="9"/>
  <c r="BK23" i="9"/>
  <c r="BL23" i="9"/>
  <c r="BM23" i="9"/>
  <c r="BG24" i="9"/>
  <c r="BH24" i="9"/>
  <c r="BI24" i="9"/>
  <c r="BJ24" i="9"/>
  <c r="BK24" i="9"/>
  <c r="BL24" i="9"/>
  <c r="BM24" i="9"/>
  <c r="BH25" i="9"/>
  <c r="BI25" i="9"/>
  <c r="BJ25" i="9"/>
  <c r="BK25" i="9"/>
  <c r="BL25" i="9"/>
  <c r="BM25" i="9"/>
  <c r="BI26" i="9"/>
  <c r="BJ26" i="9"/>
  <c r="BK26" i="9"/>
  <c r="BL26" i="9"/>
  <c r="BM26" i="9"/>
  <c r="BJ27" i="9"/>
  <c r="BK27" i="9"/>
  <c r="BL27" i="9"/>
  <c r="BM27" i="9"/>
  <c r="BK28" i="9"/>
  <c r="BL28" i="9"/>
  <c r="BM28" i="9"/>
  <c r="BL29" i="9"/>
  <c r="BM29" i="9"/>
  <c r="BM30" i="9"/>
  <c r="BE20" i="9"/>
  <c r="BF20" i="9"/>
  <c r="BG20" i="9"/>
  <c r="BH20" i="9"/>
  <c r="BI20" i="9"/>
  <c r="BJ20" i="9"/>
  <c r="BK20" i="9"/>
  <c r="BL20" i="9"/>
  <c r="BM20" i="9"/>
  <c r="BN20" i="9"/>
  <c r="BD20" i="9"/>
  <c r="P21" i="8"/>
  <c r="Q20" i="9"/>
  <c r="X22" i="6"/>
  <c r="V22" i="6"/>
  <c r="W23" i="6" s="1"/>
  <c r="X24" i="6" s="1"/>
  <c r="W21" i="6"/>
  <c r="U21" i="6"/>
  <c r="T21" i="6"/>
  <c r="U22" i="6" s="1"/>
  <c r="V23" i="6" s="1"/>
  <c r="W24" i="6" s="1"/>
  <c r="X25" i="6" s="1"/>
  <c r="S21" i="6"/>
  <c r="T22" i="6" s="1"/>
  <c r="U23" i="6" s="1"/>
  <c r="V24" i="6" s="1"/>
  <c r="W25" i="6" s="1"/>
  <c r="X26" i="6" s="1"/>
  <c r="R21" i="6"/>
  <c r="S22" i="6" s="1"/>
  <c r="T23" i="6" s="1"/>
  <c r="U24" i="6" s="1"/>
  <c r="V25" i="6" s="1"/>
  <c r="W26" i="6" s="1"/>
  <c r="X27" i="6" s="1"/>
  <c r="Q21" i="6"/>
  <c r="R22" i="6" s="1"/>
  <c r="S23" i="6" s="1"/>
  <c r="T24" i="6" s="1"/>
  <c r="U25" i="6" s="1"/>
  <c r="V26" i="6" s="1"/>
  <c r="W27" i="6" s="1"/>
  <c r="X28" i="6" s="1"/>
  <c r="Y20" i="6"/>
  <c r="X20" i="6"/>
  <c r="W20" i="6"/>
  <c r="X21" i="6" s="1"/>
  <c r="V20" i="6"/>
  <c r="U20" i="6"/>
  <c r="V21" i="6" s="1"/>
  <c r="W22" i="6" s="1"/>
  <c r="X23" i="6" s="1"/>
  <c r="T20" i="6"/>
  <c r="S20" i="6"/>
  <c r="R20" i="6"/>
  <c r="Q20" i="6"/>
  <c r="P20" i="6"/>
  <c r="O20" i="6"/>
  <c r="P21" i="6" s="1"/>
  <c r="Q22" i="6" s="1"/>
  <c r="R23" i="6" s="1"/>
  <c r="S24" i="6" s="1"/>
  <c r="T25" i="6" s="1"/>
  <c r="U26" i="6" s="1"/>
  <c r="V27" i="6" s="1"/>
  <c r="W28" i="6" s="1"/>
  <c r="X29" i="6" s="1"/>
  <c r="X22" i="7"/>
  <c r="Y23" i="7" s="1"/>
  <c r="Y21" i="7"/>
  <c r="X21" i="7"/>
  <c r="Y22" i="7" s="1"/>
  <c r="W21" i="7"/>
  <c r="V21" i="7"/>
  <c r="W22" i="7" s="1"/>
  <c r="X23" i="7" s="1"/>
  <c r="Y24" i="7" s="1"/>
  <c r="U21" i="7"/>
  <c r="V22" i="7" s="1"/>
  <c r="W23" i="7" s="1"/>
  <c r="X24" i="7" s="1"/>
  <c r="Y25" i="7" s="1"/>
  <c r="S21" i="7"/>
  <c r="T22" i="7" s="1"/>
  <c r="U23" i="7" s="1"/>
  <c r="V24" i="7" s="1"/>
  <c r="W25" i="7" s="1"/>
  <c r="X26" i="7" s="1"/>
  <c r="Y27" i="7" s="1"/>
  <c r="Z20" i="7"/>
  <c r="Y20" i="7"/>
  <c r="X20" i="7"/>
  <c r="W20" i="7"/>
  <c r="V20" i="7"/>
  <c r="U20" i="7"/>
  <c r="T20" i="7"/>
  <c r="S20" i="7"/>
  <c r="T21" i="7" s="1"/>
  <c r="U22" i="7" s="1"/>
  <c r="V23" i="7" s="1"/>
  <c r="W24" i="7" s="1"/>
  <c r="X25" i="7" s="1"/>
  <c r="Y26" i="7" s="1"/>
  <c r="R20" i="7"/>
  <c r="Q20" i="7"/>
  <c r="R21" i="7" s="1"/>
  <c r="S22" i="7" s="1"/>
  <c r="T23" i="7" s="1"/>
  <c r="U24" i="7" s="1"/>
  <c r="V25" i="7" s="1"/>
  <c r="W26" i="7" s="1"/>
  <c r="X27" i="7" s="1"/>
  <c r="Y28" i="7" s="1"/>
  <c r="P20" i="7"/>
  <c r="Q21" i="7" s="1"/>
  <c r="R22" i="7" s="1"/>
  <c r="S23" i="7" s="1"/>
  <c r="T24" i="7" s="1"/>
  <c r="U25" i="7" s="1"/>
  <c r="V26" i="7" s="1"/>
  <c r="W27" i="7" s="1"/>
  <c r="X28" i="7" s="1"/>
  <c r="Y29" i="7" s="1"/>
  <c r="B8" i="2"/>
  <c r="C8" i="2" s="1"/>
  <c r="D8" i="2" s="1"/>
  <c r="B9" i="2"/>
  <c r="C9" i="2" s="1"/>
  <c r="D9" i="2" s="1"/>
  <c r="B10" i="2"/>
  <c r="C10" i="2" s="1"/>
  <c r="D10" i="2" s="1"/>
  <c r="B11" i="2"/>
  <c r="C11" i="2" s="1"/>
  <c r="D11" i="2" s="1"/>
  <c r="B12" i="2"/>
  <c r="C12" i="2" s="1"/>
  <c r="D12" i="2" s="1"/>
  <c r="B13" i="2"/>
  <c r="C13" i="2" s="1"/>
  <c r="D13" i="2" s="1"/>
  <c r="B14" i="2"/>
  <c r="C14" i="2" s="1"/>
  <c r="D14" i="2" s="1"/>
  <c r="B15" i="2"/>
  <c r="C15" i="2" s="1"/>
  <c r="D15" i="2" s="1"/>
  <c r="B16" i="2"/>
  <c r="C16" i="2" s="1"/>
  <c r="D16" i="2" s="1"/>
  <c r="B17" i="2"/>
  <c r="C17" i="2" s="1"/>
  <c r="D17" i="2" s="1"/>
  <c r="B18" i="2"/>
  <c r="C18" i="2" s="1"/>
  <c r="D18" i="2" s="1"/>
  <c r="B19" i="2"/>
  <c r="C19" i="2" s="1"/>
  <c r="D19" i="2" s="1"/>
  <c r="B20" i="2"/>
  <c r="C20" i="2" s="1"/>
  <c r="B21" i="2"/>
  <c r="C21" i="2" s="1"/>
  <c r="B22" i="2"/>
  <c r="C22" i="2" s="1"/>
  <c r="B23" i="2"/>
  <c r="C23" i="2" s="1"/>
  <c r="B24" i="2"/>
  <c r="C24" i="2" s="1"/>
  <c r="D24" i="2" s="1"/>
  <c r="B25" i="2"/>
  <c r="C25" i="2" s="1"/>
  <c r="D25" i="2" s="1"/>
  <c r="B26" i="2"/>
  <c r="C26" i="2" s="1"/>
  <c r="D26" i="2" s="1"/>
  <c r="B7" i="2"/>
  <c r="C7" i="2" s="1"/>
  <c r="D7" i="2" s="1"/>
  <c r="I52" i="2"/>
  <c r="N7" i="2"/>
  <c r="O7" i="2"/>
  <c r="P7" i="2"/>
  <c r="Q7" i="2"/>
  <c r="R7" i="2"/>
  <c r="S7" i="2"/>
  <c r="T7" i="2"/>
  <c r="U7" i="2"/>
  <c r="V7" i="2"/>
  <c r="M7" i="2"/>
  <c r="L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7" i="2"/>
  <c r="C25" i="4"/>
  <c r="C24" i="4"/>
  <c r="F39" i="4" s="1"/>
  <c r="C23" i="4"/>
  <c r="C22" i="4"/>
  <c r="G39" i="4" s="1"/>
  <c r="C21" i="4"/>
  <c r="BC45" i="7"/>
  <c r="BC44" i="7"/>
  <c r="I39" i="9"/>
  <c r="K39" i="9" s="1"/>
  <c r="I38" i="9"/>
  <c r="K38" i="9" s="1"/>
  <c r="F38" i="9"/>
  <c r="I37" i="9"/>
  <c r="K37" i="9" s="1"/>
  <c r="I36" i="9"/>
  <c r="K36" i="9" s="1"/>
  <c r="I35" i="9"/>
  <c r="K35" i="9" s="1"/>
  <c r="I34" i="9"/>
  <c r="K34" i="9" s="1"/>
  <c r="I33" i="9"/>
  <c r="K33" i="9" s="1"/>
  <c r="I32" i="9"/>
  <c r="K32" i="9" s="1"/>
  <c r="I31" i="9"/>
  <c r="K31" i="9" s="1"/>
  <c r="I30" i="9"/>
  <c r="K30" i="9" s="1"/>
  <c r="I29" i="9"/>
  <c r="K29" i="9" s="1"/>
  <c r="I28" i="9"/>
  <c r="K28" i="9" s="1"/>
  <c r="F28" i="9"/>
  <c r="I27" i="9"/>
  <c r="K27" i="9" s="1"/>
  <c r="I26" i="9"/>
  <c r="K26" i="9" s="1"/>
  <c r="I25" i="9"/>
  <c r="K25" i="9" s="1"/>
  <c r="I24" i="9"/>
  <c r="K24" i="9" s="1"/>
  <c r="I23" i="9"/>
  <c r="K23" i="9" s="1"/>
  <c r="F30" i="9"/>
  <c r="I22" i="9"/>
  <c r="K22" i="9" s="1"/>
  <c r="I21" i="9"/>
  <c r="K21" i="9" s="1"/>
  <c r="G24" i="9"/>
  <c r="I20" i="9"/>
  <c r="K20" i="9" s="1"/>
  <c r="K8" i="9"/>
  <c r="L8" i="9" s="1"/>
  <c r="M8" i="9" s="1"/>
  <c r="N8" i="9" s="1"/>
  <c r="O8" i="9" s="1"/>
  <c r="P8" i="9" s="1"/>
  <c r="Q8" i="9" s="1"/>
  <c r="R8" i="9" s="1"/>
  <c r="S8" i="9" s="1"/>
  <c r="T8" i="9" s="1"/>
  <c r="T4" i="9"/>
  <c r="T7" i="9" s="1"/>
  <c r="S4" i="9"/>
  <c r="S7" i="9" s="1"/>
  <c r="R4" i="9"/>
  <c r="R5" i="9" s="1"/>
  <c r="R6" i="9" s="1"/>
  <c r="Q4" i="9"/>
  <c r="Q7" i="9" s="1"/>
  <c r="P4" i="9"/>
  <c r="P7" i="9" s="1"/>
  <c r="O4" i="9"/>
  <c r="O7" i="9" s="1"/>
  <c r="N4" i="9"/>
  <c r="N5" i="9" s="1"/>
  <c r="N6" i="9" s="1"/>
  <c r="M4" i="9"/>
  <c r="M7" i="9" s="1"/>
  <c r="L4" i="9"/>
  <c r="L5" i="9" s="1"/>
  <c r="L6" i="9" s="1"/>
  <c r="K4" i="9"/>
  <c r="K5" i="9" s="1"/>
  <c r="K6" i="9" s="1"/>
  <c r="J4" i="9"/>
  <c r="J5" i="9" s="1"/>
  <c r="J6" i="9" s="1"/>
  <c r="K39" i="4"/>
  <c r="K27" i="4"/>
  <c r="K24" i="4"/>
  <c r="K23" i="4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32" i="5"/>
  <c r="J22" i="5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20" i="3"/>
  <c r="C20" i="4"/>
  <c r="C29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20" i="6"/>
  <c r="G21" i="5"/>
  <c r="G22" i="5"/>
  <c r="F22" i="5" s="1"/>
  <c r="G23" i="5"/>
  <c r="F23" i="5" s="1"/>
  <c r="G24" i="5"/>
  <c r="G25" i="5"/>
  <c r="F25" i="5" s="1"/>
  <c r="G26" i="5"/>
  <c r="G27" i="5"/>
  <c r="G28" i="5"/>
  <c r="G29" i="5"/>
  <c r="G30" i="5"/>
  <c r="F30" i="5" s="1"/>
  <c r="G31" i="5"/>
  <c r="G32" i="5"/>
  <c r="G33" i="5"/>
  <c r="G34" i="5"/>
  <c r="G35" i="5"/>
  <c r="G36" i="5"/>
  <c r="G37" i="5"/>
  <c r="G38" i="5"/>
  <c r="G39" i="5"/>
  <c r="F39" i="5" s="1"/>
  <c r="G20" i="5"/>
  <c r="F20" i="5" s="1"/>
  <c r="H39" i="8"/>
  <c r="F39" i="8"/>
  <c r="H38" i="8"/>
  <c r="F38" i="8"/>
  <c r="H37" i="8"/>
  <c r="F37" i="8"/>
  <c r="H36" i="8"/>
  <c r="F36" i="8"/>
  <c r="H35" i="8"/>
  <c r="F35" i="8"/>
  <c r="H34" i="8"/>
  <c r="F34" i="8"/>
  <c r="H33" i="8"/>
  <c r="F33" i="8"/>
  <c r="H32" i="8"/>
  <c r="F32" i="8"/>
  <c r="H31" i="8"/>
  <c r="F31" i="8"/>
  <c r="H30" i="8"/>
  <c r="F30" i="8"/>
  <c r="AP30" i="8" s="1"/>
  <c r="AP54" i="8" s="1"/>
  <c r="H29" i="8"/>
  <c r="F29" i="8"/>
  <c r="H28" i="8"/>
  <c r="F28" i="8"/>
  <c r="H27" i="8"/>
  <c r="F27" i="8"/>
  <c r="H26" i="8"/>
  <c r="F26" i="8"/>
  <c r="H25" i="8"/>
  <c r="F25" i="8"/>
  <c r="C25" i="8"/>
  <c r="H24" i="8"/>
  <c r="F24" i="8"/>
  <c r="H23" i="8"/>
  <c r="F23" i="8"/>
  <c r="H22" i="8"/>
  <c r="F22" i="8"/>
  <c r="AS22" i="8" s="1"/>
  <c r="AS46" i="8" s="1"/>
  <c r="H21" i="8"/>
  <c r="F21" i="8"/>
  <c r="O20" i="8"/>
  <c r="H20" i="8"/>
  <c r="F20" i="8"/>
  <c r="I8" i="8"/>
  <c r="J8" i="8" s="1"/>
  <c r="K8" i="8" s="1"/>
  <c r="L8" i="8" s="1"/>
  <c r="M8" i="8" s="1"/>
  <c r="N8" i="8" s="1"/>
  <c r="O8" i="8" s="1"/>
  <c r="P8" i="8" s="1"/>
  <c r="Q8" i="8" s="1"/>
  <c r="R8" i="8" s="1"/>
  <c r="L7" i="8"/>
  <c r="N5" i="8"/>
  <c r="N6" i="8" s="1"/>
  <c r="L5" i="8"/>
  <c r="L6" i="8" s="1"/>
  <c r="K5" i="8"/>
  <c r="K6" i="8" s="1"/>
  <c r="I5" i="8"/>
  <c r="I6" i="8" s="1"/>
  <c r="R4" i="8"/>
  <c r="R7" i="8" s="1"/>
  <c r="Q4" i="8"/>
  <c r="Q7" i="8" s="1"/>
  <c r="P4" i="8"/>
  <c r="P7" i="8" s="1"/>
  <c r="O4" i="8"/>
  <c r="O7" i="8" s="1"/>
  <c r="N4" i="8"/>
  <c r="N7" i="8" s="1"/>
  <c r="M4" i="8"/>
  <c r="M7" i="8" s="1"/>
  <c r="L4" i="8"/>
  <c r="K4" i="8"/>
  <c r="K7" i="8" s="1"/>
  <c r="J4" i="8"/>
  <c r="J7" i="8" s="1"/>
  <c r="I4" i="8"/>
  <c r="I7" i="8" s="1"/>
  <c r="H4" i="8"/>
  <c r="H5" i="8" s="1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F39" i="7"/>
  <c r="I22" i="7"/>
  <c r="I21" i="7"/>
  <c r="G39" i="7"/>
  <c r="I20" i="7"/>
  <c r="G20" i="7"/>
  <c r="J8" i="7"/>
  <c r="K8" i="7" s="1"/>
  <c r="L8" i="7" s="1"/>
  <c r="M8" i="7" s="1"/>
  <c r="N8" i="7" s="1"/>
  <c r="O8" i="7" s="1"/>
  <c r="P8" i="7" s="1"/>
  <c r="Q8" i="7" s="1"/>
  <c r="R8" i="7" s="1"/>
  <c r="S8" i="7" s="1"/>
  <c r="S4" i="7"/>
  <c r="S7" i="7" s="1"/>
  <c r="R4" i="7"/>
  <c r="R7" i="7" s="1"/>
  <c r="Q4" i="7"/>
  <c r="Q7" i="7" s="1"/>
  <c r="P4" i="7"/>
  <c r="P7" i="7" s="1"/>
  <c r="O4" i="7"/>
  <c r="O7" i="7" s="1"/>
  <c r="N4" i="7"/>
  <c r="N7" i="7" s="1"/>
  <c r="M4" i="7"/>
  <c r="M5" i="7" s="1"/>
  <c r="M6" i="7" s="1"/>
  <c r="L4" i="7"/>
  <c r="L5" i="7" s="1"/>
  <c r="L6" i="7" s="1"/>
  <c r="K4" i="7"/>
  <c r="K5" i="7" s="1"/>
  <c r="K6" i="7" s="1"/>
  <c r="J4" i="7"/>
  <c r="J5" i="7" s="1"/>
  <c r="J6" i="7" s="1"/>
  <c r="I4" i="7"/>
  <c r="F36" i="6"/>
  <c r="F28" i="6"/>
  <c r="F25" i="6"/>
  <c r="F23" i="6"/>
  <c r="F39" i="6"/>
  <c r="F20" i="6"/>
  <c r="I8" i="6"/>
  <c r="J8" i="6" s="1"/>
  <c r="K8" i="6" s="1"/>
  <c r="L8" i="6" s="1"/>
  <c r="M8" i="6" s="1"/>
  <c r="N8" i="6" s="1"/>
  <c r="O8" i="6" s="1"/>
  <c r="P8" i="6" s="1"/>
  <c r="Q8" i="6" s="1"/>
  <c r="R8" i="6" s="1"/>
  <c r="R4" i="6"/>
  <c r="R7" i="6" s="1"/>
  <c r="Q4" i="6"/>
  <c r="Q7" i="6" s="1"/>
  <c r="P4" i="6"/>
  <c r="P7" i="6" s="1"/>
  <c r="O4" i="6"/>
  <c r="O7" i="6" s="1"/>
  <c r="N4" i="6"/>
  <c r="N7" i="6" s="1"/>
  <c r="M4" i="6"/>
  <c r="M5" i="6" s="1"/>
  <c r="M6" i="6" s="1"/>
  <c r="L4" i="6"/>
  <c r="K4" i="6"/>
  <c r="K5" i="6" s="1"/>
  <c r="K6" i="6" s="1"/>
  <c r="J4" i="6"/>
  <c r="J5" i="6" s="1"/>
  <c r="J6" i="6" s="1"/>
  <c r="I4" i="6"/>
  <c r="I5" i="6" s="1"/>
  <c r="I6" i="6" s="1"/>
  <c r="H4" i="6"/>
  <c r="H5" i="6" s="1"/>
  <c r="H6" i="6" s="1"/>
  <c r="H39" i="5"/>
  <c r="J39" i="5" s="1"/>
  <c r="H38" i="5"/>
  <c r="J38" i="5" s="1"/>
  <c r="H37" i="5"/>
  <c r="J37" i="5" s="1"/>
  <c r="H36" i="5"/>
  <c r="J36" i="5" s="1"/>
  <c r="H35" i="5"/>
  <c r="J35" i="5" s="1"/>
  <c r="H34" i="5"/>
  <c r="J34" i="5" s="1"/>
  <c r="H33" i="5"/>
  <c r="J33" i="5" s="1"/>
  <c r="H32" i="5"/>
  <c r="H31" i="5"/>
  <c r="J31" i="5" s="1"/>
  <c r="H30" i="5"/>
  <c r="J30" i="5" s="1"/>
  <c r="H29" i="5"/>
  <c r="J29" i="5" s="1"/>
  <c r="H28" i="5"/>
  <c r="J28" i="5" s="1"/>
  <c r="H27" i="5"/>
  <c r="J27" i="5" s="1"/>
  <c r="H26" i="5"/>
  <c r="J26" i="5" s="1"/>
  <c r="H25" i="5"/>
  <c r="J25" i="5" s="1"/>
  <c r="H24" i="5"/>
  <c r="J24" i="5" s="1"/>
  <c r="H23" i="5"/>
  <c r="J23" i="5" s="1"/>
  <c r="H22" i="5"/>
  <c r="H21" i="5"/>
  <c r="J21" i="5" s="1"/>
  <c r="H20" i="5"/>
  <c r="J20" i="5" s="1"/>
  <c r="J8" i="5"/>
  <c r="S4" i="5"/>
  <c r="S7" i="5" s="1"/>
  <c r="R4" i="5"/>
  <c r="R7" i="5" s="1"/>
  <c r="Q4" i="5"/>
  <c r="Q7" i="5" s="1"/>
  <c r="P4" i="5"/>
  <c r="P5" i="5" s="1"/>
  <c r="P6" i="5" s="1"/>
  <c r="O4" i="5"/>
  <c r="N4" i="5"/>
  <c r="N5" i="5" s="1"/>
  <c r="N6" i="5" s="1"/>
  <c r="M4" i="5"/>
  <c r="M5" i="5" s="1"/>
  <c r="M6" i="5" s="1"/>
  <c r="L4" i="5"/>
  <c r="L5" i="5" s="1"/>
  <c r="L6" i="5" s="1"/>
  <c r="K4" i="5"/>
  <c r="J4" i="5"/>
  <c r="J5" i="5" s="1"/>
  <c r="J6" i="5" s="1"/>
  <c r="I4" i="5"/>
  <c r="I9" i="3"/>
  <c r="J9" i="3" s="1"/>
  <c r="K9" i="3" s="1"/>
  <c r="L9" i="3" s="1"/>
  <c r="M9" i="3" s="1"/>
  <c r="N9" i="3" s="1"/>
  <c r="O9" i="3" s="1"/>
  <c r="P9" i="3" s="1"/>
  <c r="Q9" i="3" s="1"/>
  <c r="R9" i="3" s="1"/>
  <c r="I39" i="4"/>
  <c r="I38" i="4"/>
  <c r="K38" i="4" s="1"/>
  <c r="I37" i="4"/>
  <c r="K37" i="4" s="1"/>
  <c r="I36" i="4"/>
  <c r="K36" i="4" s="1"/>
  <c r="I35" i="4"/>
  <c r="K35" i="4" s="1"/>
  <c r="I34" i="4"/>
  <c r="K34" i="4" s="1"/>
  <c r="I33" i="4"/>
  <c r="K33" i="4" s="1"/>
  <c r="I32" i="4"/>
  <c r="K32" i="4" s="1"/>
  <c r="I31" i="4"/>
  <c r="K31" i="4" s="1"/>
  <c r="I30" i="4"/>
  <c r="K30" i="4" s="1"/>
  <c r="I29" i="4"/>
  <c r="K29" i="4" s="1"/>
  <c r="I28" i="4"/>
  <c r="K28" i="4" s="1"/>
  <c r="I27" i="4"/>
  <c r="I26" i="4"/>
  <c r="K26" i="4" s="1"/>
  <c r="I25" i="4"/>
  <c r="K25" i="4" s="1"/>
  <c r="I24" i="4"/>
  <c r="I23" i="4"/>
  <c r="I22" i="4"/>
  <c r="K22" i="4" s="1"/>
  <c r="I21" i="4"/>
  <c r="K21" i="4" s="1"/>
  <c r="I20" i="4"/>
  <c r="K20" i="4" s="1"/>
  <c r="K8" i="4"/>
  <c r="L8" i="4" s="1"/>
  <c r="M8" i="4" s="1"/>
  <c r="N8" i="4" s="1"/>
  <c r="O8" i="4" s="1"/>
  <c r="P8" i="4" s="1"/>
  <c r="Q8" i="4" s="1"/>
  <c r="R8" i="4" s="1"/>
  <c r="S8" i="4" s="1"/>
  <c r="T8" i="4" s="1"/>
  <c r="T4" i="4"/>
  <c r="S4" i="4"/>
  <c r="S7" i="4" s="1"/>
  <c r="R4" i="4"/>
  <c r="R5" i="4" s="1"/>
  <c r="R6" i="4" s="1"/>
  <c r="Q4" i="4"/>
  <c r="Q5" i="4" s="1"/>
  <c r="Q6" i="4" s="1"/>
  <c r="P4" i="4"/>
  <c r="P7" i="4" s="1"/>
  <c r="O4" i="4"/>
  <c r="O7" i="4" s="1"/>
  <c r="N4" i="4"/>
  <c r="N5" i="4" s="1"/>
  <c r="N6" i="4" s="1"/>
  <c r="M4" i="4"/>
  <c r="M5" i="4" s="1"/>
  <c r="M6" i="4" s="1"/>
  <c r="L4" i="4"/>
  <c r="L5" i="4" s="1"/>
  <c r="L6" i="4" s="1"/>
  <c r="K4" i="4"/>
  <c r="K5" i="4" s="1"/>
  <c r="K6" i="4" s="1"/>
  <c r="J4" i="4"/>
  <c r="J5" i="4" s="1"/>
  <c r="J6" i="4" s="1"/>
  <c r="I9" i="1"/>
  <c r="J9" i="1" s="1"/>
  <c r="K9" i="1" s="1"/>
  <c r="L9" i="1" s="1"/>
  <c r="M9" i="1" s="1"/>
  <c r="N9" i="1" s="1"/>
  <c r="O9" i="1" s="1"/>
  <c r="P9" i="1" s="1"/>
  <c r="Q9" i="1" s="1"/>
  <c r="R9" i="1" s="1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I8" i="3"/>
  <c r="J8" i="3" s="1"/>
  <c r="K8" i="3" s="1"/>
  <c r="L8" i="3" s="1"/>
  <c r="M8" i="3" s="1"/>
  <c r="N8" i="3" s="1"/>
  <c r="O8" i="3" s="1"/>
  <c r="P8" i="3" s="1"/>
  <c r="Q8" i="3" s="1"/>
  <c r="R8" i="3" s="1"/>
  <c r="R4" i="3"/>
  <c r="R7" i="3" s="1"/>
  <c r="Q4" i="3"/>
  <c r="Q5" i="3" s="1"/>
  <c r="Q6" i="3" s="1"/>
  <c r="P4" i="3"/>
  <c r="P7" i="3" s="1"/>
  <c r="O4" i="3"/>
  <c r="O7" i="3" s="1"/>
  <c r="N4" i="3"/>
  <c r="N7" i="3" s="1"/>
  <c r="M4" i="3"/>
  <c r="M7" i="3" s="1"/>
  <c r="L4" i="3"/>
  <c r="L7" i="3" s="1"/>
  <c r="K4" i="3"/>
  <c r="K7" i="3" s="1"/>
  <c r="J4" i="3"/>
  <c r="J7" i="3" s="1"/>
  <c r="I4" i="3"/>
  <c r="I7" i="3" s="1"/>
  <c r="H4" i="3"/>
  <c r="H5" i="3" s="1"/>
  <c r="H6" i="3" s="1"/>
  <c r="AA24" i="9" l="1"/>
  <c r="BN23" i="9"/>
  <c r="BL23" i="6"/>
  <c r="Y24" i="6"/>
  <c r="Z24" i="7"/>
  <c r="BM23" i="7"/>
  <c r="D23" i="2"/>
  <c r="D22" i="2"/>
  <c r="D21" i="2"/>
  <c r="D20" i="2"/>
  <c r="J7" i="9"/>
  <c r="R7" i="9"/>
  <c r="AY24" i="9" s="1"/>
  <c r="S5" i="9"/>
  <c r="S6" i="9" s="1"/>
  <c r="T5" i="9"/>
  <c r="T6" i="9" s="1"/>
  <c r="F22" i="9"/>
  <c r="F29" i="9"/>
  <c r="F24" i="9"/>
  <c r="F32" i="9"/>
  <c r="F25" i="9"/>
  <c r="F34" i="9"/>
  <c r="F26" i="9"/>
  <c r="F20" i="9"/>
  <c r="F27" i="9"/>
  <c r="F36" i="9"/>
  <c r="AT24" i="9"/>
  <c r="AT48" i="9" s="1"/>
  <c r="G32" i="9"/>
  <c r="AX32" i="9" s="1"/>
  <c r="G20" i="9"/>
  <c r="AV24" i="9"/>
  <c r="AV48" i="9" s="1"/>
  <c r="G26" i="9"/>
  <c r="BA26" i="9" s="1"/>
  <c r="AW24" i="9"/>
  <c r="AW48" i="9" s="1"/>
  <c r="G34" i="9"/>
  <c r="AQ34" i="9" s="1"/>
  <c r="AQ58" i="9" s="1"/>
  <c r="G22" i="9"/>
  <c r="AW22" i="9" s="1"/>
  <c r="G29" i="9"/>
  <c r="AQ29" i="9" s="1"/>
  <c r="G38" i="9"/>
  <c r="BA38" i="9" s="1"/>
  <c r="AQ24" i="9"/>
  <c r="O5" i="8"/>
  <c r="O6" i="8" s="1"/>
  <c r="P5" i="8"/>
  <c r="P6" i="8" s="1"/>
  <c r="AW31" i="8"/>
  <c r="AW55" i="8" s="1"/>
  <c r="K7" i="9"/>
  <c r="BA24" i="9"/>
  <c r="AZ24" i="9"/>
  <c r="AX24" i="9"/>
  <c r="L7" i="9"/>
  <c r="AS24" i="9" s="1"/>
  <c r="M5" i="9"/>
  <c r="M6" i="9" s="1"/>
  <c r="O5" i="9"/>
  <c r="O6" i="9" s="1"/>
  <c r="N7" i="9"/>
  <c r="G30" i="9"/>
  <c r="G23" i="9"/>
  <c r="G21" i="9"/>
  <c r="G39" i="9"/>
  <c r="G37" i="9"/>
  <c r="G35" i="9"/>
  <c r="G33" i="9"/>
  <c r="G27" i="9"/>
  <c r="G25" i="9"/>
  <c r="G31" i="9"/>
  <c r="G28" i="9"/>
  <c r="G36" i="9"/>
  <c r="R5" i="8"/>
  <c r="R6" i="8" s="1"/>
  <c r="AS25" i="8"/>
  <c r="AS49" i="8" s="1"/>
  <c r="AR33" i="8"/>
  <c r="AR57" i="8" s="1"/>
  <c r="P5" i="9"/>
  <c r="P6" i="9" s="1"/>
  <c r="C31" i="9"/>
  <c r="Q5" i="9"/>
  <c r="Q6" i="9" s="1"/>
  <c r="F31" i="9"/>
  <c r="F33" i="9"/>
  <c r="F35" i="9"/>
  <c r="F37" i="9"/>
  <c r="F39" i="9"/>
  <c r="F21" i="9"/>
  <c r="F23" i="9"/>
  <c r="F28" i="4"/>
  <c r="F20" i="4"/>
  <c r="F22" i="4"/>
  <c r="F23" i="4"/>
  <c r="F36" i="4"/>
  <c r="G23" i="4"/>
  <c r="G36" i="4"/>
  <c r="AW36" i="4" s="1"/>
  <c r="G25" i="4"/>
  <c r="G20" i="4"/>
  <c r="AZ20" i="4" s="1"/>
  <c r="G28" i="4"/>
  <c r="F27" i="7"/>
  <c r="F28" i="7"/>
  <c r="F20" i="7"/>
  <c r="F22" i="7"/>
  <c r="G28" i="7"/>
  <c r="AZ28" i="7" s="1"/>
  <c r="G22" i="7"/>
  <c r="AV22" i="7" s="1"/>
  <c r="AV46" i="7" s="1"/>
  <c r="G30" i="7"/>
  <c r="AX30" i="7" s="1"/>
  <c r="F23" i="7"/>
  <c r="G23" i="7"/>
  <c r="AV23" i="7" s="1"/>
  <c r="F25" i="7"/>
  <c r="G25" i="7"/>
  <c r="AZ25" i="7" s="1"/>
  <c r="AZ49" i="7" s="1"/>
  <c r="F36" i="7"/>
  <c r="J7" i="6"/>
  <c r="AQ28" i="6" s="1"/>
  <c r="AS24" i="8"/>
  <c r="AS48" i="8" s="1"/>
  <c r="AW24" i="8"/>
  <c r="AW48" i="8" s="1"/>
  <c r="AS33" i="8"/>
  <c r="AS57" i="8" s="1"/>
  <c r="P5" i="7"/>
  <c r="P6" i="7" s="1"/>
  <c r="N5" i="7"/>
  <c r="N6" i="7" s="1"/>
  <c r="AT27" i="8"/>
  <c r="AT51" i="8" s="1"/>
  <c r="AT22" i="8"/>
  <c r="AT46" i="8" s="1"/>
  <c r="AT38" i="8"/>
  <c r="AT62" i="8" s="1"/>
  <c r="AT30" i="8"/>
  <c r="AT54" i="8" s="1"/>
  <c r="AT33" i="8"/>
  <c r="AT57" i="8" s="1"/>
  <c r="AT25" i="8"/>
  <c r="AT49" i="8" s="1"/>
  <c r="AV38" i="8"/>
  <c r="AV62" i="8" s="1"/>
  <c r="AV30" i="8"/>
  <c r="AV54" i="8" s="1"/>
  <c r="AV33" i="8"/>
  <c r="AV57" i="8" s="1"/>
  <c r="AV25" i="8"/>
  <c r="AV49" i="8" s="1"/>
  <c r="AV22" i="8"/>
  <c r="AV46" i="8" s="1"/>
  <c r="AV36" i="8"/>
  <c r="AV60" i="8" s="1"/>
  <c r="AV28" i="8"/>
  <c r="AV52" i="8" s="1"/>
  <c r="AV39" i="8"/>
  <c r="AV63" i="8" s="1"/>
  <c r="AX26" i="8"/>
  <c r="AX50" i="8" s="1"/>
  <c r="AY20" i="8"/>
  <c r="AY44" i="8" s="1"/>
  <c r="AX35" i="8"/>
  <c r="AX59" i="8" s="1"/>
  <c r="AX27" i="8"/>
  <c r="AX51" i="8" s="1"/>
  <c r="AX38" i="8"/>
  <c r="AX62" i="8" s="1"/>
  <c r="AX30" i="8"/>
  <c r="AX54" i="8" s="1"/>
  <c r="AX33" i="8"/>
  <c r="AX57" i="8" s="1"/>
  <c r="AX25" i="8"/>
  <c r="AX49" i="8" s="1"/>
  <c r="AX22" i="8"/>
  <c r="AX46" i="8" s="1"/>
  <c r="AX36" i="8"/>
  <c r="AX60" i="8" s="1"/>
  <c r="AX28" i="8"/>
  <c r="AX52" i="8" s="1"/>
  <c r="AY27" i="8"/>
  <c r="AY51" i="8" s="1"/>
  <c r="AX34" i="8"/>
  <c r="AX58" i="8" s="1"/>
  <c r="AT28" i="8"/>
  <c r="AT52" i="8" s="1"/>
  <c r="AY35" i="8"/>
  <c r="AY59" i="8" s="1"/>
  <c r="AU20" i="8"/>
  <c r="AU44" i="8" s="1"/>
  <c r="AU28" i="8"/>
  <c r="AU52" i="8" s="1"/>
  <c r="AU38" i="8"/>
  <c r="AU62" i="8" s="1"/>
  <c r="AU30" i="8"/>
  <c r="AU54" i="8" s="1"/>
  <c r="AU33" i="8"/>
  <c r="AU57" i="8" s="1"/>
  <c r="AU25" i="8"/>
  <c r="AU49" i="8" s="1"/>
  <c r="AU22" i="8"/>
  <c r="AU46" i="8" s="1"/>
  <c r="AU36" i="8"/>
  <c r="AU60" i="8" s="1"/>
  <c r="AY29" i="8"/>
  <c r="AY53" i="8" s="1"/>
  <c r="AY23" i="8"/>
  <c r="AY47" i="8" s="1"/>
  <c r="AY38" i="8"/>
  <c r="AY62" i="8" s="1"/>
  <c r="AY30" i="8"/>
  <c r="AY54" i="8" s="1"/>
  <c r="AY34" i="8"/>
  <c r="AY58" i="8" s="1"/>
  <c r="AY22" i="8"/>
  <c r="AY46" i="8" s="1"/>
  <c r="AY36" i="8"/>
  <c r="AY60" i="8" s="1"/>
  <c r="AY28" i="8"/>
  <c r="AY52" i="8" s="1"/>
  <c r="AY26" i="8"/>
  <c r="AY50" i="8" s="1"/>
  <c r="AY37" i="8"/>
  <c r="AY61" i="8" s="1"/>
  <c r="H6" i="8"/>
  <c r="AX23" i="8"/>
  <c r="AX47" i="8" s="1"/>
  <c r="AY24" i="8"/>
  <c r="AY48" i="8" s="1"/>
  <c r="AV31" i="8"/>
  <c r="AV55" i="8" s="1"/>
  <c r="AP38" i="8"/>
  <c r="AP62" i="8" s="1"/>
  <c r="AT36" i="8"/>
  <c r="AT60" i="8" s="1"/>
  <c r="AQ22" i="8"/>
  <c r="AQ46" i="8" s="1"/>
  <c r="AQ30" i="8"/>
  <c r="AQ54" i="8" s="1"/>
  <c r="AQ20" i="8"/>
  <c r="AQ44" i="8" s="1"/>
  <c r="AQ24" i="8"/>
  <c r="AQ48" i="8" s="1"/>
  <c r="AQ38" i="8"/>
  <c r="AQ62" i="8" s="1"/>
  <c r="AR36" i="8"/>
  <c r="AR60" i="8" s="1"/>
  <c r="AR28" i="8"/>
  <c r="AR52" i="8" s="1"/>
  <c r="AR34" i="8"/>
  <c r="AR58" i="8" s="1"/>
  <c r="AR26" i="8"/>
  <c r="AR50" i="8" s="1"/>
  <c r="AR23" i="8"/>
  <c r="AR47" i="8" s="1"/>
  <c r="AR27" i="8"/>
  <c r="AR51" i="8" s="1"/>
  <c r="AR38" i="8"/>
  <c r="AR62" i="8" s="1"/>
  <c r="AR30" i="8"/>
  <c r="AR54" i="8" s="1"/>
  <c r="AU39" i="8"/>
  <c r="AU63" i="8" s="1"/>
  <c r="AR25" i="8"/>
  <c r="AR49" i="8" s="1"/>
  <c r="AY32" i="8"/>
  <c r="AY56" i="8" s="1"/>
  <c r="AP21" i="8"/>
  <c r="AP45" i="8" s="1"/>
  <c r="J5" i="8"/>
  <c r="J6" i="8" s="1"/>
  <c r="AQ21" i="8"/>
  <c r="AQ45" i="8" s="1"/>
  <c r="AP27" i="8"/>
  <c r="AP51" i="8" s="1"/>
  <c r="AX31" i="8"/>
  <c r="AX55" i="8" s="1"/>
  <c r="AP35" i="8"/>
  <c r="AP59" i="8" s="1"/>
  <c r="AW39" i="8"/>
  <c r="AW63" i="8" s="1"/>
  <c r="AR21" i="8"/>
  <c r="AR45" i="8" s="1"/>
  <c r="AP24" i="8"/>
  <c r="AP48" i="8" s="1"/>
  <c r="AQ27" i="8"/>
  <c r="AQ51" i="8" s="1"/>
  <c r="AW28" i="8"/>
  <c r="AW52" i="8" s="1"/>
  <c r="AS30" i="8"/>
  <c r="AS54" i="8" s="1"/>
  <c r="AY31" i="8"/>
  <c r="AY55" i="8" s="1"/>
  <c r="AQ35" i="8"/>
  <c r="AQ59" i="8" s="1"/>
  <c r="AW36" i="8"/>
  <c r="AW60" i="8" s="1"/>
  <c r="AS38" i="8"/>
  <c r="AS62" i="8" s="1"/>
  <c r="AX39" i="8"/>
  <c r="AX63" i="8" s="1"/>
  <c r="AS21" i="8"/>
  <c r="AS45" i="8" s="1"/>
  <c r="AW22" i="8"/>
  <c r="AW46" i="8" s="1"/>
  <c r="AP32" i="8"/>
  <c r="AP56" i="8" s="1"/>
  <c r="AR35" i="8"/>
  <c r="AR59" i="8" s="1"/>
  <c r="AY39" i="8"/>
  <c r="AY63" i="8" s="1"/>
  <c r="M5" i="8"/>
  <c r="M6" i="8" s="1"/>
  <c r="AP20" i="8"/>
  <c r="AP44" i="8" s="1"/>
  <c r="AT21" i="8"/>
  <c r="AT45" i="8" s="1"/>
  <c r="AR24" i="8"/>
  <c r="AR48" i="8" s="1"/>
  <c r="AW25" i="8"/>
  <c r="AW49" i="8" s="1"/>
  <c r="AS27" i="8"/>
  <c r="AS51" i="8" s="1"/>
  <c r="AQ32" i="8"/>
  <c r="AQ56" i="8" s="1"/>
  <c r="AW33" i="8"/>
  <c r="AW57" i="8" s="1"/>
  <c r="AS35" i="8"/>
  <c r="AS59" i="8" s="1"/>
  <c r="O5" i="6"/>
  <c r="O6" i="6" s="1"/>
  <c r="Q5" i="7"/>
  <c r="Q6" i="7" s="1"/>
  <c r="H7" i="8"/>
  <c r="AO34" i="8" s="1"/>
  <c r="AO58" i="8" s="1"/>
  <c r="AU21" i="8"/>
  <c r="AU45" i="8" s="1"/>
  <c r="AP29" i="8"/>
  <c r="AP53" i="8" s="1"/>
  <c r="AR32" i="8"/>
  <c r="AR56" i="8" s="1"/>
  <c r="AT35" i="8"/>
  <c r="AT59" i="8" s="1"/>
  <c r="AP37" i="8"/>
  <c r="AP61" i="8" s="1"/>
  <c r="P5" i="6"/>
  <c r="P6" i="6" s="1"/>
  <c r="R5" i="7"/>
  <c r="R6" i="7" s="1"/>
  <c r="AR20" i="8"/>
  <c r="AR44" i="8" s="1"/>
  <c r="AV21" i="8"/>
  <c r="AV45" i="8" s="1"/>
  <c r="AT24" i="8"/>
  <c r="AT48" i="8" s="1"/>
  <c r="AY25" i="8"/>
  <c r="AY49" i="8" s="1"/>
  <c r="AU27" i="8"/>
  <c r="AU51" i="8" s="1"/>
  <c r="AQ29" i="8"/>
  <c r="AQ53" i="8" s="1"/>
  <c r="AW30" i="8"/>
  <c r="AW54" i="8" s="1"/>
  <c r="AS32" i="8"/>
  <c r="AS56" i="8" s="1"/>
  <c r="AY33" i="8"/>
  <c r="AY57" i="8" s="1"/>
  <c r="AU35" i="8"/>
  <c r="AU59" i="8" s="1"/>
  <c r="AQ37" i="8"/>
  <c r="AQ61" i="8" s="1"/>
  <c r="AW38" i="8"/>
  <c r="AW62" i="8" s="1"/>
  <c r="Q5" i="6"/>
  <c r="Q6" i="6" s="1"/>
  <c r="S5" i="7"/>
  <c r="S6" i="7" s="1"/>
  <c r="AZ30" i="7"/>
  <c r="AZ54" i="7" s="1"/>
  <c r="AS20" i="8"/>
  <c r="AS44" i="8" s="1"/>
  <c r="AW21" i="8"/>
  <c r="AW45" i="8" s="1"/>
  <c r="AP23" i="8"/>
  <c r="AP47" i="8" s="1"/>
  <c r="AU24" i="8"/>
  <c r="AU48" i="8" s="1"/>
  <c r="AP26" i="8"/>
  <c r="AP50" i="8" s="1"/>
  <c r="AV27" i="8"/>
  <c r="AV51" i="8" s="1"/>
  <c r="AR29" i="8"/>
  <c r="AR53" i="8" s="1"/>
  <c r="AT32" i="8"/>
  <c r="AT56" i="8" s="1"/>
  <c r="AP34" i="8"/>
  <c r="AP58" i="8" s="1"/>
  <c r="AV35" i="8"/>
  <c r="AV59" i="8" s="1"/>
  <c r="AR37" i="8"/>
  <c r="AR61" i="8" s="1"/>
  <c r="Q5" i="8"/>
  <c r="Q6" i="8" s="1"/>
  <c r="AT20" i="8"/>
  <c r="AT44" i="8" s="1"/>
  <c r="AX21" i="8"/>
  <c r="AX45" i="8" s="1"/>
  <c r="AQ23" i="8"/>
  <c r="AQ47" i="8" s="1"/>
  <c r="AV24" i="8"/>
  <c r="AV48" i="8" s="1"/>
  <c r="AQ26" i="8"/>
  <c r="AQ50" i="8" s="1"/>
  <c r="AW27" i="8"/>
  <c r="AW51" i="8" s="1"/>
  <c r="AS29" i="8"/>
  <c r="AS53" i="8" s="1"/>
  <c r="AO31" i="8"/>
  <c r="AO55" i="8" s="1"/>
  <c r="AU32" i="8"/>
  <c r="AU56" i="8" s="1"/>
  <c r="AQ34" i="8"/>
  <c r="AQ58" i="8" s="1"/>
  <c r="AW35" i="8"/>
  <c r="AW59" i="8" s="1"/>
  <c r="AS37" i="8"/>
  <c r="AS61" i="8" s="1"/>
  <c r="J7" i="7"/>
  <c r="AY21" i="8"/>
  <c r="AY45" i="8" s="1"/>
  <c r="AT29" i="8"/>
  <c r="AT53" i="8" s="1"/>
  <c r="AP31" i="8"/>
  <c r="AP55" i="8" s="1"/>
  <c r="AV32" i="8"/>
  <c r="AV56" i="8" s="1"/>
  <c r="AT37" i="8"/>
  <c r="AT61" i="8" s="1"/>
  <c r="I9" i="8"/>
  <c r="J9" i="8" s="1"/>
  <c r="K9" i="8" s="1"/>
  <c r="L9" i="8" s="1"/>
  <c r="M9" i="8" s="1"/>
  <c r="N9" i="8" s="1"/>
  <c r="O9" i="8" s="1"/>
  <c r="P9" i="8" s="1"/>
  <c r="Q9" i="8" s="1"/>
  <c r="R9" i="8" s="1"/>
  <c r="AV20" i="8"/>
  <c r="AV44" i="8" s="1"/>
  <c r="AS23" i="8"/>
  <c r="AS47" i="8" s="1"/>
  <c r="AX24" i="8"/>
  <c r="AX48" i="8" s="1"/>
  <c r="AS26" i="8"/>
  <c r="AS50" i="8" s="1"/>
  <c r="AO28" i="8"/>
  <c r="AO52" i="8" s="1"/>
  <c r="AU29" i="8"/>
  <c r="AU53" i="8" s="1"/>
  <c r="AQ31" i="8"/>
  <c r="AQ55" i="8" s="1"/>
  <c r="AW32" i="8"/>
  <c r="AW56" i="8" s="1"/>
  <c r="AS34" i="8"/>
  <c r="AS58" i="8" s="1"/>
  <c r="AU37" i="8"/>
  <c r="AU61" i="8" s="1"/>
  <c r="AP39" i="8"/>
  <c r="AP63" i="8" s="1"/>
  <c r="AW20" i="8"/>
  <c r="AW44" i="8" s="1"/>
  <c r="AT23" i="8"/>
  <c r="AT47" i="8" s="1"/>
  <c r="AT26" i="8"/>
  <c r="AT50" i="8" s="1"/>
  <c r="AP28" i="8"/>
  <c r="AP52" i="8" s="1"/>
  <c r="AV29" i="8"/>
  <c r="AV53" i="8" s="1"/>
  <c r="AR31" i="8"/>
  <c r="AR55" i="8" s="1"/>
  <c r="AX32" i="8"/>
  <c r="AX56" i="8" s="1"/>
  <c r="AT34" i="8"/>
  <c r="AT58" i="8" s="1"/>
  <c r="AP36" i="8"/>
  <c r="AP60" i="8" s="1"/>
  <c r="AV37" i="8"/>
  <c r="AV61" i="8" s="1"/>
  <c r="AQ39" i="8"/>
  <c r="AQ63" i="8" s="1"/>
  <c r="AX20" i="8"/>
  <c r="AX44" i="8" s="1"/>
  <c r="AP22" i="8"/>
  <c r="AP46" i="8" s="1"/>
  <c r="AU23" i="8"/>
  <c r="AU47" i="8" s="1"/>
  <c r="AU26" i="8"/>
  <c r="AU50" i="8" s="1"/>
  <c r="AQ28" i="8"/>
  <c r="AQ52" i="8" s="1"/>
  <c r="AW29" i="8"/>
  <c r="AW53" i="8" s="1"/>
  <c r="AS31" i="8"/>
  <c r="AS55" i="8" s="1"/>
  <c r="AO33" i="8"/>
  <c r="AO57" i="8" s="1"/>
  <c r="AU34" i="8"/>
  <c r="AU58" i="8" s="1"/>
  <c r="AQ36" i="8"/>
  <c r="AQ60" i="8" s="1"/>
  <c r="AW37" i="8"/>
  <c r="AW61" i="8" s="1"/>
  <c r="AR39" i="8"/>
  <c r="AR63" i="8" s="1"/>
  <c r="AV23" i="8"/>
  <c r="AV47" i="8" s="1"/>
  <c r="AP25" i="8"/>
  <c r="AP49" i="8" s="1"/>
  <c r="AV26" i="8"/>
  <c r="AV50" i="8" s="1"/>
  <c r="AX29" i="8"/>
  <c r="AX53" i="8" s="1"/>
  <c r="AT31" i="8"/>
  <c r="AT55" i="8" s="1"/>
  <c r="AP33" i="8"/>
  <c r="AP57" i="8" s="1"/>
  <c r="AV34" i="8"/>
  <c r="AV58" i="8" s="1"/>
  <c r="AX37" i="8"/>
  <c r="AX61" i="8" s="1"/>
  <c r="AS39" i="8"/>
  <c r="AS63" i="8" s="1"/>
  <c r="J7" i="5"/>
  <c r="Z39" i="5" s="1"/>
  <c r="AR22" i="8"/>
  <c r="AR46" i="8" s="1"/>
  <c r="AW23" i="8"/>
  <c r="AW47" i="8" s="1"/>
  <c r="AQ25" i="8"/>
  <c r="AQ49" i="8" s="1"/>
  <c r="AW26" i="8"/>
  <c r="AW50" i="8" s="1"/>
  <c r="AS28" i="8"/>
  <c r="AS52" i="8" s="1"/>
  <c r="AU31" i="8"/>
  <c r="AU55" i="8" s="1"/>
  <c r="AQ33" i="8"/>
  <c r="AQ57" i="8" s="1"/>
  <c r="AW34" i="8"/>
  <c r="AW58" i="8" s="1"/>
  <c r="AS36" i="8"/>
  <c r="AS60" i="8" s="1"/>
  <c r="AT39" i="8"/>
  <c r="AT63" i="8" s="1"/>
  <c r="AZ20" i="7"/>
  <c r="AZ44" i="7" s="1"/>
  <c r="R5" i="6"/>
  <c r="R6" i="6" s="1"/>
  <c r="AZ39" i="7"/>
  <c r="AY39" i="7"/>
  <c r="AX39" i="7"/>
  <c r="AW39" i="7"/>
  <c r="AV39" i="7"/>
  <c r="AU39" i="7"/>
  <c r="C30" i="7"/>
  <c r="I5" i="7"/>
  <c r="I6" i="7" s="1"/>
  <c r="I7" i="7"/>
  <c r="AP20" i="7" s="1"/>
  <c r="O5" i="7"/>
  <c r="O6" i="7" s="1"/>
  <c r="G36" i="7"/>
  <c r="F30" i="7"/>
  <c r="F33" i="7"/>
  <c r="K7" i="7"/>
  <c r="G33" i="7"/>
  <c r="L7" i="7"/>
  <c r="F38" i="7"/>
  <c r="I7" i="6"/>
  <c r="AP25" i="6" s="1"/>
  <c r="M7" i="7"/>
  <c r="G38" i="7"/>
  <c r="F35" i="7"/>
  <c r="K7" i="6"/>
  <c r="AR28" i="6" s="1"/>
  <c r="G27" i="7"/>
  <c r="G35" i="7"/>
  <c r="Q7" i="4"/>
  <c r="AX39" i="4" s="1"/>
  <c r="F32" i="7"/>
  <c r="P7" i="5"/>
  <c r="AF22" i="5" s="1"/>
  <c r="AF46" i="5" s="1"/>
  <c r="F24" i="7"/>
  <c r="F29" i="7"/>
  <c r="G32" i="7"/>
  <c r="AY25" i="6"/>
  <c r="AU20" i="7"/>
  <c r="G24" i="7"/>
  <c r="G29" i="7"/>
  <c r="F37" i="7"/>
  <c r="AV20" i="7"/>
  <c r="AV30" i="7"/>
  <c r="G37" i="7"/>
  <c r="AW20" i="7"/>
  <c r="F21" i="7"/>
  <c r="F26" i="7"/>
  <c r="AW30" i="7"/>
  <c r="F34" i="7"/>
  <c r="AX20" i="7"/>
  <c r="G21" i="7"/>
  <c r="G26" i="7"/>
  <c r="F31" i="7"/>
  <c r="G34" i="7"/>
  <c r="AY20" i="7"/>
  <c r="AY30" i="7"/>
  <c r="G31" i="7"/>
  <c r="AY36" i="6"/>
  <c r="AX36" i="6"/>
  <c r="AW36" i="6"/>
  <c r="AV36" i="6"/>
  <c r="AU36" i="6"/>
  <c r="M7" i="6"/>
  <c r="AT20" i="6" s="1"/>
  <c r="AY28" i="6"/>
  <c r="AX28" i="6"/>
  <c r="AW28" i="6"/>
  <c r="AV28" i="6"/>
  <c r="AU28" i="6"/>
  <c r="L5" i="6"/>
  <c r="L6" i="6" s="1"/>
  <c r="L7" i="6"/>
  <c r="AS20" i="6" s="1"/>
  <c r="K8" i="5"/>
  <c r="L8" i="5" s="1"/>
  <c r="M8" i="5" s="1"/>
  <c r="N8" i="5" s="1"/>
  <c r="O8" i="5" s="1"/>
  <c r="P8" i="5" s="1"/>
  <c r="Q8" i="5" s="1"/>
  <c r="R8" i="5" s="1"/>
  <c r="S8" i="5" s="1"/>
  <c r="S5" i="4"/>
  <c r="S6" i="4" s="1"/>
  <c r="AY39" i="6"/>
  <c r="AX39" i="6"/>
  <c r="AW39" i="6"/>
  <c r="AV39" i="6"/>
  <c r="AU39" i="6"/>
  <c r="N5" i="6"/>
  <c r="N6" i="6" s="1"/>
  <c r="AY23" i="6"/>
  <c r="AX23" i="6"/>
  <c r="AW23" i="6"/>
  <c r="AV23" i="6"/>
  <c r="AU23" i="6"/>
  <c r="N7" i="5"/>
  <c r="AD30" i="5" s="1"/>
  <c r="H7" i="6"/>
  <c r="AO23" i="6" s="1"/>
  <c r="AY20" i="6"/>
  <c r="AX20" i="6"/>
  <c r="AW20" i="6"/>
  <c r="AV20" i="6"/>
  <c r="AU20" i="6"/>
  <c r="F30" i="6"/>
  <c r="F33" i="6"/>
  <c r="F38" i="6"/>
  <c r="F22" i="6"/>
  <c r="F27" i="6"/>
  <c r="F35" i="6"/>
  <c r="F32" i="6"/>
  <c r="F24" i="6"/>
  <c r="F29" i="6"/>
  <c r="AU25" i="6"/>
  <c r="F37" i="6"/>
  <c r="AV25" i="6"/>
  <c r="F21" i="6"/>
  <c r="AW25" i="6"/>
  <c r="F26" i="6"/>
  <c r="F34" i="6"/>
  <c r="AX25" i="6"/>
  <c r="F31" i="6"/>
  <c r="S5" i="5"/>
  <c r="S6" i="5" s="1"/>
  <c r="R5" i="5"/>
  <c r="R6" i="5" s="1"/>
  <c r="AG22" i="5"/>
  <c r="AG46" i="5" s="1"/>
  <c r="AI22" i="5"/>
  <c r="AI46" i="5" s="1"/>
  <c r="AH22" i="5"/>
  <c r="AH46" i="5" s="1"/>
  <c r="AI23" i="5"/>
  <c r="AI30" i="5"/>
  <c r="AI20" i="5"/>
  <c r="AI39" i="5"/>
  <c r="AH39" i="5"/>
  <c r="AG39" i="5"/>
  <c r="I5" i="5"/>
  <c r="I6" i="5" s="1"/>
  <c r="I7" i="5"/>
  <c r="Y23" i="5" s="1"/>
  <c r="K5" i="5"/>
  <c r="K6" i="5" s="1"/>
  <c r="K7" i="5"/>
  <c r="AA20" i="5" s="1"/>
  <c r="AI25" i="5"/>
  <c r="T7" i="4"/>
  <c r="BA39" i="4" s="1"/>
  <c r="T5" i="4"/>
  <c r="T6" i="4" s="1"/>
  <c r="O7" i="5"/>
  <c r="AE20" i="5" s="1"/>
  <c r="O5" i="5"/>
  <c r="O6" i="5" s="1"/>
  <c r="C25" i="5"/>
  <c r="F28" i="5"/>
  <c r="F36" i="5"/>
  <c r="Q5" i="5"/>
  <c r="Q6" i="5" s="1"/>
  <c r="F33" i="5"/>
  <c r="L7" i="5"/>
  <c r="AB23" i="5" s="1"/>
  <c r="M7" i="5"/>
  <c r="AC23" i="5" s="1"/>
  <c r="F38" i="5"/>
  <c r="F27" i="5"/>
  <c r="F35" i="5"/>
  <c r="F32" i="5"/>
  <c r="F24" i="5"/>
  <c r="AI24" i="5" s="1"/>
  <c r="F29" i="5"/>
  <c r="AG23" i="5"/>
  <c r="F37" i="5"/>
  <c r="AH23" i="5"/>
  <c r="AG20" i="5"/>
  <c r="F21" i="5"/>
  <c r="AG25" i="5"/>
  <c r="F26" i="5"/>
  <c r="AG30" i="5"/>
  <c r="F34" i="5"/>
  <c r="AH20" i="5"/>
  <c r="AH25" i="5"/>
  <c r="AH30" i="5"/>
  <c r="F31" i="5"/>
  <c r="AZ39" i="4"/>
  <c r="AW39" i="4"/>
  <c r="AV39" i="4"/>
  <c r="C42" i="4"/>
  <c r="C36" i="4" s="1"/>
  <c r="N7" i="4"/>
  <c r="AU39" i="4" s="1"/>
  <c r="O5" i="4"/>
  <c r="O6" i="4" s="1"/>
  <c r="J7" i="4"/>
  <c r="L7" i="4"/>
  <c r="AS39" i="4" s="1"/>
  <c r="I5" i="3"/>
  <c r="I6" i="3" s="1"/>
  <c r="Q20" i="4"/>
  <c r="R7" i="4"/>
  <c r="K7" i="4"/>
  <c r="AR39" i="4" s="1"/>
  <c r="M7" i="4"/>
  <c r="P5" i="4"/>
  <c r="P6" i="4" s="1"/>
  <c r="F25" i="4"/>
  <c r="F30" i="4"/>
  <c r="F33" i="4"/>
  <c r="G30" i="4"/>
  <c r="G33" i="4"/>
  <c r="F38" i="4"/>
  <c r="G38" i="4"/>
  <c r="F27" i="4"/>
  <c r="F35" i="4"/>
  <c r="G22" i="4"/>
  <c r="G27" i="4"/>
  <c r="G35" i="4"/>
  <c r="F32" i="4"/>
  <c r="F24" i="4"/>
  <c r="F29" i="4"/>
  <c r="G32" i="4"/>
  <c r="Q7" i="3"/>
  <c r="G24" i="4"/>
  <c r="G29" i="4"/>
  <c r="F37" i="4"/>
  <c r="G37" i="4"/>
  <c r="F21" i="4"/>
  <c r="F26" i="4"/>
  <c r="F34" i="4"/>
  <c r="G21" i="4"/>
  <c r="G26" i="4"/>
  <c r="F31" i="4"/>
  <c r="G34" i="4"/>
  <c r="G31" i="4"/>
  <c r="K5" i="3"/>
  <c r="K6" i="3" s="1"/>
  <c r="J5" i="3"/>
  <c r="J6" i="3" s="1"/>
  <c r="L5" i="3"/>
  <c r="L6" i="3" s="1"/>
  <c r="M5" i="3"/>
  <c r="M6" i="3" s="1"/>
  <c r="N5" i="3"/>
  <c r="N6" i="3" s="1"/>
  <c r="H7" i="3"/>
  <c r="O5" i="3"/>
  <c r="O6" i="3" s="1"/>
  <c r="P5" i="3"/>
  <c r="P6" i="3" s="1"/>
  <c r="R5" i="3"/>
  <c r="R6" i="3" s="1"/>
  <c r="I8" i="1"/>
  <c r="J8" i="1" s="1"/>
  <c r="K8" i="1" s="1"/>
  <c r="L8" i="1" s="1"/>
  <c r="M8" i="1" s="1"/>
  <c r="N8" i="1" s="1"/>
  <c r="O8" i="1" s="1"/>
  <c r="P8" i="1" s="1"/>
  <c r="Q8" i="1" s="1"/>
  <c r="R8" i="1" s="1"/>
  <c r="H4" i="1"/>
  <c r="J4" i="1"/>
  <c r="J5" i="1" s="1"/>
  <c r="J6" i="1" s="1"/>
  <c r="K4" i="1"/>
  <c r="K5" i="1" s="1"/>
  <c r="K6" i="1" s="1"/>
  <c r="L4" i="1"/>
  <c r="L5" i="1" s="1"/>
  <c r="L6" i="1" s="1"/>
  <c r="M4" i="1"/>
  <c r="M5" i="1" s="1"/>
  <c r="M6" i="1" s="1"/>
  <c r="N4" i="1"/>
  <c r="N5" i="1" s="1"/>
  <c r="N6" i="1" s="1"/>
  <c r="O4" i="1"/>
  <c r="O5" i="1" s="1"/>
  <c r="O6" i="1" s="1"/>
  <c r="P4" i="1"/>
  <c r="P7" i="1" s="1"/>
  <c r="T32" i="2" s="1"/>
  <c r="Q4" i="1"/>
  <c r="Q5" i="1" s="1"/>
  <c r="Q6" i="1" s="1"/>
  <c r="R4" i="1"/>
  <c r="R5" i="1" s="1"/>
  <c r="R6" i="1" s="1"/>
  <c r="I4" i="1"/>
  <c r="I5" i="1" s="1"/>
  <c r="I6" i="1" s="1"/>
  <c r="AA25" i="9" l="1"/>
  <c r="BN24" i="9"/>
  <c r="Y25" i="6"/>
  <c r="BL24" i="6"/>
  <c r="Z25" i="7"/>
  <c r="BM24" i="7"/>
  <c r="AA20" i="4"/>
  <c r="U8" i="2"/>
  <c r="H5" i="1"/>
  <c r="H6" i="1" s="1"/>
  <c r="AY20" i="9"/>
  <c r="AT29" i="9"/>
  <c r="BA20" i="9"/>
  <c r="AU20" i="9"/>
  <c r="AW26" i="9"/>
  <c r="AZ20" i="9"/>
  <c r="AT20" i="9"/>
  <c r="BA32" i="9"/>
  <c r="BA56" i="9" s="1"/>
  <c r="AV26" i="9"/>
  <c r="AV50" i="9" s="1"/>
  <c r="AW20" i="9"/>
  <c r="AU26" i="9"/>
  <c r="AU50" i="9" s="1"/>
  <c r="AT26" i="9"/>
  <c r="AT50" i="9" s="1"/>
  <c r="AT32" i="9"/>
  <c r="AT56" i="9" s="1"/>
  <c r="AV32" i="9"/>
  <c r="AV56" i="9" s="1"/>
  <c r="AV20" i="9"/>
  <c r="AU32" i="9"/>
  <c r="AU56" i="9" s="1"/>
  <c r="AQ20" i="9"/>
  <c r="AY32" i="9"/>
  <c r="AQ32" i="9"/>
  <c r="AW32" i="9"/>
  <c r="AZ32" i="9"/>
  <c r="AZ56" i="9" s="1"/>
  <c r="AX26" i="9"/>
  <c r="AX50" i="9" s="1"/>
  <c r="AW29" i="9"/>
  <c r="AW53" i="9" s="1"/>
  <c r="AY29" i="9"/>
  <c r="AY53" i="9" s="1"/>
  <c r="AZ26" i="9"/>
  <c r="AZ50" i="9" s="1"/>
  <c r="AV29" i="9"/>
  <c r="AV53" i="9" s="1"/>
  <c r="AV22" i="9"/>
  <c r="AV46" i="9" s="1"/>
  <c r="AY34" i="9"/>
  <c r="AY58" i="9" s="1"/>
  <c r="AZ34" i="9"/>
  <c r="AZ58" i="9" s="1"/>
  <c r="BA34" i="9"/>
  <c r="BA58" i="9" s="1"/>
  <c r="AY26" i="9"/>
  <c r="AY50" i="9" s="1"/>
  <c r="AZ29" i="9"/>
  <c r="AZ53" i="9" s="1"/>
  <c r="AX22" i="9"/>
  <c r="AX46" i="9" s="1"/>
  <c r="AQ26" i="9"/>
  <c r="AQ50" i="9" s="1"/>
  <c r="AT22" i="9"/>
  <c r="AT46" i="9" s="1"/>
  <c r="AR20" i="9"/>
  <c r="AU34" i="9"/>
  <c r="AU58" i="9" s="1"/>
  <c r="AV34" i="9"/>
  <c r="AV58" i="9" s="1"/>
  <c r="AY22" i="9"/>
  <c r="AY46" i="9" s="1"/>
  <c r="BA22" i="9"/>
  <c r="BA46" i="9" s="1"/>
  <c r="AW34" i="9"/>
  <c r="AW58" i="9" s="1"/>
  <c r="AX20" i="9"/>
  <c r="AX29" i="9"/>
  <c r="AX53" i="9" s="1"/>
  <c r="AQ38" i="9"/>
  <c r="AQ62" i="9" s="1"/>
  <c r="AX34" i="9"/>
  <c r="AX58" i="9" s="1"/>
  <c r="AQ22" i="9"/>
  <c r="AQ46" i="9" s="1"/>
  <c r="AW38" i="9"/>
  <c r="AW62" i="9" s="1"/>
  <c r="BA29" i="9"/>
  <c r="BA53" i="9" s="1"/>
  <c r="AX38" i="9"/>
  <c r="AX62" i="9" s="1"/>
  <c r="K9" i="9"/>
  <c r="L9" i="9" s="1"/>
  <c r="M9" i="9" s="1"/>
  <c r="N9" i="9" s="1"/>
  <c r="O9" i="9" s="1"/>
  <c r="P9" i="9" s="1"/>
  <c r="Q9" i="9" s="1"/>
  <c r="R9" i="9" s="1"/>
  <c r="S9" i="9" s="1"/>
  <c r="T9" i="9" s="1"/>
  <c r="AZ22" i="9"/>
  <c r="AZ46" i="9" s="1"/>
  <c r="AY38" i="9"/>
  <c r="AY62" i="9" s="1"/>
  <c r="AT38" i="9"/>
  <c r="AT62" i="9" s="1"/>
  <c r="AV38" i="9"/>
  <c r="AV62" i="9" s="1"/>
  <c r="AR38" i="9"/>
  <c r="AR62" i="9" s="1"/>
  <c r="AZ38" i="9"/>
  <c r="AZ62" i="9" s="1"/>
  <c r="AU38" i="9"/>
  <c r="AU62" i="9" s="1"/>
  <c r="AT34" i="9"/>
  <c r="AT58" i="9" s="1"/>
  <c r="AW25" i="9"/>
  <c r="AV25" i="9"/>
  <c r="AU25" i="9"/>
  <c r="AT25" i="9"/>
  <c r="AS25" i="9"/>
  <c r="AR25" i="9"/>
  <c r="AQ25" i="9"/>
  <c r="BA25" i="9"/>
  <c r="AZ25" i="9"/>
  <c r="AY25" i="9"/>
  <c r="AX25" i="9"/>
  <c r="AS32" i="9"/>
  <c r="AT53" i="9"/>
  <c r="AY44" i="9"/>
  <c r="AW27" i="9"/>
  <c r="AV27" i="9"/>
  <c r="AU27" i="9"/>
  <c r="AT27" i="9"/>
  <c r="AS27" i="9"/>
  <c r="AR27" i="9"/>
  <c r="AQ27" i="9"/>
  <c r="BA27" i="9"/>
  <c r="AZ27" i="9"/>
  <c r="AY27" i="9"/>
  <c r="AX27" i="9"/>
  <c r="AU29" i="9"/>
  <c r="BA44" i="9"/>
  <c r="AW33" i="9"/>
  <c r="AV33" i="9"/>
  <c r="AU33" i="9"/>
  <c r="AT33" i="9"/>
  <c r="AS33" i="9"/>
  <c r="AR33" i="9"/>
  <c r="AQ33" i="9"/>
  <c r="BA33" i="9"/>
  <c r="AZ33" i="9"/>
  <c r="AY33" i="9"/>
  <c r="AX33" i="9"/>
  <c r="AS48" i="9"/>
  <c r="BA62" i="9"/>
  <c r="AS20" i="9"/>
  <c r="AW35" i="9"/>
  <c r="AV35" i="9"/>
  <c r="AU35" i="9"/>
  <c r="AT35" i="9"/>
  <c r="AS35" i="9"/>
  <c r="AR35" i="9"/>
  <c r="AQ35" i="9"/>
  <c r="BA35" i="9"/>
  <c r="AZ35" i="9"/>
  <c r="AY35" i="9"/>
  <c r="AX35" i="9"/>
  <c r="AW46" i="9"/>
  <c r="AW37" i="9"/>
  <c r="AV37" i="9"/>
  <c r="AU37" i="9"/>
  <c r="AT37" i="9"/>
  <c r="AS37" i="9"/>
  <c r="AR37" i="9"/>
  <c r="AQ37" i="9"/>
  <c r="BA37" i="9"/>
  <c r="AZ37" i="9"/>
  <c r="AY37" i="9"/>
  <c r="AX37" i="9"/>
  <c r="AU24" i="9"/>
  <c r="AU22" i="9"/>
  <c r="AW50" i="9"/>
  <c r="AV39" i="9"/>
  <c r="AU39" i="9"/>
  <c r="AT39" i="9"/>
  <c r="AS39" i="9"/>
  <c r="AR39" i="9"/>
  <c r="AQ39" i="9"/>
  <c r="BA39" i="9"/>
  <c r="AZ39" i="9"/>
  <c r="AY39" i="9"/>
  <c r="AX39" i="9"/>
  <c r="AW39" i="9"/>
  <c r="AX48" i="9"/>
  <c r="AW56" i="9"/>
  <c r="AU44" i="9"/>
  <c r="AU21" i="9"/>
  <c r="AT21" i="9"/>
  <c r="AS21" i="9"/>
  <c r="AQ21" i="9"/>
  <c r="BA21" i="9"/>
  <c r="AZ21" i="9"/>
  <c r="AY21" i="9"/>
  <c r="AX21" i="9"/>
  <c r="AW21" i="9"/>
  <c r="AV21" i="9"/>
  <c r="AR21" i="9"/>
  <c r="AY48" i="9"/>
  <c r="AQ56" i="9"/>
  <c r="AX56" i="9"/>
  <c r="AU23" i="9"/>
  <c r="AT23" i="9"/>
  <c r="AS23" i="9"/>
  <c r="AR23" i="9"/>
  <c r="AQ23" i="9"/>
  <c r="AW23" i="9"/>
  <c r="AV23" i="9"/>
  <c r="AX23" i="9"/>
  <c r="BA23" i="9"/>
  <c r="AZ23" i="9"/>
  <c r="AY23" i="9"/>
  <c r="AZ48" i="9"/>
  <c r="AY56" i="9"/>
  <c r="AQ30" i="9"/>
  <c r="BA30" i="9"/>
  <c r="AZ30" i="9"/>
  <c r="AX30" i="9"/>
  <c r="AU30" i="9"/>
  <c r="AT30" i="9"/>
  <c r="AY30" i="9"/>
  <c r="AW30" i="9"/>
  <c r="AV30" i="9"/>
  <c r="AS30" i="9"/>
  <c r="AR30" i="9"/>
  <c r="BA48" i="9"/>
  <c r="C27" i="9" a="1"/>
  <c r="C27" i="9" s="1"/>
  <c r="AS38" i="9"/>
  <c r="AR22" i="9"/>
  <c r="AR24" i="9"/>
  <c r="AS22" i="9"/>
  <c r="BA50" i="9"/>
  <c r="BA36" i="9"/>
  <c r="AZ36" i="9"/>
  <c r="AY36" i="9"/>
  <c r="AX36" i="9"/>
  <c r="AW36" i="9"/>
  <c r="AV36" i="9"/>
  <c r="AU36" i="9"/>
  <c r="AT36" i="9"/>
  <c r="AS36" i="9"/>
  <c r="AR36" i="9"/>
  <c r="AQ36" i="9"/>
  <c r="AZ44" i="9"/>
  <c r="BA28" i="9"/>
  <c r="AZ28" i="9"/>
  <c r="AY28" i="9"/>
  <c r="AV28" i="9"/>
  <c r="AX28" i="9"/>
  <c r="AW28" i="9"/>
  <c r="AU28" i="9"/>
  <c r="AT28" i="9"/>
  <c r="AS28" i="9"/>
  <c r="AR28" i="9"/>
  <c r="AQ28" i="9"/>
  <c r="AR34" i="9"/>
  <c r="AQ53" i="9"/>
  <c r="AQ48" i="9"/>
  <c r="AQ23" i="6"/>
  <c r="C28" i="9" a="1"/>
  <c r="C28" i="9" s="1"/>
  <c r="AS26" i="9"/>
  <c r="AR26" i="9"/>
  <c r="AS34" i="9"/>
  <c r="AR29" i="9"/>
  <c r="C25" i="6" a="1"/>
  <c r="C25" i="6" s="1"/>
  <c r="C22" i="9"/>
  <c r="AX31" i="9"/>
  <c r="AW31" i="9"/>
  <c r="AV31" i="9"/>
  <c r="AU31" i="9"/>
  <c r="AT31" i="9"/>
  <c r="AS31" i="9"/>
  <c r="AR31" i="9"/>
  <c r="AQ31" i="9"/>
  <c r="BA31" i="9"/>
  <c r="AZ31" i="9"/>
  <c r="AY31" i="9"/>
  <c r="AR32" i="9"/>
  <c r="AS29" i="9"/>
  <c r="AX28" i="4"/>
  <c r="AX25" i="4"/>
  <c r="AX23" i="4"/>
  <c r="AU28" i="7"/>
  <c r="AU52" i="7" s="1"/>
  <c r="AU22" i="7"/>
  <c r="AW22" i="7"/>
  <c r="AW46" i="7" s="1"/>
  <c r="AX28" i="7"/>
  <c r="AX22" i="7"/>
  <c r="AX46" i="7" s="1"/>
  <c r="AY22" i="7"/>
  <c r="AY46" i="7" s="1"/>
  <c r="AY28" i="7"/>
  <c r="AY52" i="7" s="1"/>
  <c r="AV28" i="7"/>
  <c r="AV52" i="7" s="1"/>
  <c r="AR30" i="7"/>
  <c r="AR54" i="7" s="1"/>
  <c r="AZ22" i="7"/>
  <c r="AZ46" i="7" s="1"/>
  <c r="AQ20" i="6"/>
  <c r="AQ25" i="6"/>
  <c r="AQ39" i="6"/>
  <c r="AQ36" i="6"/>
  <c r="AD22" i="5"/>
  <c r="AD46" i="5" s="1"/>
  <c r="Z22" i="5"/>
  <c r="Z46" i="5" s="1"/>
  <c r="AZ25" i="4"/>
  <c r="AX36" i="4"/>
  <c r="AZ36" i="4"/>
  <c r="AZ28" i="4"/>
  <c r="BA20" i="4"/>
  <c r="AZ23" i="4"/>
  <c r="AQ36" i="4"/>
  <c r="AV28" i="4"/>
  <c r="AV20" i="4"/>
  <c r="AW25" i="4"/>
  <c r="AV25" i="4"/>
  <c r="AV23" i="4"/>
  <c r="AW23" i="4"/>
  <c r="AX20" i="4"/>
  <c r="AW20" i="4"/>
  <c r="AW28" i="4"/>
  <c r="L50" i="4"/>
  <c r="AT20" i="4"/>
  <c r="AY36" i="4"/>
  <c r="AV36" i="4"/>
  <c r="AU30" i="7"/>
  <c r="AU54" i="7" s="1"/>
  <c r="AW28" i="7"/>
  <c r="AU23" i="7"/>
  <c r="AU47" i="7" s="1"/>
  <c r="AZ23" i="7"/>
  <c r="AZ47" i="7" s="1"/>
  <c r="AW23" i="7"/>
  <c r="AX25" i="7"/>
  <c r="AU25" i="7"/>
  <c r="AU49" i="7" s="1"/>
  <c r="AT28" i="7"/>
  <c r="AT52" i="7" s="1"/>
  <c r="AY23" i="7"/>
  <c r="AY47" i="7" s="1"/>
  <c r="AW25" i="7"/>
  <c r="AW49" i="7" s="1"/>
  <c r="AS23" i="7"/>
  <c r="AS47" i="7" s="1"/>
  <c r="AX23" i="7"/>
  <c r="AX47" i="7" s="1"/>
  <c r="AQ28" i="7"/>
  <c r="AQ52" i="7" s="1"/>
  <c r="AY25" i="7"/>
  <c r="AY49" i="7" s="1"/>
  <c r="AV25" i="7"/>
  <c r="AV49" i="7" s="1"/>
  <c r="AR25" i="7"/>
  <c r="AR49" i="7" s="1"/>
  <c r="AT23" i="7"/>
  <c r="AT47" i="7" s="1"/>
  <c r="C28" i="6"/>
  <c r="C27" i="6"/>
  <c r="AR25" i="6"/>
  <c r="C26" i="6" a="1"/>
  <c r="C26" i="6" s="1"/>
  <c r="AP49" i="6"/>
  <c r="AY49" i="6"/>
  <c r="AT22" i="7"/>
  <c r="AT46" i="7" s="1"/>
  <c r="AT20" i="7"/>
  <c r="AT44" i="7" s="1"/>
  <c r="AQ23" i="7"/>
  <c r="AQ47" i="7" s="1"/>
  <c r="C26" i="7" a="1"/>
  <c r="C26" i="7" s="1"/>
  <c r="Z30" i="5"/>
  <c r="Z54" i="5" s="1"/>
  <c r="Z23" i="5"/>
  <c r="Z47" i="5" s="1"/>
  <c r="Z25" i="5"/>
  <c r="Z49" i="5" s="1"/>
  <c r="Z20" i="5"/>
  <c r="Z44" i="5" s="1"/>
  <c r="AD23" i="5"/>
  <c r="AD47" i="5" s="1"/>
  <c r="AF23" i="5"/>
  <c r="AF47" i="5" s="1"/>
  <c r="AD20" i="5"/>
  <c r="AD44" i="5" s="1"/>
  <c r="AF30" i="5"/>
  <c r="AF54" i="5" s="1"/>
  <c r="AQ39" i="7"/>
  <c r="AQ63" i="7" s="1"/>
  <c r="J9" i="7"/>
  <c r="K9" i="7" s="1"/>
  <c r="L9" i="7" s="1"/>
  <c r="M9" i="7" s="1"/>
  <c r="N9" i="7" s="1"/>
  <c r="O9" i="7" s="1"/>
  <c r="P9" i="7" s="1"/>
  <c r="Q9" i="7" s="1"/>
  <c r="R9" i="7" s="1"/>
  <c r="S9" i="7" s="1"/>
  <c r="AO38" i="8"/>
  <c r="AO62" i="8" s="1"/>
  <c r="AO30" i="8"/>
  <c r="AO54" i="8" s="1"/>
  <c r="AO20" i="8"/>
  <c r="AO44" i="8" s="1"/>
  <c r="AO35" i="8"/>
  <c r="AO59" i="8" s="1"/>
  <c r="AO27" i="8"/>
  <c r="AO51" i="8" s="1"/>
  <c r="AQ30" i="7"/>
  <c r="AQ54" i="7" s="1"/>
  <c r="AO21" i="8"/>
  <c r="AO45" i="8" s="1"/>
  <c r="AO24" i="8"/>
  <c r="AO48" i="8" s="1"/>
  <c r="AP22" i="7"/>
  <c r="AP46" i="7" s="1"/>
  <c r="AQ25" i="7"/>
  <c r="AQ49" i="7" s="1"/>
  <c r="AO26" i="8"/>
  <c r="AO50" i="8" s="1"/>
  <c r="AO37" i="8"/>
  <c r="AO61" i="8" s="1"/>
  <c r="AQ20" i="7"/>
  <c r="AQ44" i="7" s="1"/>
  <c r="BD44" i="7" s="1"/>
  <c r="AF25" i="5"/>
  <c r="AF49" i="5" s="1"/>
  <c r="AP30" i="7"/>
  <c r="AP54" i="7" s="1"/>
  <c r="AO23" i="8"/>
  <c r="AO47" i="8" s="1"/>
  <c r="AR28" i="7"/>
  <c r="AR52" i="7" s="1"/>
  <c r="AO22" i="8"/>
  <c r="AO46" i="8" s="1"/>
  <c r="AO39" i="8"/>
  <c r="AO63" i="8" s="1"/>
  <c r="AO29" i="8"/>
  <c r="AO53" i="8" s="1"/>
  <c r="AO32" i="8"/>
  <c r="AO56" i="8" s="1"/>
  <c r="AS22" i="7"/>
  <c r="AS46" i="7" s="1"/>
  <c r="AS25" i="7"/>
  <c r="AS49" i="7" s="1"/>
  <c r="AP25" i="7"/>
  <c r="AP49" i="7" s="1"/>
  <c r="AT23" i="4"/>
  <c r="C22" i="7"/>
  <c r="AQ22" i="7"/>
  <c r="AQ46" i="7" s="1"/>
  <c r="AO25" i="8"/>
  <c r="AO49" i="8" s="1"/>
  <c r="AD25" i="5"/>
  <c r="AD49" i="5" s="1"/>
  <c r="AD39" i="5"/>
  <c r="AD63" i="5" s="1"/>
  <c r="AO36" i="8"/>
  <c r="AO60" i="8" s="1"/>
  <c r="C21" i="8" a="1"/>
  <c r="C21" i="8" s="1"/>
  <c r="AF39" i="5"/>
  <c r="AF63" i="5" s="1"/>
  <c r="C22" i="8" a="1"/>
  <c r="C22" i="8" s="1"/>
  <c r="AR36" i="6"/>
  <c r="AR60" i="6" s="1"/>
  <c r="AP36" i="6"/>
  <c r="AP60" i="6" s="1"/>
  <c r="AR23" i="6"/>
  <c r="AR20" i="6"/>
  <c r="AR44" i="6" s="1"/>
  <c r="AP39" i="6"/>
  <c r="AP20" i="6"/>
  <c r="AP28" i="6"/>
  <c r="AP52" i="6" s="1"/>
  <c r="AP44" i="7"/>
  <c r="AY44" i="7"/>
  <c r="AV27" i="7"/>
  <c r="AU27" i="7"/>
  <c r="AT27" i="7"/>
  <c r="AS27" i="7"/>
  <c r="AR27" i="7"/>
  <c r="AQ27" i="7"/>
  <c r="AP27" i="7"/>
  <c r="AZ27" i="7"/>
  <c r="AY27" i="7"/>
  <c r="AX27" i="7"/>
  <c r="AW27" i="7"/>
  <c r="AR39" i="7"/>
  <c r="AS29" i="7"/>
  <c r="AR29" i="7"/>
  <c r="AQ29" i="7"/>
  <c r="AP29" i="7"/>
  <c r="AZ29" i="7"/>
  <c r="AY29" i="7"/>
  <c r="AX29" i="7"/>
  <c r="AW29" i="7"/>
  <c r="AV29" i="7"/>
  <c r="AU29" i="7"/>
  <c r="AT29" i="7"/>
  <c r="AV47" i="7"/>
  <c r="AX38" i="7"/>
  <c r="AW38" i="7"/>
  <c r="AV38" i="7"/>
  <c r="AU38" i="7"/>
  <c r="AT38" i="7"/>
  <c r="AS38" i="7"/>
  <c r="AR38" i="7"/>
  <c r="AQ38" i="7"/>
  <c r="AP38" i="7"/>
  <c r="AZ38" i="7"/>
  <c r="AY38" i="7"/>
  <c r="AZ52" i="7"/>
  <c r="AS39" i="7"/>
  <c r="AP34" i="7"/>
  <c r="AZ34" i="7"/>
  <c r="AY34" i="7"/>
  <c r="AX34" i="7"/>
  <c r="AW34" i="7"/>
  <c r="AV34" i="7"/>
  <c r="AU34" i="7"/>
  <c r="AT34" i="7"/>
  <c r="AS34" i="7"/>
  <c r="AR34" i="7"/>
  <c r="AQ34" i="7"/>
  <c r="AW52" i="7"/>
  <c r="AZ33" i="7"/>
  <c r="AY33" i="7"/>
  <c r="AX33" i="7"/>
  <c r="AW33" i="7"/>
  <c r="AV33" i="7"/>
  <c r="AU33" i="7"/>
  <c r="AT33" i="7"/>
  <c r="AS33" i="7"/>
  <c r="AR33" i="7"/>
  <c r="AQ33" i="7"/>
  <c r="AP33" i="7"/>
  <c r="AT39" i="7"/>
  <c r="AW44" i="7"/>
  <c r="AU63" i="7"/>
  <c r="AX54" i="7"/>
  <c r="AS24" i="7"/>
  <c r="AR24" i="7"/>
  <c r="AQ24" i="7"/>
  <c r="AP24" i="7"/>
  <c r="AZ24" i="7"/>
  <c r="AY24" i="7"/>
  <c r="AX24" i="7"/>
  <c r="AW24" i="7"/>
  <c r="AV24" i="7"/>
  <c r="AU24" i="7"/>
  <c r="AT24" i="7"/>
  <c r="AR20" i="7"/>
  <c r="AV63" i="7"/>
  <c r="AP26" i="7"/>
  <c r="AZ26" i="7"/>
  <c r="AY26" i="7"/>
  <c r="AX26" i="7"/>
  <c r="AW26" i="7"/>
  <c r="AV26" i="7"/>
  <c r="AU26" i="7"/>
  <c r="AT26" i="7"/>
  <c r="AS26" i="7"/>
  <c r="AR26" i="7"/>
  <c r="AQ26" i="7"/>
  <c r="AR37" i="7"/>
  <c r="AQ37" i="7"/>
  <c r="AP37" i="7"/>
  <c r="AZ37" i="7"/>
  <c r="AY37" i="7"/>
  <c r="AX37" i="7"/>
  <c r="AW37" i="7"/>
  <c r="AV37" i="7"/>
  <c r="AU37" i="7"/>
  <c r="AT37" i="7"/>
  <c r="AS37" i="7"/>
  <c r="AW47" i="7"/>
  <c r="AW63" i="7"/>
  <c r="AX49" i="7"/>
  <c r="AS30" i="7"/>
  <c r="AR23" i="7"/>
  <c r="AZ36" i="7"/>
  <c r="AY36" i="7"/>
  <c r="AX36" i="7"/>
  <c r="AW36" i="7"/>
  <c r="AV36" i="7"/>
  <c r="AU36" i="7"/>
  <c r="AT36" i="7"/>
  <c r="AS36" i="7"/>
  <c r="AR36" i="7"/>
  <c r="AQ36" i="7"/>
  <c r="AP36" i="7"/>
  <c r="AX63" i="7"/>
  <c r="AV54" i="7"/>
  <c r="AY63" i="7"/>
  <c r="AP21" i="7"/>
  <c r="AZ21" i="7"/>
  <c r="AY21" i="7"/>
  <c r="AX21" i="7"/>
  <c r="AW21" i="7"/>
  <c r="AV21" i="7"/>
  <c r="AU21" i="7"/>
  <c r="AT21" i="7"/>
  <c r="AS21" i="7"/>
  <c r="AR21" i="7"/>
  <c r="AQ21" i="7"/>
  <c r="AX52" i="7"/>
  <c r="AU44" i="7"/>
  <c r="C27" i="7" a="1"/>
  <c r="C27" i="7" s="1"/>
  <c r="AZ63" i="7"/>
  <c r="AX44" i="7"/>
  <c r="AP28" i="7"/>
  <c r="AP23" i="7"/>
  <c r="AS20" i="7"/>
  <c r="AR39" i="6"/>
  <c r="AR22" i="7"/>
  <c r="AT32" i="7"/>
  <c r="AS32" i="7"/>
  <c r="AR32" i="7"/>
  <c r="AQ32" i="7"/>
  <c r="AP32" i="7"/>
  <c r="AZ32" i="7"/>
  <c r="AY32" i="7"/>
  <c r="AX32" i="7"/>
  <c r="AW32" i="7"/>
  <c r="AV32" i="7"/>
  <c r="AU32" i="7"/>
  <c r="AS28" i="7"/>
  <c r="AF20" i="5"/>
  <c r="AF44" i="5" s="1"/>
  <c r="AO25" i="6"/>
  <c r="AZ31" i="7"/>
  <c r="AY31" i="7"/>
  <c r="AX31" i="7"/>
  <c r="AW31" i="7"/>
  <c r="AV31" i="7"/>
  <c r="AU31" i="7"/>
  <c r="AT31" i="7"/>
  <c r="AS31" i="7"/>
  <c r="AR31" i="7"/>
  <c r="AQ31" i="7"/>
  <c r="AP31" i="7"/>
  <c r="AW54" i="7"/>
  <c r="AT30" i="7"/>
  <c r="AV35" i="7"/>
  <c r="AU35" i="7"/>
  <c r="AT35" i="7"/>
  <c r="AS35" i="7"/>
  <c r="AR35" i="7"/>
  <c r="AQ35" i="7"/>
  <c r="AP35" i="7"/>
  <c r="AZ35" i="7"/>
  <c r="AY35" i="7"/>
  <c r="AX35" i="7"/>
  <c r="AW35" i="7"/>
  <c r="AY54" i="7"/>
  <c r="AV44" i="7"/>
  <c r="AP39" i="7"/>
  <c r="BA23" i="4"/>
  <c r="AP23" i="6"/>
  <c r="AP47" i="6" s="1"/>
  <c r="AU46" i="7"/>
  <c r="AT25" i="7"/>
  <c r="AT44" i="6"/>
  <c r="AS44" i="6"/>
  <c r="AO47" i="6"/>
  <c r="AW38" i="6"/>
  <c r="AV38" i="6"/>
  <c r="AU38" i="6"/>
  <c r="AT38" i="6"/>
  <c r="AS38" i="6"/>
  <c r="AR38" i="6"/>
  <c r="AQ38" i="6"/>
  <c r="AP38" i="6"/>
  <c r="AO38" i="6"/>
  <c r="AY38" i="6"/>
  <c r="AX38" i="6"/>
  <c r="AR29" i="6"/>
  <c r="AQ29" i="6"/>
  <c r="AP29" i="6"/>
  <c r="AO29" i="6"/>
  <c r="AY29" i="6"/>
  <c r="AX29" i="6"/>
  <c r="AW29" i="6"/>
  <c r="AV29" i="6"/>
  <c r="AU29" i="6"/>
  <c r="AT29" i="6"/>
  <c r="AS29" i="6"/>
  <c r="AX44" i="6"/>
  <c r="AQ63" i="6"/>
  <c r="AO36" i="6"/>
  <c r="AT25" i="6"/>
  <c r="AY44" i="6"/>
  <c r="AY31" i="6"/>
  <c r="AX31" i="6"/>
  <c r="AW31" i="6"/>
  <c r="AV31" i="6"/>
  <c r="AU31" i="6"/>
  <c r="AT31" i="6"/>
  <c r="AS31" i="6"/>
  <c r="AR31" i="6"/>
  <c r="AQ31" i="6"/>
  <c r="AP31" i="6"/>
  <c r="AO31" i="6"/>
  <c r="AR24" i="6"/>
  <c r="AQ24" i="6"/>
  <c r="AP24" i="6"/>
  <c r="AO24" i="6"/>
  <c r="AY24" i="6"/>
  <c r="AX24" i="6"/>
  <c r="AW24" i="6"/>
  <c r="AV24" i="6"/>
  <c r="AU24" i="6"/>
  <c r="AT24" i="6"/>
  <c r="AS24" i="6"/>
  <c r="AY33" i="6"/>
  <c r="AX33" i="6"/>
  <c r="AW33" i="6"/>
  <c r="AV33" i="6"/>
  <c r="AU33" i="6"/>
  <c r="AT33" i="6"/>
  <c r="AS33" i="6"/>
  <c r="AR33" i="6"/>
  <c r="AQ33" i="6"/>
  <c r="AP33" i="6"/>
  <c r="AO33" i="6"/>
  <c r="AQ47" i="6"/>
  <c r="AS39" i="6"/>
  <c r="AO28" i="6"/>
  <c r="AX49" i="6"/>
  <c r="AS32" i="6"/>
  <c r="AR32" i="6"/>
  <c r="AQ32" i="6"/>
  <c r="AP32" i="6"/>
  <c r="AO32" i="6"/>
  <c r="AY32" i="6"/>
  <c r="AX32" i="6"/>
  <c r="AW32" i="6"/>
  <c r="AV32" i="6"/>
  <c r="AU32" i="6"/>
  <c r="AT32" i="6"/>
  <c r="AY30" i="6"/>
  <c r="AX30" i="6"/>
  <c r="AW30" i="6"/>
  <c r="AV30" i="6"/>
  <c r="AU30" i="6"/>
  <c r="AT30" i="6"/>
  <c r="AS30" i="6"/>
  <c r="AR30" i="6"/>
  <c r="AQ30" i="6"/>
  <c r="AP30" i="6"/>
  <c r="AO30" i="6"/>
  <c r="AS23" i="6"/>
  <c r="AT39" i="6"/>
  <c r="AO34" i="6"/>
  <c r="AY34" i="6"/>
  <c r="AX34" i="6"/>
  <c r="AW34" i="6"/>
  <c r="AV34" i="6"/>
  <c r="AU34" i="6"/>
  <c r="AT34" i="6"/>
  <c r="AS34" i="6"/>
  <c r="AR34" i="6"/>
  <c r="AQ34" i="6"/>
  <c r="AP34" i="6"/>
  <c r="AT23" i="6"/>
  <c r="AU63" i="6"/>
  <c r="AQ60" i="6"/>
  <c r="AS25" i="6"/>
  <c r="AU47" i="6"/>
  <c r="AV63" i="6"/>
  <c r="AO26" i="6"/>
  <c r="AY26" i="6"/>
  <c r="AX26" i="6"/>
  <c r="AW26" i="6"/>
  <c r="AV26" i="6"/>
  <c r="AU26" i="6"/>
  <c r="AT26" i="6"/>
  <c r="AS26" i="6"/>
  <c r="AR26" i="6"/>
  <c r="AQ26" i="6"/>
  <c r="AP26" i="6"/>
  <c r="AV47" i="6"/>
  <c r="AW63" i="6"/>
  <c r="AQ52" i="6"/>
  <c r="AS36" i="6"/>
  <c r="AY25" i="4"/>
  <c r="BA36" i="4"/>
  <c r="AW49" i="6"/>
  <c r="AO20" i="6"/>
  <c r="AW47" i="6"/>
  <c r="AX63" i="6"/>
  <c r="AR52" i="6"/>
  <c r="AT36" i="6"/>
  <c r="BA25" i="4"/>
  <c r="AO21" i="6"/>
  <c r="AY21" i="6"/>
  <c r="AX21" i="6"/>
  <c r="AW21" i="6"/>
  <c r="AU21" i="6"/>
  <c r="AT21" i="6"/>
  <c r="I9" i="6"/>
  <c r="J9" i="6" s="1"/>
  <c r="K9" i="6" s="1"/>
  <c r="L9" i="6" s="1"/>
  <c r="M9" i="6" s="1"/>
  <c r="N9" i="6" s="1"/>
  <c r="O9" i="6" s="1"/>
  <c r="P9" i="6" s="1"/>
  <c r="Q9" i="6" s="1"/>
  <c r="R9" i="6" s="1"/>
  <c r="AV21" i="6"/>
  <c r="AS21" i="6"/>
  <c r="AR21" i="6"/>
  <c r="AQ21" i="6"/>
  <c r="AP21" i="6"/>
  <c r="AR49" i="6"/>
  <c r="AX47" i="6"/>
  <c r="AY63" i="6"/>
  <c r="AS28" i="6"/>
  <c r="AU60" i="6"/>
  <c r="AU35" i="6"/>
  <c r="AT35" i="6"/>
  <c r="AS35" i="6"/>
  <c r="AR35" i="6"/>
  <c r="AQ35" i="6"/>
  <c r="AP35" i="6"/>
  <c r="AO35" i="6"/>
  <c r="AY35" i="6"/>
  <c r="AX35" i="6"/>
  <c r="AV35" i="6"/>
  <c r="AW35" i="6"/>
  <c r="AQ44" i="6"/>
  <c r="AY47" i="6"/>
  <c r="AT28" i="6"/>
  <c r="AV60" i="6"/>
  <c r="AW44" i="6"/>
  <c r="AU27" i="6"/>
  <c r="AT27" i="6"/>
  <c r="AS27" i="6"/>
  <c r="AR27" i="6"/>
  <c r="AQ27" i="6"/>
  <c r="AP27" i="6"/>
  <c r="AO27" i="6"/>
  <c r="AY27" i="6"/>
  <c r="AX27" i="6"/>
  <c r="AW27" i="6"/>
  <c r="AV27" i="6"/>
  <c r="AU52" i="6"/>
  <c r="AW60" i="6"/>
  <c r="AV49" i="6"/>
  <c r="AQ49" i="6"/>
  <c r="AV52" i="6"/>
  <c r="AX60" i="6"/>
  <c r="AY28" i="4"/>
  <c r="AW52" i="6"/>
  <c r="AY60" i="6"/>
  <c r="AQ37" i="6"/>
  <c r="AP37" i="6"/>
  <c r="AO37" i="6"/>
  <c r="AY37" i="6"/>
  <c r="AX37" i="6"/>
  <c r="AW37" i="6"/>
  <c r="AV37" i="6"/>
  <c r="AU37" i="6"/>
  <c r="AT37" i="6"/>
  <c r="AS37" i="6"/>
  <c r="AR37" i="6"/>
  <c r="AU22" i="6"/>
  <c r="AT22" i="6"/>
  <c r="AS22" i="6"/>
  <c r="AR22" i="6"/>
  <c r="AQ22" i="6"/>
  <c r="AP22" i="6"/>
  <c r="AO22" i="6"/>
  <c r="AY22" i="6"/>
  <c r="AX22" i="6"/>
  <c r="AW22" i="6"/>
  <c r="AV22" i="6"/>
  <c r="AU44" i="6"/>
  <c r="AO39" i="6"/>
  <c r="C22" i="5" a="1"/>
  <c r="C22" i="5" s="1"/>
  <c r="AX52" i="6"/>
  <c r="BA28" i="4"/>
  <c r="AU49" i="6"/>
  <c r="AV44" i="6"/>
  <c r="AY52" i="6"/>
  <c r="AB20" i="5"/>
  <c r="AB44" i="5" s="1"/>
  <c r="Y30" i="5"/>
  <c r="Y54" i="5" s="1"/>
  <c r="Y25" i="5"/>
  <c r="Y49" i="5" s="1"/>
  <c r="Y20" i="5"/>
  <c r="Y44" i="5" s="1"/>
  <c r="AB22" i="5"/>
  <c r="AB46" i="5" s="1"/>
  <c r="AC39" i="5"/>
  <c r="AC63" i="5" s="1"/>
  <c r="C21" i="5" a="1"/>
  <c r="C21" i="5" s="1"/>
  <c r="AC22" i="5"/>
  <c r="AC46" i="5" s="1"/>
  <c r="Y22" i="5"/>
  <c r="Y46" i="5" s="1"/>
  <c r="AE23" i="5"/>
  <c r="AE47" i="5" s="1"/>
  <c r="AC30" i="5"/>
  <c r="AC54" i="5" s="1"/>
  <c r="AC20" i="5"/>
  <c r="AC44" i="5" s="1"/>
  <c r="AB30" i="5"/>
  <c r="AB54" i="5" s="1"/>
  <c r="AB25" i="5"/>
  <c r="AB49" i="5" s="1"/>
  <c r="AB39" i="5"/>
  <c r="AB63" i="5" s="1"/>
  <c r="AE44" i="5"/>
  <c r="AA44" i="5"/>
  <c r="AC47" i="5"/>
  <c r="AI31" i="5"/>
  <c r="AH31" i="5"/>
  <c r="AG31" i="5"/>
  <c r="AF31" i="5"/>
  <c r="AE31" i="5"/>
  <c r="AD31" i="5"/>
  <c r="AC31" i="5"/>
  <c r="AB31" i="5"/>
  <c r="AA31" i="5"/>
  <c r="Z31" i="5"/>
  <c r="Y31" i="5"/>
  <c r="AI33" i="5"/>
  <c r="AH33" i="5"/>
  <c r="AG33" i="5"/>
  <c r="AF33" i="5"/>
  <c r="AE33" i="5"/>
  <c r="AD33" i="5"/>
  <c r="AC33" i="5"/>
  <c r="AB33" i="5"/>
  <c r="AA33" i="5"/>
  <c r="Z33" i="5"/>
  <c r="Y33" i="5"/>
  <c r="AI49" i="5"/>
  <c r="AA39" i="5"/>
  <c r="AH54" i="5"/>
  <c r="AD54" i="5"/>
  <c r="AH47" i="5"/>
  <c r="AS25" i="4"/>
  <c r="AH44" i="5"/>
  <c r="AB24" i="5"/>
  <c r="AA24" i="5"/>
  <c r="Z24" i="5"/>
  <c r="Y24" i="5"/>
  <c r="AH24" i="5"/>
  <c r="AG24" i="5"/>
  <c r="AF24" i="5"/>
  <c r="AE24" i="5"/>
  <c r="AD24" i="5"/>
  <c r="AC24" i="5"/>
  <c r="AI36" i="5"/>
  <c r="AH36" i="5"/>
  <c r="AG36" i="5"/>
  <c r="AF36" i="5"/>
  <c r="AE36" i="5"/>
  <c r="AD36" i="5"/>
  <c r="AC36" i="5"/>
  <c r="AB36" i="5"/>
  <c r="AA36" i="5"/>
  <c r="Z36" i="5"/>
  <c r="Y36" i="5"/>
  <c r="AE39" i="5"/>
  <c r="AI28" i="5"/>
  <c r="AH28" i="5"/>
  <c r="AG28" i="5"/>
  <c r="AF28" i="5"/>
  <c r="AE28" i="5"/>
  <c r="AD28" i="5"/>
  <c r="AC28" i="5"/>
  <c r="AB28" i="5"/>
  <c r="AA28" i="5"/>
  <c r="Z28" i="5"/>
  <c r="Y28" i="5"/>
  <c r="AG63" i="5"/>
  <c r="C29" i="4"/>
  <c r="Y34" i="5"/>
  <c r="AI34" i="5"/>
  <c r="AH34" i="5"/>
  <c r="AG34" i="5"/>
  <c r="AF34" i="5"/>
  <c r="AE34" i="5"/>
  <c r="AD34" i="5"/>
  <c r="AC34" i="5"/>
  <c r="AB34" i="5"/>
  <c r="AA34" i="5"/>
  <c r="Z34" i="5"/>
  <c r="AY23" i="4"/>
  <c r="AA37" i="5"/>
  <c r="Z37" i="5"/>
  <c r="Y37" i="5"/>
  <c r="AI37" i="5"/>
  <c r="AH37" i="5"/>
  <c r="AG37" i="5"/>
  <c r="AF37" i="5"/>
  <c r="AE37" i="5"/>
  <c r="AD37" i="5"/>
  <c r="AC37" i="5"/>
  <c r="AB37" i="5"/>
  <c r="AG38" i="5"/>
  <c r="AF38" i="5"/>
  <c r="AE38" i="5"/>
  <c r="AD38" i="5"/>
  <c r="AC38" i="5"/>
  <c r="AB38" i="5"/>
  <c r="AA38" i="5"/>
  <c r="Z38" i="5"/>
  <c r="Y38" i="5"/>
  <c r="AI38" i="5"/>
  <c r="AH38" i="5"/>
  <c r="Y47" i="5"/>
  <c r="AH63" i="5"/>
  <c r="AE35" i="5"/>
  <c r="AD35" i="5"/>
  <c r="AC35" i="5"/>
  <c r="AB35" i="5"/>
  <c r="AA35" i="5"/>
  <c r="Z35" i="5"/>
  <c r="Y35" i="5"/>
  <c r="AI35" i="5"/>
  <c r="AH35" i="5"/>
  <c r="AG35" i="5"/>
  <c r="AF35" i="5"/>
  <c r="AI63" i="5"/>
  <c r="AH49" i="5"/>
  <c r="AR25" i="4"/>
  <c r="Y26" i="5"/>
  <c r="AI26" i="5"/>
  <c r="AH26" i="5"/>
  <c r="AG26" i="5"/>
  <c r="AF26" i="5"/>
  <c r="AE26" i="5"/>
  <c r="AD26" i="5"/>
  <c r="AC26" i="5"/>
  <c r="AB26" i="5"/>
  <c r="AA26" i="5"/>
  <c r="Z26" i="5"/>
  <c r="AE30" i="5"/>
  <c r="AA30" i="5"/>
  <c r="AI44" i="5"/>
  <c r="AG49" i="5"/>
  <c r="AE25" i="5"/>
  <c r="AA23" i="5"/>
  <c r="AE22" i="5"/>
  <c r="AI54" i="5"/>
  <c r="AB29" i="5"/>
  <c r="AA29" i="5"/>
  <c r="Z29" i="5"/>
  <c r="Y29" i="5"/>
  <c r="AI29" i="5"/>
  <c r="AH29" i="5"/>
  <c r="AG29" i="5"/>
  <c r="AF29" i="5"/>
  <c r="AE29" i="5"/>
  <c r="AD29" i="5"/>
  <c r="AC29" i="5"/>
  <c r="AG47" i="5"/>
  <c r="AC32" i="5"/>
  <c r="AB32" i="5"/>
  <c r="AA32" i="5"/>
  <c r="Z32" i="5"/>
  <c r="Y32" i="5"/>
  <c r="AI32" i="5"/>
  <c r="AH32" i="5"/>
  <c r="AG32" i="5"/>
  <c r="AF32" i="5"/>
  <c r="AE32" i="5"/>
  <c r="AD32" i="5"/>
  <c r="AE27" i="5"/>
  <c r="AD27" i="5"/>
  <c r="AC27" i="5"/>
  <c r="AB27" i="5"/>
  <c r="AA27" i="5"/>
  <c r="Z27" i="5"/>
  <c r="Y27" i="5"/>
  <c r="AI27" i="5"/>
  <c r="AH27" i="5"/>
  <c r="AG27" i="5"/>
  <c r="AF27" i="5"/>
  <c r="AA22" i="5"/>
  <c r="Y21" i="5"/>
  <c r="AI21" i="5"/>
  <c r="AH21" i="5"/>
  <c r="AG21" i="5"/>
  <c r="AF21" i="5"/>
  <c r="J9" i="5"/>
  <c r="K9" i="5" s="1"/>
  <c r="L9" i="5" s="1"/>
  <c r="M9" i="5" s="1"/>
  <c r="N9" i="5" s="1"/>
  <c r="O9" i="5" s="1"/>
  <c r="P9" i="5" s="1"/>
  <c r="Q9" i="5" s="1"/>
  <c r="R9" i="5" s="1"/>
  <c r="S9" i="5" s="1"/>
  <c r="AE21" i="5"/>
  <c r="AD21" i="5"/>
  <c r="AC21" i="5"/>
  <c r="AB21" i="5"/>
  <c r="AA21" i="5"/>
  <c r="Z21" i="5"/>
  <c r="AA25" i="5"/>
  <c r="AG44" i="5"/>
  <c r="Y39" i="5"/>
  <c r="AI47" i="5"/>
  <c r="AS23" i="4"/>
  <c r="AC25" i="5"/>
  <c r="AG54" i="5"/>
  <c r="C34" i="4" a="1"/>
  <c r="C34" i="4" s="1"/>
  <c r="AY39" i="4"/>
  <c r="AB47" i="5"/>
  <c r="Z63" i="5"/>
  <c r="AS63" i="4"/>
  <c r="AU63" i="4"/>
  <c r="AR63" i="4"/>
  <c r="AQ28" i="4"/>
  <c r="AS37" i="4"/>
  <c r="AR37" i="4"/>
  <c r="L59" i="4"/>
  <c r="AQ37" i="4"/>
  <c r="BA37" i="4"/>
  <c r="AZ37" i="4"/>
  <c r="AY37" i="4"/>
  <c r="AX37" i="4"/>
  <c r="AW37" i="4"/>
  <c r="AV37" i="4"/>
  <c r="AU37" i="4"/>
  <c r="AT37" i="4"/>
  <c r="AZ63" i="4"/>
  <c r="AW22" i="4"/>
  <c r="AV22" i="4"/>
  <c r="AU22" i="4"/>
  <c r="AT22" i="4"/>
  <c r="AS22" i="4"/>
  <c r="AR22" i="4"/>
  <c r="L44" i="4"/>
  <c r="AQ22" i="4"/>
  <c r="BA22" i="4"/>
  <c r="AY22" i="4"/>
  <c r="AX22" i="4"/>
  <c r="AZ22" i="4"/>
  <c r="AU23" i="4"/>
  <c r="BA63" i="4"/>
  <c r="AR28" i="4"/>
  <c r="AT29" i="4"/>
  <c r="AS29" i="4"/>
  <c r="AR29" i="4"/>
  <c r="L51" i="4"/>
  <c r="AQ29" i="4"/>
  <c r="BA29" i="4"/>
  <c r="AZ29" i="4"/>
  <c r="AY29" i="4"/>
  <c r="AX29" i="4"/>
  <c r="AW29" i="4"/>
  <c r="AV29" i="4"/>
  <c r="AU29" i="4"/>
  <c r="L45" i="4"/>
  <c r="L42" i="4"/>
  <c r="L58" i="4"/>
  <c r="AS28" i="4"/>
  <c r="BA31" i="4"/>
  <c r="AZ31" i="4"/>
  <c r="AY31" i="4"/>
  <c r="AX31" i="4"/>
  <c r="AW31" i="4"/>
  <c r="AV31" i="4"/>
  <c r="AU31" i="4"/>
  <c r="AT31" i="4"/>
  <c r="AS31" i="4"/>
  <c r="AR31" i="4"/>
  <c r="AQ31" i="4"/>
  <c r="L53" i="4"/>
  <c r="AR36" i="4"/>
  <c r="AT28" i="4"/>
  <c r="AT24" i="4"/>
  <c r="AS24" i="4"/>
  <c r="AR24" i="4"/>
  <c r="L46" i="4"/>
  <c r="AQ24" i="4"/>
  <c r="BA24" i="4"/>
  <c r="AZ24" i="4"/>
  <c r="AW24" i="4"/>
  <c r="AV24" i="4"/>
  <c r="AY24" i="4"/>
  <c r="AX24" i="4"/>
  <c r="AU24" i="4"/>
  <c r="L47" i="4"/>
  <c r="AQ20" i="4"/>
  <c r="AQ23" i="4"/>
  <c r="L61" i="4"/>
  <c r="AU28" i="4"/>
  <c r="AQ34" i="4"/>
  <c r="BA34" i="4"/>
  <c r="AZ34" i="4"/>
  <c r="AY34" i="4"/>
  <c r="AX34" i="4"/>
  <c r="AW34" i="4"/>
  <c r="AV34" i="4"/>
  <c r="AU34" i="4"/>
  <c r="AT34" i="4"/>
  <c r="AS34" i="4"/>
  <c r="AR34" i="4"/>
  <c r="L56" i="4"/>
  <c r="AY38" i="4"/>
  <c r="AX38" i="4"/>
  <c r="AW38" i="4"/>
  <c r="AV38" i="4"/>
  <c r="AU38" i="4"/>
  <c r="AT38" i="4"/>
  <c r="AS38" i="4"/>
  <c r="AR38" i="4"/>
  <c r="L60" i="4"/>
  <c r="AQ38" i="4"/>
  <c r="BA38" i="4"/>
  <c r="AZ38" i="4"/>
  <c r="AQ39" i="4"/>
  <c r="AS36" i="4"/>
  <c r="AU32" i="4"/>
  <c r="AT32" i="4"/>
  <c r="AS32" i="4"/>
  <c r="AR32" i="4"/>
  <c r="L54" i="4"/>
  <c r="AQ32" i="4"/>
  <c r="BA32" i="4"/>
  <c r="AZ32" i="4"/>
  <c r="AY32" i="4"/>
  <c r="AX32" i="4"/>
  <c r="AW32" i="4"/>
  <c r="AV32" i="4"/>
  <c r="AQ25" i="4"/>
  <c r="AS20" i="4"/>
  <c r="AT36" i="4"/>
  <c r="AQ26" i="4"/>
  <c r="BA26" i="4"/>
  <c r="AZ26" i="4"/>
  <c r="AY26" i="4"/>
  <c r="AX26" i="4"/>
  <c r="AW26" i="4"/>
  <c r="AU26" i="4"/>
  <c r="AT26" i="4"/>
  <c r="AV26" i="4"/>
  <c r="AS26" i="4"/>
  <c r="AR26" i="4"/>
  <c r="L48" i="4"/>
  <c r="AU20" i="4"/>
  <c r="AU36" i="4"/>
  <c r="AU25" i="4"/>
  <c r="BA33" i="4"/>
  <c r="AZ33" i="4"/>
  <c r="AY33" i="4"/>
  <c r="AX33" i="4"/>
  <c r="AW33" i="4"/>
  <c r="AV33" i="4"/>
  <c r="AU33" i="4"/>
  <c r="AT33" i="4"/>
  <c r="AS33" i="4"/>
  <c r="AR33" i="4"/>
  <c r="L55" i="4"/>
  <c r="AQ33" i="4"/>
  <c r="BA21" i="4"/>
  <c r="AY21" i="4"/>
  <c r="AQ21" i="4"/>
  <c r="L43" i="4"/>
  <c r="AX21" i="4"/>
  <c r="AV21" i="4"/>
  <c r="K9" i="4"/>
  <c r="L9" i="4" s="1"/>
  <c r="M9" i="4" s="1"/>
  <c r="N9" i="4" s="1"/>
  <c r="O9" i="4" s="1"/>
  <c r="P9" i="4" s="1"/>
  <c r="Q9" i="4" s="1"/>
  <c r="R9" i="4" s="1"/>
  <c r="S9" i="4" s="1"/>
  <c r="T9" i="4" s="1"/>
  <c r="AT21" i="4"/>
  <c r="AZ21" i="4"/>
  <c r="AW21" i="4"/>
  <c r="AU21" i="4"/>
  <c r="AS21" i="4"/>
  <c r="AR21" i="4"/>
  <c r="BA30" i="4"/>
  <c r="AZ30" i="4"/>
  <c r="AY30" i="4"/>
  <c r="AX30" i="4"/>
  <c r="AW30" i="4"/>
  <c r="AV30" i="4"/>
  <c r="AU30" i="4"/>
  <c r="AT30" i="4"/>
  <c r="AS30" i="4"/>
  <c r="AR30" i="4"/>
  <c r="L52" i="4"/>
  <c r="AQ30" i="4"/>
  <c r="AR20" i="4"/>
  <c r="AR23" i="4"/>
  <c r="AT39" i="4"/>
  <c r="AW60" i="4"/>
  <c r="AT25" i="4"/>
  <c r="C35" i="4" a="1"/>
  <c r="C35" i="4" s="1"/>
  <c r="AY20" i="4"/>
  <c r="AV63" i="4"/>
  <c r="AW35" i="4"/>
  <c r="AV35" i="4"/>
  <c r="AU35" i="4"/>
  <c r="AT35" i="4"/>
  <c r="AS35" i="4"/>
  <c r="AR35" i="4"/>
  <c r="L57" i="4"/>
  <c r="AQ35" i="4"/>
  <c r="BA35" i="4"/>
  <c r="AZ35" i="4"/>
  <c r="AX35" i="4"/>
  <c r="AY35" i="4"/>
  <c r="AZ44" i="4"/>
  <c r="AW63" i="4"/>
  <c r="AW27" i="4"/>
  <c r="AV27" i="4"/>
  <c r="AU27" i="4"/>
  <c r="AT27" i="4"/>
  <c r="AS27" i="4"/>
  <c r="AR27" i="4"/>
  <c r="L49" i="4"/>
  <c r="AQ27" i="4"/>
  <c r="BA27" i="4"/>
  <c r="AZ27" i="4"/>
  <c r="AY27" i="4"/>
  <c r="AX27" i="4"/>
  <c r="AX63" i="4"/>
  <c r="Q7" i="1"/>
  <c r="P5" i="1"/>
  <c r="P6" i="1" s="1"/>
  <c r="L7" i="1"/>
  <c r="H7" i="1"/>
  <c r="I7" i="1"/>
  <c r="O7" i="1"/>
  <c r="R7" i="1"/>
  <c r="V32" i="2" s="1"/>
  <c r="N7" i="1"/>
  <c r="M7" i="1"/>
  <c r="K7" i="1"/>
  <c r="J7" i="1"/>
  <c r="AA26" i="9" l="1"/>
  <c r="BN25" i="9"/>
  <c r="Y26" i="6"/>
  <c r="BL25" i="6"/>
  <c r="Z26" i="7"/>
  <c r="BM25" i="7"/>
  <c r="AV44" i="9"/>
  <c r="W20" i="9"/>
  <c r="AX44" i="9"/>
  <c r="Y20" i="9"/>
  <c r="Z21" i="9" s="1"/>
  <c r="AW44" i="9"/>
  <c r="X20" i="9"/>
  <c r="Y21" i="9" s="1"/>
  <c r="AA20" i="9"/>
  <c r="U20" i="9"/>
  <c r="V21" i="9" s="1"/>
  <c r="AR44" i="9"/>
  <c r="S20" i="9"/>
  <c r="V20" i="9"/>
  <c r="W21" i="9" s="1"/>
  <c r="AT44" i="9"/>
  <c r="T20" i="9"/>
  <c r="U21" i="9" s="1"/>
  <c r="AQ44" i="9"/>
  <c r="R21" i="9" s="1"/>
  <c r="R20" i="9"/>
  <c r="S21" i="9" s="1"/>
  <c r="Z20" i="9"/>
  <c r="AV47" i="4"/>
  <c r="T20" i="4"/>
  <c r="AV49" i="4"/>
  <c r="AW49" i="4"/>
  <c r="V20" i="4"/>
  <c r="BA60" i="4"/>
  <c r="BA47" i="4"/>
  <c r="AV44" i="4"/>
  <c r="W20" i="4"/>
  <c r="AY49" i="4"/>
  <c r="AV52" i="4"/>
  <c r="AR49" i="4"/>
  <c r="AQ60" i="4"/>
  <c r="AZ47" i="4"/>
  <c r="BA44" i="4"/>
  <c r="BN20" i="4" s="1"/>
  <c r="AV60" i="4"/>
  <c r="AZ52" i="4"/>
  <c r="AY52" i="4"/>
  <c r="AY60" i="4"/>
  <c r="AZ60" i="4"/>
  <c r="AY63" i="4"/>
  <c r="AT47" i="4"/>
  <c r="AT44" i="4"/>
  <c r="U20" i="4"/>
  <c r="AX60" i="4"/>
  <c r="Z20" i="4"/>
  <c r="AY47" i="4"/>
  <c r="AS49" i="4"/>
  <c r="AZ49" i="4"/>
  <c r="S20" i="4"/>
  <c r="R20" i="4"/>
  <c r="BA52" i="4"/>
  <c r="BA49" i="4"/>
  <c r="AW52" i="4"/>
  <c r="AX47" i="4"/>
  <c r="AW44" i="4"/>
  <c r="X20" i="4"/>
  <c r="AX49" i="4"/>
  <c r="AS47" i="4"/>
  <c r="AX44" i="4"/>
  <c r="Y20" i="4"/>
  <c r="AX52" i="4"/>
  <c r="AW47" i="4"/>
  <c r="U33" i="2"/>
  <c r="H17" i="2"/>
  <c r="H19" i="2"/>
  <c r="H18" i="2"/>
  <c r="L8" i="2" s="1"/>
  <c r="L32" i="2"/>
  <c r="M8" i="2"/>
  <c r="N9" i="2" s="1"/>
  <c r="O10" i="2" s="1"/>
  <c r="P11" i="2" s="1"/>
  <c r="Q12" i="2" s="1"/>
  <c r="R13" i="2" s="1"/>
  <c r="S14" i="2" s="1"/>
  <c r="T15" i="2" s="1"/>
  <c r="U16" i="2" s="1"/>
  <c r="V8" i="2"/>
  <c r="V33" i="2" s="1"/>
  <c r="U32" i="2"/>
  <c r="O8" i="2"/>
  <c r="P9" i="2" s="1"/>
  <c r="Q10" i="2" s="1"/>
  <c r="R11" i="2" s="1"/>
  <c r="N32" i="2"/>
  <c r="P8" i="2"/>
  <c r="Q9" i="2" s="1"/>
  <c r="R10" i="2" s="1"/>
  <c r="S11" i="2" s="1"/>
  <c r="T12" i="2" s="1"/>
  <c r="O32" i="2"/>
  <c r="R8" i="2"/>
  <c r="S9" i="2" s="1"/>
  <c r="T10" i="2" s="1"/>
  <c r="Q32" i="2"/>
  <c r="S8" i="2"/>
  <c r="T9" i="2" s="1"/>
  <c r="R32" i="2"/>
  <c r="Q8" i="2"/>
  <c r="R9" i="2" s="1"/>
  <c r="S10" i="2" s="1"/>
  <c r="P32" i="2"/>
  <c r="T8" i="2"/>
  <c r="S32" i="2"/>
  <c r="N8" i="2"/>
  <c r="O9" i="2" s="1"/>
  <c r="P10" i="2" s="1"/>
  <c r="Q11" i="2" s="1"/>
  <c r="R12" i="2" s="1"/>
  <c r="S13" i="2" s="1"/>
  <c r="T14" i="2" s="1"/>
  <c r="M32" i="2"/>
  <c r="V9" i="2"/>
  <c r="V34" i="2" s="1"/>
  <c r="C41" i="4"/>
  <c r="C40" i="4"/>
  <c r="C30" i="9"/>
  <c r="C29" i="9"/>
  <c r="AX55" i="9"/>
  <c r="AV52" i="9"/>
  <c r="AR60" i="9"/>
  <c r="AZ54" i="9"/>
  <c r="AZ47" i="9"/>
  <c r="AT45" i="9"/>
  <c r="BA63" i="9"/>
  <c r="AW59" i="9"/>
  <c r="AQ57" i="9"/>
  <c r="AR49" i="9"/>
  <c r="AY52" i="9"/>
  <c r="AS60" i="9"/>
  <c r="BA54" i="9"/>
  <c r="BA47" i="9"/>
  <c r="AU45" i="9"/>
  <c r="AQ63" i="9"/>
  <c r="AU48" i="9"/>
  <c r="AS44" i="9"/>
  <c r="AR57" i="9"/>
  <c r="AS49" i="9"/>
  <c r="AZ52" i="9"/>
  <c r="AT60" i="9"/>
  <c r="AR48" i="9"/>
  <c r="AQ54" i="9"/>
  <c r="AX47" i="9"/>
  <c r="AR63" i="9"/>
  <c r="AX61" i="9"/>
  <c r="AS57" i="9"/>
  <c r="AT49" i="9"/>
  <c r="BA52" i="9"/>
  <c r="AU60" i="9"/>
  <c r="AR46" i="9"/>
  <c r="AV47" i="9"/>
  <c r="AS63" i="9"/>
  <c r="AY61" i="9"/>
  <c r="AT57" i="9"/>
  <c r="AU49" i="9"/>
  <c r="AW47" i="9"/>
  <c r="AT63" i="9"/>
  <c r="AZ61" i="9"/>
  <c r="AU57" i="9"/>
  <c r="AX51" i="9"/>
  <c r="AY55" i="9"/>
  <c r="AR53" i="9"/>
  <c r="AR58" i="9"/>
  <c r="AV60" i="9"/>
  <c r="AQ47" i="9"/>
  <c r="BA61" i="9"/>
  <c r="AX59" i="9"/>
  <c r="AY51" i="9"/>
  <c r="AV49" i="9"/>
  <c r="AZ55" i="9"/>
  <c r="AW60" i="9"/>
  <c r="AR47" i="9"/>
  <c r="AR45" i="9"/>
  <c r="AU63" i="9"/>
  <c r="AQ61" i="9"/>
  <c r="AY59" i="9"/>
  <c r="AV57" i="9"/>
  <c r="AZ51" i="9"/>
  <c r="AS56" i="9"/>
  <c r="AW49" i="9"/>
  <c r="BA55" i="9"/>
  <c r="AX60" i="9"/>
  <c r="AR54" i="9"/>
  <c r="AS47" i="9"/>
  <c r="AV45" i="9"/>
  <c r="AV63" i="9"/>
  <c r="AR61" i="9"/>
  <c r="AZ59" i="9"/>
  <c r="AW57" i="9"/>
  <c r="BA51" i="9"/>
  <c r="AQ55" i="9"/>
  <c r="AS58" i="9"/>
  <c r="AQ52" i="9"/>
  <c r="AY60" i="9"/>
  <c r="AS54" i="9"/>
  <c r="AW45" i="9"/>
  <c r="AS61" i="9"/>
  <c r="BA59" i="9"/>
  <c r="AQ51" i="9"/>
  <c r="AR55" i="9"/>
  <c r="AR50" i="9"/>
  <c r="AR52" i="9"/>
  <c r="AZ60" i="9"/>
  <c r="AV54" i="9"/>
  <c r="AT47" i="9"/>
  <c r="AX45" i="9"/>
  <c r="AT61" i="9"/>
  <c r="AQ59" i="9"/>
  <c r="AR51" i="9"/>
  <c r="AS55" i="9"/>
  <c r="AS50" i="9"/>
  <c r="AS52" i="9"/>
  <c r="BA60" i="9"/>
  <c r="AS62" i="9"/>
  <c r="AW54" i="9"/>
  <c r="AU47" i="9"/>
  <c r="AY45" i="9"/>
  <c r="AU46" i="9"/>
  <c r="AU61" i="9"/>
  <c r="AR59" i="9"/>
  <c r="AS51" i="9"/>
  <c r="AT55" i="9"/>
  <c r="AT52" i="9"/>
  <c r="AY54" i="9"/>
  <c r="AZ45" i="9"/>
  <c r="AS59" i="9"/>
  <c r="AT51" i="9"/>
  <c r="AX49" i="9"/>
  <c r="AU55" i="9"/>
  <c r="AU52" i="9"/>
  <c r="AT54" i="9"/>
  <c r="BA45" i="9"/>
  <c r="AW63" i="9"/>
  <c r="AV61" i="9"/>
  <c r="AT59" i="9"/>
  <c r="AX57" i="9"/>
  <c r="AU53" i="9"/>
  <c r="AU51" i="9"/>
  <c r="AY49" i="9"/>
  <c r="AS53" i="9"/>
  <c r="AV55" i="9"/>
  <c r="AW52" i="9"/>
  <c r="AS46" i="9"/>
  <c r="AU54" i="9"/>
  <c r="AX63" i="9"/>
  <c r="AW61" i="9"/>
  <c r="AU59" i="9"/>
  <c r="AY57" i="9"/>
  <c r="AZ49" i="9"/>
  <c r="AR56" i="9"/>
  <c r="AX52" i="9"/>
  <c r="AQ45" i="9"/>
  <c r="AY63" i="9"/>
  <c r="AZ57" i="9"/>
  <c r="AV51" i="9"/>
  <c r="BA49" i="9"/>
  <c r="AW55" i="9"/>
  <c r="AQ60" i="9"/>
  <c r="AX54" i="9"/>
  <c r="AY47" i="9"/>
  <c r="AS45" i="9"/>
  <c r="AZ63" i="9"/>
  <c r="AV59" i="9"/>
  <c r="BA57" i="9"/>
  <c r="AW51" i="9"/>
  <c r="AQ49" i="9"/>
  <c r="C28" i="7"/>
  <c r="C29" i="7"/>
  <c r="Q21" i="8"/>
  <c r="R22" i="8" s="1"/>
  <c r="S23" i="8" s="1"/>
  <c r="T24" i="8" s="1"/>
  <c r="U25" i="8" s="1"/>
  <c r="V26" i="8" s="1"/>
  <c r="W27" i="8" s="1"/>
  <c r="X28" i="8" s="1"/>
  <c r="Q22" i="8"/>
  <c r="R23" i="8" s="1"/>
  <c r="S24" i="8" s="1"/>
  <c r="T25" i="8" s="1"/>
  <c r="U26" i="8" s="1"/>
  <c r="V27" i="8" s="1"/>
  <c r="W28" i="8" s="1"/>
  <c r="X29" i="8" s="1"/>
  <c r="AP44" i="6"/>
  <c r="AP63" i="6"/>
  <c r="AR47" i="6"/>
  <c r="AO49" i="6"/>
  <c r="AR63" i="6"/>
  <c r="C23" i="8"/>
  <c r="C24" i="8"/>
  <c r="W21" i="8"/>
  <c r="X22" i="8" s="1"/>
  <c r="V21" i="8"/>
  <c r="W22" i="8" s="1"/>
  <c r="X23" i="8" s="1"/>
  <c r="X21" i="8"/>
  <c r="U21" i="8"/>
  <c r="V22" i="8" s="1"/>
  <c r="W23" i="8" s="1"/>
  <c r="X24" i="8" s="1"/>
  <c r="T21" i="8"/>
  <c r="U22" i="8" s="1"/>
  <c r="V23" i="8" s="1"/>
  <c r="W24" i="8" s="1"/>
  <c r="X25" i="8" s="1"/>
  <c r="S21" i="8"/>
  <c r="T22" i="8" s="1"/>
  <c r="U23" i="8" s="1"/>
  <c r="V24" i="8" s="1"/>
  <c r="W25" i="8" s="1"/>
  <c r="X26" i="8" s="1"/>
  <c r="R21" i="8"/>
  <c r="S22" i="8" s="1"/>
  <c r="T23" i="8" s="1"/>
  <c r="U24" i="8" s="1"/>
  <c r="V25" i="8" s="1"/>
  <c r="W26" i="8" s="1"/>
  <c r="X27" i="8" s="1"/>
  <c r="AS59" i="7"/>
  <c r="AW55" i="7"/>
  <c r="AU60" i="7"/>
  <c r="AQ50" i="7"/>
  <c r="AU48" i="7"/>
  <c r="AS57" i="7"/>
  <c r="AT59" i="7"/>
  <c r="AX55" i="7"/>
  <c r="AR56" i="7"/>
  <c r="AV60" i="7"/>
  <c r="AV48" i="7"/>
  <c r="AT57" i="7"/>
  <c r="AR58" i="7"/>
  <c r="AU59" i="7"/>
  <c r="AY55" i="7"/>
  <c r="AS56" i="7"/>
  <c r="AQ45" i="7"/>
  <c r="AW60" i="7"/>
  <c r="AS61" i="7"/>
  <c r="AR50" i="7"/>
  <c r="AW48" i="7"/>
  <c r="AU57" i="7"/>
  <c r="AS58" i="7"/>
  <c r="AY62" i="7"/>
  <c r="AR63" i="7"/>
  <c r="AV59" i="7"/>
  <c r="AZ55" i="7"/>
  <c r="AT56" i="7"/>
  <c r="AX60" i="7"/>
  <c r="AT61" i="7"/>
  <c r="AS50" i="7"/>
  <c r="AX48" i="7"/>
  <c r="AV57" i="7"/>
  <c r="AT58" i="7"/>
  <c r="AZ62" i="7"/>
  <c r="AT53" i="7"/>
  <c r="AW51" i="7"/>
  <c r="AT54" i="7"/>
  <c r="AR46" i="7"/>
  <c r="AR45" i="7"/>
  <c r="AY60" i="7"/>
  <c r="AU61" i="7"/>
  <c r="AT50" i="7"/>
  <c r="AY48" i="7"/>
  <c r="AW57" i="7"/>
  <c r="AU58" i="7"/>
  <c r="AP62" i="7"/>
  <c r="AU53" i="7"/>
  <c r="AX51" i="7"/>
  <c r="AS45" i="7"/>
  <c r="AZ60" i="7"/>
  <c r="AV61" i="7"/>
  <c r="AU50" i="7"/>
  <c r="AZ48" i="7"/>
  <c r="AX57" i="7"/>
  <c r="AV58" i="7"/>
  <c r="AV53" i="7"/>
  <c r="AY51" i="7"/>
  <c r="AS52" i="7"/>
  <c r="AT45" i="7"/>
  <c r="AR47" i="7"/>
  <c r="AW61" i="7"/>
  <c r="AV50" i="7"/>
  <c r="AP48" i="7"/>
  <c r="AY57" i="7"/>
  <c r="AW58" i="7"/>
  <c r="AQ62" i="7"/>
  <c r="AW53" i="7"/>
  <c r="AZ51" i="7"/>
  <c r="AW59" i="7"/>
  <c r="AP55" i="7"/>
  <c r="AU56" i="7"/>
  <c r="AU45" i="7"/>
  <c r="AS54" i="7"/>
  <c r="AX61" i="7"/>
  <c r="AW50" i="7"/>
  <c r="AZ57" i="7"/>
  <c r="AX58" i="7"/>
  <c r="AX53" i="7"/>
  <c r="AP51" i="7"/>
  <c r="AX59" i="7"/>
  <c r="AV56" i="7"/>
  <c r="AS44" i="7"/>
  <c r="AV45" i="7"/>
  <c r="AY61" i="7"/>
  <c r="AX50" i="7"/>
  <c r="AQ48" i="7"/>
  <c r="AY58" i="7"/>
  <c r="AR62" i="7"/>
  <c r="AY53" i="7"/>
  <c r="AP63" i="7"/>
  <c r="AY59" i="7"/>
  <c r="AQ55" i="7"/>
  <c r="AW56" i="7"/>
  <c r="AW45" i="7"/>
  <c r="AP60" i="7"/>
  <c r="AZ61" i="7"/>
  <c r="AY50" i="7"/>
  <c r="AZ58" i="7"/>
  <c r="AS62" i="7"/>
  <c r="AZ53" i="7"/>
  <c r="AQ51" i="7"/>
  <c r="AT49" i="7"/>
  <c r="AZ59" i="7"/>
  <c r="AX56" i="7"/>
  <c r="AX45" i="7"/>
  <c r="AP61" i="7"/>
  <c r="AZ50" i="7"/>
  <c r="AR48" i="7"/>
  <c r="AT63" i="7"/>
  <c r="AP58" i="7"/>
  <c r="AT62" i="7"/>
  <c r="AP53" i="7"/>
  <c r="AP59" i="7"/>
  <c r="AR55" i="7"/>
  <c r="AY56" i="7"/>
  <c r="AP47" i="7"/>
  <c r="AY45" i="7"/>
  <c r="AQ60" i="7"/>
  <c r="AP50" i="7"/>
  <c r="AS48" i="7"/>
  <c r="AP57" i="7"/>
  <c r="AU62" i="7"/>
  <c r="AR51" i="7"/>
  <c r="AS55" i="7"/>
  <c r="AZ56" i="7"/>
  <c r="AP52" i="7"/>
  <c r="AZ45" i="7"/>
  <c r="AQ61" i="7"/>
  <c r="AV62" i="7"/>
  <c r="AQ53" i="7"/>
  <c r="AS51" i="7"/>
  <c r="AQ59" i="7"/>
  <c r="AT55" i="7"/>
  <c r="AP56" i="7"/>
  <c r="AP45" i="7"/>
  <c r="AR60" i="7"/>
  <c r="AQ57" i="7"/>
  <c r="AS63" i="7"/>
  <c r="AW62" i="7"/>
  <c r="AT51" i="7"/>
  <c r="AU55" i="7"/>
  <c r="AS60" i="7"/>
  <c r="AR61" i="7"/>
  <c r="AR44" i="7"/>
  <c r="AX62" i="7"/>
  <c r="AR53" i="7"/>
  <c r="AU51" i="7"/>
  <c r="AR59" i="7"/>
  <c r="AV55" i="7"/>
  <c r="AQ56" i="7"/>
  <c r="AT60" i="7"/>
  <c r="AT48" i="7"/>
  <c r="AR57" i="7"/>
  <c r="AQ58" i="7"/>
  <c r="AS53" i="7"/>
  <c r="AV51" i="7"/>
  <c r="AO63" i="6"/>
  <c r="AR61" i="6"/>
  <c r="AT51" i="6"/>
  <c r="AO59" i="6"/>
  <c r="AS60" i="6"/>
  <c r="AT50" i="6"/>
  <c r="AY58" i="6"/>
  <c r="AY54" i="6"/>
  <c r="AW57" i="6"/>
  <c r="AV53" i="6"/>
  <c r="AQ62" i="6"/>
  <c r="AO45" i="6"/>
  <c r="AS61" i="6"/>
  <c r="AU51" i="6"/>
  <c r="AT60" i="6"/>
  <c r="AU50" i="6"/>
  <c r="AO58" i="6"/>
  <c r="AT56" i="6"/>
  <c r="AX57" i="6"/>
  <c r="AO55" i="6"/>
  <c r="AW53" i="6"/>
  <c r="AR62" i="6"/>
  <c r="AT61" i="6"/>
  <c r="AP59" i="6"/>
  <c r="AP45" i="6"/>
  <c r="AV50" i="6"/>
  <c r="AT63" i="6"/>
  <c r="AU56" i="6"/>
  <c r="AO52" i="6"/>
  <c r="AY57" i="6"/>
  <c r="AP55" i="6"/>
  <c r="AX53" i="6"/>
  <c r="AS62" i="6"/>
  <c r="AX54" i="6"/>
  <c r="AV46" i="6"/>
  <c r="AU61" i="6"/>
  <c r="AQ45" i="6"/>
  <c r="AW50" i="6"/>
  <c r="AS47" i="6"/>
  <c r="AV56" i="6"/>
  <c r="AS63" i="6"/>
  <c r="AS48" i="6"/>
  <c r="AT49" i="6"/>
  <c r="AY53" i="6"/>
  <c r="AT62" i="6"/>
  <c r="AW46" i="6"/>
  <c r="AV61" i="6"/>
  <c r="AQ59" i="6"/>
  <c r="AR45" i="6"/>
  <c r="AX50" i="6"/>
  <c r="AT47" i="6"/>
  <c r="AO54" i="6"/>
  <c r="AW56" i="6"/>
  <c r="AT48" i="6"/>
  <c r="AQ55" i="6"/>
  <c r="AO60" i="6"/>
  <c r="AO53" i="6"/>
  <c r="AU62" i="6"/>
  <c r="AS50" i="6"/>
  <c r="AX46" i="6"/>
  <c r="AW61" i="6"/>
  <c r="AV51" i="6"/>
  <c r="AR59" i="6"/>
  <c r="AS45" i="6"/>
  <c r="AY50" i="6"/>
  <c r="AX56" i="6"/>
  <c r="AU48" i="6"/>
  <c r="AR55" i="6"/>
  <c r="AV62" i="6"/>
  <c r="AY46" i="6"/>
  <c r="AX61" i="6"/>
  <c r="AW51" i="6"/>
  <c r="AT52" i="6"/>
  <c r="AS59" i="6"/>
  <c r="AV45" i="6"/>
  <c r="AO50" i="6"/>
  <c r="AP54" i="6"/>
  <c r="AY56" i="6"/>
  <c r="AO57" i="6"/>
  <c r="AV48" i="6"/>
  <c r="AS55" i="6"/>
  <c r="AP53" i="6"/>
  <c r="AW62" i="6"/>
  <c r="AS51" i="6"/>
  <c r="AV57" i="6"/>
  <c r="AP58" i="6"/>
  <c r="AO56" i="6"/>
  <c r="AW48" i="6"/>
  <c r="AT55" i="6"/>
  <c r="AU46" i="6"/>
  <c r="AR48" i="6"/>
  <c r="AO61" i="6"/>
  <c r="AY51" i="6"/>
  <c r="AU59" i="6"/>
  <c r="AQ58" i="6"/>
  <c r="AQ54" i="6"/>
  <c r="AP57" i="6"/>
  <c r="AX48" i="6"/>
  <c r="AU55" i="6"/>
  <c r="AQ53" i="6"/>
  <c r="AP46" i="6"/>
  <c r="AO51" i="6"/>
  <c r="AR58" i="6"/>
  <c r="AR54" i="6"/>
  <c r="AP56" i="6"/>
  <c r="AY48" i="6"/>
  <c r="AV55" i="6"/>
  <c r="AR53" i="6"/>
  <c r="AX51" i="6"/>
  <c r="AP61" i="6"/>
  <c r="AT45" i="6"/>
  <c r="AS58" i="6"/>
  <c r="AS54" i="6"/>
  <c r="AQ57" i="6"/>
  <c r="AO48" i="6"/>
  <c r="AW55" i="6"/>
  <c r="AX62" i="6"/>
  <c r="AY59" i="6"/>
  <c r="AT59" i="6"/>
  <c r="AQ46" i="6"/>
  <c r="AP51" i="6"/>
  <c r="AS52" i="6"/>
  <c r="AU45" i="6"/>
  <c r="AO44" i="6"/>
  <c r="AT58" i="6"/>
  <c r="AT54" i="6"/>
  <c r="AQ56" i="6"/>
  <c r="AR57" i="6"/>
  <c r="AX55" i="6"/>
  <c r="AY62" i="6"/>
  <c r="AX58" i="6"/>
  <c r="AR46" i="6"/>
  <c r="AQ61" i="6"/>
  <c r="AW59" i="6"/>
  <c r="AW45" i="6"/>
  <c r="AP50" i="6"/>
  <c r="AU58" i="6"/>
  <c r="AU54" i="6"/>
  <c r="AR56" i="6"/>
  <c r="AS57" i="6"/>
  <c r="AP48" i="6"/>
  <c r="AY55" i="6"/>
  <c r="AO62" i="6"/>
  <c r="AU53" i="6"/>
  <c r="AO46" i="6"/>
  <c r="AS46" i="6"/>
  <c r="AQ51" i="6"/>
  <c r="AV59" i="6"/>
  <c r="AX45" i="6"/>
  <c r="AQ50" i="6"/>
  <c r="AS49" i="6"/>
  <c r="AV58" i="6"/>
  <c r="AV54" i="6"/>
  <c r="AS56" i="6"/>
  <c r="AT57" i="6"/>
  <c r="AS53" i="6"/>
  <c r="AY61" i="6"/>
  <c r="AT46" i="6"/>
  <c r="AR51" i="6"/>
  <c r="AX59" i="6"/>
  <c r="AY45" i="6"/>
  <c r="AR50" i="6"/>
  <c r="AW58" i="6"/>
  <c r="AW54" i="6"/>
  <c r="AU57" i="6"/>
  <c r="AQ48" i="6"/>
  <c r="AT53" i="6"/>
  <c r="AP62" i="6"/>
  <c r="C24" i="5"/>
  <c r="C23" i="5"/>
  <c r="AA45" i="5"/>
  <c r="Y51" i="5"/>
  <c r="AI53" i="5"/>
  <c r="AE50" i="5"/>
  <c r="AH59" i="5"/>
  <c r="AB61" i="5"/>
  <c r="AG52" i="5"/>
  <c r="Z60" i="5"/>
  <c r="AF48" i="5"/>
  <c r="AC57" i="5"/>
  <c r="AB55" i="5"/>
  <c r="AB45" i="5"/>
  <c r="Z56" i="5"/>
  <c r="Y53" i="5"/>
  <c r="AF50" i="5"/>
  <c r="AI59" i="5"/>
  <c r="AH62" i="5"/>
  <c r="AC61" i="5"/>
  <c r="AH52" i="5"/>
  <c r="AG48" i="5"/>
  <c r="AD57" i="5"/>
  <c r="AC55" i="5"/>
  <c r="AC45" i="5"/>
  <c r="Z51" i="5"/>
  <c r="AG50" i="5"/>
  <c r="Y59" i="5"/>
  <c r="AI62" i="5"/>
  <c r="AD61" i="5"/>
  <c r="Z58" i="5"/>
  <c r="AI52" i="5"/>
  <c r="AA60" i="5"/>
  <c r="AH48" i="5"/>
  <c r="AE57" i="5"/>
  <c r="AD55" i="5"/>
  <c r="AC49" i="5"/>
  <c r="AD45" i="5"/>
  <c r="AA56" i="5"/>
  <c r="Z53" i="5"/>
  <c r="AH50" i="5"/>
  <c r="Y62" i="5"/>
  <c r="AE61" i="5"/>
  <c r="AB60" i="5"/>
  <c r="AI48" i="5"/>
  <c r="AF57" i="5"/>
  <c r="AE55" i="5"/>
  <c r="AE45" i="5"/>
  <c r="AA51" i="5"/>
  <c r="AB56" i="5"/>
  <c r="AA54" i="5"/>
  <c r="AI50" i="5"/>
  <c r="Z59" i="5"/>
  <c r="AF61" i="5"/>
  <c r="AC60" i="5"/>
  <c r="Y48" i="5"/>
  <c r="AG57" i="5"/>
  <c r="AF55" i="5"/>
  <c r="AB51" i="5"/>
  <c r="AC56" i="5"/>
  <c r="AA53" i="5"/>
  <c r="Y50" i="5"/>
  <c r="Z62" i="5"/>
  <c r="AG61" i="5"/>
  <c r="AA58" i="5"/>
  <c r="AD60" i="5"/>
  <c r="AH57" i="5"/>
  <c r="AG55" i="5"/>
  <c r="AF45" i="5"/>
  <c r="AC51" i="5"/>
  <c r="AB53" i="5"/>
  <c r="AA59" i="5"/>
  <c r="AH61" i="5"/>
  <c r="AB58" i="5"/>
  <c r="Y52" i="5"/>
  <c r="AE60" i="5"/>
  <c r="Z48" i="5"/>
  <c r="AI57" i="5"/>
  <c r="AH55" i="5"/>
  <c r="AG45" i="5"/>
  <c r="AD51" i="5"/>
  <c r="AB59" i="5"/>
  <c r="AA62" i="5"/>
  <c r="AI61" i="5"/>
  <c r="AC58" i="5"/>
  <c r="AF60" i="5"/>
  <c r="AA63" i="5"/>
  <c r="AI55" i="5"/>
  <c r="AH45" i="5"/>
  <c r="AE51" i="5"/>
  <c r="AE54" i="5"/>
  <c r="AC59" i="5"/>
  <c r="AB62" i="5"/>
  <c r="Y61" i="5"/>
  <c r="AD58" i="5"/>
  <c r="Z52" i="5"/>
  <c r="AG60" i="5"/>
  <c r="AA48" i="5"/>
  <c r="Y63" i="5"/>
  <c r="AI45" i="5"/>
  <c r="AD56" i="5"/>
  <c r="AE46" i="5"/>
  <c r="Z50" i="5"/>
  <c r="AD59" i="5"/>
  <c r="AC62" i="5"/>
  <c r="AE58" i="5"/>
  <c r="AH60" i="5"/>
  <c r="AB48" i="5"/>
  <c r="Y45" i="5"/>
  <c r="AE56" i="5"/>
  <c r="AC53" i="5"/>
  <c r="AA47" i="5"/>
  <c r="AE59" i="5"/>
  <c r="AD62" i="5"/>
  <c r="Z61" i="5"/>
  <c r="AF58" i="5"/>
  <c r="AA52" i="5"/>
  <c r="AI60" i="5"/>
  <c r="Y57" i="5"/>
  <c r="AA46" i="5"/>
  <c r="AF56" i="5"/>
  <c r="AD53" i="5"/>
  <c r="AE49" i="5"/>
  <c r="AE62" i="5"/>
  <c r="AG58" i="5"/>
  <c r="AB52" i="5"/>
  <c r="AE63" i="5"/>
  <c r="Y55" i="5"/>
  <c r="AA49" i="5"/>
  <c r="AF51" i="5"/>
  <c r="AG56" i="5"/>
  <c r="AE53" i="5"/>
  <c r="AA50" i="5"/>
  <c r="AF62" i="5"/>
  <c r="AA61" i="5"/>
  <c r="AH58" i="5"/>
  <c r="AC52" i="5"/>
  <c r="Z57" i="5"/>
  <c r="AG51" i="5"/>
  <c r="AH56" i="5"/>
  <c r="AF53" i="5"/>
  <c r="AB50" i="5"/>
  <c r="AG62" i="5"/>
  <c r="AI58" i="5"/>
  <c r="AD52" i="5"/>
  <c r="AC48" i="5"/>
  <c r="Z55" i="5"/>
  <c r="Z45" i="5"/>
  <c r="AH51" i="5"/>
  <c r="AI56" i="5"/>
  <c r="AG53" i="5"/>
  <c r="AC50" i="5"/>
  <c r="AF59" i="5"/>
  <c r="Y58" i="5"/>
  <c r="AE52" i="5"/>
  <c r="Y60" i="5"/>
  <c r="AD48" i="5"/>
  <c r="AA57" i="5"/>
  <c r="AI51" i="5"/>
  <c r="Y56" i="5"/>
  <c r="AH53" i="5"/>
  <c r="AD50" i="5"/>
  <c r="AG59" i="5"/>
  <c r="AF52" i="5"/>
  <c r="AE48" i="5"/>
  <c r="AB57" i="5"/>
  <c r="AA55" i="5"/>
  <c r="AR59" i="4"/>
  <c r="AT63" i="4"/>
  <c r="AZ54" i="4"/>
  <c r="AT57" i="4"/>
  <c r="AT60" i="4"/>
  <c r="AT56" i="4"/>
  <c r="AX58" i="4"/>
  <c r="AV48" i="4"/>
  <c r="BA55" i="4"/>
  <c r="BA53" i="4"/>
  <c r="AZ46" i="4"/>
  <c r="AS61" i="4"/>
  <c r="BA54" i="4"/>
  <c r="AU57" i="4"/>
  <c r="AS44" i="4"/>
  <c r="AU56" i="4"/>
  <c r="AS62" i="4"/>
  <c r="AY58" i="4"/>
  <c r="AW48" i="4"/>
  <c r="AQ53" i="4"/>
  <c r="AX46" i="4"/>
  <c r="AQ52" i="4"/>
  <c r="AX51" i="4"/>
  <c r="AS59" i="4"/>
  <c r="AR45" i="4"/>
  <c r="AV57" i="4"/>
  <c r="AR50" i="4"/>
  <c r="AT62" i="4"/>
  <c r="AZ58" i="4"/>
  <c r="AZ48" i="4"/>
  <c r="AY46" i="4"/>
  <c r="AY51" i="4"/>
  <c r="AT59" i="4"/>
  <c r="AR47" i="4"/>
  <c r="AS45" i="4"/>
  <c r="AW57" i="4"/>
  <c r="AS50" i="4"/>
  <c r="AU62" i="4"/>
  <c r="BA58" i="4"/>
  <c r="BA48" i="4"/>
  <c r="AR53" i="4"/>
  <c r="BA46" i="4"/>
  <c r="AZ51" i="4"/>
  <c r="AU59" i="4"/>
  <c r="AR44" i="4"/>
  <c r="AU45" i="4"/>
  <c r="AX57" i="4"/>
  <c r="AV50" i="4"/>
  <c r="AQ49" i="4"/>
  <c r="AV62" i="4"/>
  <c r="AQ58" i="4"/>
  <c r="AQ48" i="4"/>
  <c r="AS52" i="4"/>
  <c r="AQ46" i="4"/>
  <c r="AT61" i="4"/>
  <c r="BA51" i="4"/>
  <c r="AV59" i="4"/>
  <c r="AQ54" i="4"/>
  <c r="AW45" i="4"/>
  <c r="AY57" i="4"/>
  <c r="AT50" i="4"/>
  <c r="AV56" i="4"/>
  <c r="AW62" i="4"/>
  <c r="AQ55" i="4"/>
  <c r="AS53" i="4"/>
  <c r="AU61" i="4"/>
  <c r="AQ51" i="4"/>
  <c r="AW59" i="4"/>
  <c r="AZ45" i="4"/>
  <c r="AZ57" i="4"/>
  <c r="AU50" i="4"/>
  <c r="AW56" i="4"/>
  <c r="AX62" i="4"/>
  <c r="AU52" i="4"/>
  <c r="AR48" i="4"/>
  <c r="AR55" i="4"/>
  <c r="AT53" i="4"/>
  <c r="AR46" i="4"/>
  <c r="AV61" i="4"/>
  <c r="AR54" i="4"/>
  <c r="AT45" i="4"/>
  <c r="BA57" i="4"/>
  <c r="AW50" i="4"/>
  <c r="AX56" i="4"/>
  <c r="AS60" i="4"/>
  <c r="AY62" i="4"/>
  <c r="AW61" i="4"/>
  <c r="AR51" i="4"/>
  <c r="AU49" i="4"/>
  <c r="AX50" i="4"/>
  <c r="AY56" i="4"/>
  <c r="AQ63" i="4"/>
  <c r="AQ47" i="4"/>
  <c r="AS48" i="4"/>
  <c r="AS55" i="4"/>
  <c r="AS46" i="4"/>
  <c r="AX61" i="4"/>
  <c r="AS54" i="4"/>
  <c r="AY50" i="4"/>
  <c r="AZ56" i="4"/>
  <c r="AQ44" i="4"/>
  <c r="R21" i="4" s="1"/>
  <c r="AT48" i="4"/>
  <c r="AT55" i="4"/>
  <c r="AT46" i="4"/>
  <c r="AY61" i="4"/>
  <c r="AS51" i="4"/>
  <c r="AY59" i="4"/>
  <c r="AY44" i="4"/>
  <c r="AT54" i="4"/>
  <c r="AV45" i="4"/>
  <c r="AZ50" i="4"/>
  <c r="BA56" i="4"/>
  <c r="AR58" i="4"/>
  <c r="AU55" i="4"/>
  <c r="AU53" i="4"/>
  <c r="AU46" i="4"/>
  <c r="AZ61" i="4"/>
  <c r="AT51" i="4"/>
  <c r="AX59" i="4"/>
  <c r="AU54" i="4"/>
  <c r="AX45" i="4"/>
  <c r="AQ57" i="4"/>
  <c r="BA50" i="4"/>
  <c r="AQ56" i="4"/>
  <c r="AZ62" i="4"/>
  <c r="AS58" i="4"/>
  <c r="AV55" i="4"/>
  <c r="AV53" i="4"/>
  <c r="AV46" i="4"/>
  <c r="BA61" i="4"/>
  <c r="AU51" i="4"/>
  <c r="AZ59" i="4"/>
  <c r="AT49" i="4"/>
  <c r="AV54" i="4"/>
  <c r="AQ50" i="4"/>
  <c r="BA62" i="4"/>
  <c r="AT58" i="4"/>
  <c r="AT52" i="4"/>
  <c r="AW55" i="4"/>
  <c r="AW53" i="4"/>
  <c r="AR52" i="4"/>
  <c r="AW46" i="4"/>
  <c r="AQ61" i="4"/>
  <c r="AV51" i="4"/>
  <c r="BA59" i="4"/>
  <c r="AW54" i="4"/>
  <c r="AQ45" i="4"/>
  <c r="AR57" i="4"/>
  <c r="AR56" i="4"/>
  <c r="AQ62" i="4"/>
  <c r="AU58" i="4"/>
  <c r="AU48" i="4"/>
  <c r="AR60" i="4"/>
  <c r="AX55" i="4"/>
  <c r="AX53" i="4"/>
  <c r="AW51" i="4"/>
  <c r="AQ59" i="4"/>
  <c r="AX54" i="4"/>
  <c r="AY45" i="4"/>
  <c r="AU60" i="4"/>
  <c r="AV58" i="4"/>
  <c r="AX48" i="4"/>
  <c r="AY55" i="4"/>
  <c r="AY53" i="4"/>
  <c r="AR61" i="4"/>
  <c r="AY54" i="4"/>
  <c r="BA45" i="4"/>
  <c r="AS57" i="4"/>
  <c r="AU44" i="4"/>
  <c r="AS56" i="4"/>
  <c r="AR62" i="4"/>
  <c r="AW58" i="4"/>
  <c r="AY48" i="4"/>
  <c r="AZ55" i="4"/>
  <c r="AZ53" i="4"/>
  <c r="AU47" i="4"/>
  <c r="AA21" i="4" l="1"/>
  <c r="BN21" i="4" s="1"/>
  <c r="BN26" i="9"/>
  <c r="AA27" i="9"/>
  <c r="Y27" i="6"/>
  <c r="BL26" i="6"/>
  <c r="BM26" i="7"/>
  <c r="Z27" i="7"/>
  <c r="BK20" i="4"/>
  <c r="BI20" i="4"/>
  <c r="BL20" i="4"/>
  <c r="BF20" i="4"/>
  <c r="BH20" i="4"/>
  <c r="BE21" i="4"/>
  <c r="BJ20" i="4"/>
  <c r="BG20" i="4"/>
  <c r="BE20" i="4"/>
  <c r="BE44" i="4" s="1"/>
  <c r="BM20" i="4"/>
  <c r="BD20" i="4"/>
  <c r="T22" i="9"/>
  <c r="BD44" i="9"/>
  <c r="W22" i="9"/>
  <c r="Z22" i="9"/>
  <c r="S22" i="9"/>
  <c r="V22" i="9"/>
  <c r="X22" i="9"/>
  <c r="BM45" i="9"/>
  <c r="T21" i="9"/>
  <c r="BE44" i="9"/>
  <c r="X21" i="9"/>
  <c r="T21" i="4"/>
  <c r="BG21" i="4" s="1"/>
  <c r="Y21" i="4"/>
  <c r="BL21" i="4" s="1"/>
  <c r="Z21" i="4"/>
  <c r="X21" i="4"/>
  <c r="BK21" i="4" s="1"/>
  <c r="W21" i="4"/>
  <c r="BJ21" i="4" s="1"/>
  <c r="U21" i="4"/>
  <c r="BH21" i="4" s="1"/>
  <c r="V21" i="4"/>
  <c r="BI21" i="4" s="1"/>
  <c r="S22" i="4"/>
  <c r="BF22" i="4" s="1"/>
  <c r="S21" i="4"/>
  <c r="BF21" i="4" s="1"/>
  <c r="N33" i="2"/>
  <c r="Q37" i="2"/>
  <c r="M33" i="2"/>
  <c r="S33" i="2"/>
  <c r="R35" i="2"/>
  <c r="U15" i="2"/>
  <c r="T39" i="2"/>
  <c r="R38" i="2"/>
  <c r="R34" i="2"/>
  <c r="U9" i="2"/>
  <c r="T33" i="2"/>
  <c r="T40" i="2"/>
  <c r="Q34" i="2"/>
  <c r="T11" i="2"/>
  <c r="S35" i="2"/>
  <c r="Q33" i="2"/>
  <c r="R37" i="2"/>
  <c r="L9" i="2"/>
  <c r="P34" i="2"/>
  <c r="Q35" i="2"/>
  <c r="U10" i="2"/>
  <c r="T34" i="2"/>
  <c r="O35" i="2"/>
  <c r="P35" i="2"/>
  <c r="P33" i="2"/>
  <c r="S39" i="2"/>
  <c r="S36" i="2"/>
  <c r="L33" i="2"/>
  <c r="N34" i="2"/>
  <c r="M9" i="2"/>
  <c r="M34" i="2" s="1"/>
  <c r="U11" i="2"/>
  <c r="T35" i="2"/>
  <c r="S38" i="2"/>
  <c r="O34" i="2"/>
  <c r="P36" i="2"/>
  <c r="R33" i="2"/>
  <c r="U13" i="2"/>
  <c r="T37" i="2"/>
  <c r="O33" i="2"/>
  <c r="S34" i="2"/>
  <c r="Q36" i="2"/>
  <c r="V17" i="2"/>
  <c r="V42" i="2" s="1"/>
  <c r="U41" i="2"/>
  <c r="S12" i="2"/>
  <c r="R36" i="2"/>
  <c r="C37" i="4"/>
  <c r="C38" i="4" s="1"/>
  <c r="C39" i="4" s="1"/>
  <c r="BI45" i="9"/>
  <c r="BF45" i="9"/>
  <c r="BG44" i="9"/>
  <c r="BJ44" i="9"/>
  <c r="BM44" i="7"/>
  <c r="BH44" i="9"/>
  <c r="BJ50" i="7"/>
  <c r="BC45" i="6"/>
  <c r="BD46" i="6"/>
  <c r="BE47" i="6"/>
  <c r="BB44" i="6"/>
  <c r="M20" i="8"/>
  <c r="L20" i="8"/>
  <c r="O21" i="8" s="1"/>
  <c r="P22" i="8" s="1"/>
  <c r="Q23" i="8" s="1"/>
  <c r="R24" i="8" s="1"/>
  <c r="S25" i="8" s="1"/>
  <c r="T26" i="8" s="1"/>
  <c r="U27" i="8" s="1"/>
  <c r="V28" i="8" s="1"/>
  <c r="W29" i="8" s="1"/>
  <c r="X30" i="8" s="1"/>
  <c r="BE45" i="7"/>
  <c r="BF44" i="7"/>
  <c r="BF46" i="7"/>
  <c r="BE44" i="7"/>
  <c r="BL44" i="6"/>
  <c r="BM21" i="4" l="1"/>
  <c r="AA22" i="4"/>
  <c r="BN22" i="4" s="1"/>
  <c r="BN27" i="9"/>
  <c r="AA28" i="9"/>
  <c r="Y28" i="6"/>
  <c r="BL27" i="6"/>
  <c r="BM27" i="7"/>
  <c r="BM51" i="7" s="1"/>
  <c r="Z28" i="7"/>
  <c r="Y22" i="9"/>
  <c r="U22" i="9"/>
  <c r="W23" i="9"/>
  <c r="Y23" i="9"/>
  <c r="U23" i="9"/>
  <c r="BG46" i="9"/>
  <c r="T23" i="9"/>
  <c r="BM46" i="9"/>
  <c r="X23" i="9"/>
  <c r="BJ46" i="9"/>
  <c r="BF44" i="9"/>
  <c r="BF45" i="4"/>
  <c r="X22" i="4"/>
  <c r="BK22" i="4" s="1"/>
  <c r="Y22" i="4"/>
  <c r="BL22" i="4" s="1"/>
  <c r="T23" i="4"/>
  <c r="BG23" i="4" s="1"/>
  <c r="V22" i="4"/>
  <c r="BI22" i="4" s="1"/>
  <c r="T22" i="4"/>
  <c r="BG22" i="4" s="1"/>
  <c r="Z22" i="4"/>
  <c r="BM22" i="4" s="1"/>
  <c r="U22" i="4"/>
  <c r="BH22" i="4" s="1"/>
  <c r="W22" i="4"/>
  <c r="BJ22" i="4" s="1"/>
  <c r="U12" i="2"/>
  <c r="T36" i="2"/>
  <c r="V10" i="2"/>
  <c r="V35" i="2" s="1"/>
  <c r="U34" i="2"/>
  <c r="L10" i="2"/>
  <c r="L34" i="2"/>
  <c r="M10" i="2"/>
  <c r="N10" i="2"/>
  <c r="V12" i="2"/>
  <c r="V37" i="2" s="1"/>
  <c r="U36" i="2"/>
  <c r="V16" i="2"/>
  <c r="V41" i="2" s="1"/>
  <c r="U40" i="2"/>
  <c r="V14" i="2"/>
  <c r="V39" i="2" s="1"/>
  <c r="U38" i="2"/>
  <c r="V11" i="2"/>
  <c r="V36" i="2" s="1"/>
  <c r="U35" i="2"/>
  <c r="T13" i="2"/>
  <c r="S37" i="2"/>
  <c r="BD44" i="4"/>
  <c r="BL44" i="9"/>
  <c r="N20" i="9"/>
  <c r="Q21" i="9" s="1"/>
  <c r="BK44" i="9"/>
  <c r="O20" i="9"/>
  <c r="BN46" i="9"/>
  <c r="BG45" i="9"/>
  <c r="BN44" i="9"/>
  <c r="BH45" i="9"/>
  <c r="BM44" i="9"/>
  <c r="BL45" i="9"/>
  <c r="BI46" i="9"/>
  <c r="BK45" i="9"/>
  <c r="BI44" i="9"/>
  <c r="BI47" i="7"/>
  <c r="BG47" i="7"/>
  <c r="BI49" i="7"/>
  <c r="BG45" i="7"/>
  <c r="BH46" i="7"/>
  <c r="BH48" i="7"/>
  <c r="BJ48" i="7"/>
  <c r="BK49" i="7"/>
  <c r="BI51" i="6"/>
  <c r="BH50" i="6"/>
  <c r="BF48" i="6"/>
  <c r="BD45" i="6"/>
  <c r="BE44" i="6"/>
  <c r="BD44" i="6"/>
  <c r="BF44" i="6"/>
  <c r="BI44" i="6"/>
  <c r="BL45" i="6"/>
  <c r="BK44" i="6"/>
  <c r="BJ52" i="6"/>
  <c r="BG44" i="6"/>
  <c r="BC44" i="6"/>
  <c r="BH44" i="6"/>
  <c r="BJ44" i="6"/>
  <c r="BG49" i="6"/>
  <c r="M21" i="8"/>
  <c r="L21" i="8"/>
  <c r="O22" i="8" s="1"/>
  <c r="P23" i="8" s="1"/>
  <c r="Q24" i="8" s="1"/>
  <c r="R25" i="8" s="1"/>
  <c r="S26" i="8" s="1"/>
  <c r="T27" i="8" s="1"/>
  <c r="U28" i="8" s="1"/>
  <c r="V29" i="8" s="1"/>
  <c r="W30" i="8" s="1"/>
  <c r="X31" i="8" s="1"/>
  <c r="BL50" i="7"/>
  <c r="N20" i="7"/>
  <c r="BG46" i="7"/>
  <c r="BH44" i="7"/>
  <c r="BK44" i="7"/>
  <c r="M20" i="7"/>
  <c r="P21" i="7" s="1"/>
  <c r="Q22" i="7" s="1"/>
  <c r="R23" i="7" s="1"/>
  <c r="S24" i="7" s="1"/>
  <c r="T25" i="7" s="1"/>
  <c r="U26" i="7" s="1"/>
  <c r="V27" i="7" s="1"/>
  <c r="W28" i="7" s="1"/>
  <c r="X29" i="7" s="1"/>
  <c r="Y30" i="7" s="1"/>
  <c r="BL52" i="7"/>
  <c r="BK51" i="7"/>
  <c r="BJ44" i="7"/>
  <c r="BF45" i="7"/>
  <c r="BI44" i="7"/>
  <c r="BG44" i="7"/>
  <c r="BL44" i="7"/>
  <c r="M20" i="6"/>
  <c r="L20" i="6"/>
  <c r="O21" i="6" s="1"/>
  <c r="P22" i="6" s="1"/>
  <c r="Q23" i="6" s="1"/>
  <c r="R24" i="6" s="1"/>
  <c r="S25" i="6" s="1"/>
  <c r="T26" i="6" s="1"/>
  <c r="U27" i="6" s="1"/>
  <c r="V28" i="6" s="1"/>
  <c r="W29" i="6" s="1"/>
  <c r="X30" i="6" s="1"/>
  <c r="BH44" i="4"/>
  <c r="O20" i="4"/>
  <c r="K42" i="4" s="1"/>
  <c r="N20" i="4"/>
  <c r="Q21" i="4" s="1"/>
  <c r="BD21" i="4" s="1"/>
  <c r="BN44" i="4"/>
  <c r="BK44" i="4"/>
  <c r="BJ44" i="4"/>
  <c r="BG44" i="4"/>
  <c r="BF44" i="4"/>
  <c r="BI44" i="4"/>
  <c r="BL44" i="4"/>
  <c r="BM44" i="4"/>
  <c r="BI45" i="4"/>
  <c r="AA23" i="4" l="1"/>
  <c r="BN23" i="4" s="1"/>
  <c r="AA29" i="9"/>
  <c r="BN28" i="9"/>
  <c r="Y29" i="6"/>
  <c r="BL28" i="6"/>
  <c r="Z29" i="7"/>
  <c r="BM28" i="7"/>
  <c r="V24" i="9"/>
  <c r="BH47" i="9"/>
  <c r="Y24" i="9"/>
  <c r="BK47" i="9"/>
  <c r="Z24" i="9"/>
  <c r="R22" i="9"/>
  <c r="BD45" i="9"/>
  <c r="V23" i="9"/>
  <c r="BH46" i="9"/>
  <c r="U24" i="9"/>
  <c r="X24" i="9"/>
  <c r="BJ47" i="9"/>
  <c r="Z23" i="9"/>
  <c r="BL46" i="9"/>
  <c r="L20" i="9"/>
  <c r="M20" i="9" s="1"/>
  <c r="W23" i="4"/>
  <c r="BJ23" i="4" s="1"/>
  <c r="U24" i="4"/>
  <c r="BH24" i="4" s="1"/>
  <c r="Z23" i="4"/>
  <c r="BM23" i="4" s="1"/>
  <c r="U23" i="4"/>
  <c r="BH23" i="4" s="1"/>
  <c r="BG46" i="4"/>
  <c r="X23" i="4"/>
  <c r="BK23" i="4" s="1"/>
  <c r="BJ46" i="4"/>
  <c r="V23" i="4"/>
  <c r="BI23" i="4" s="1"/>
  <c r="Y23" i="4"/>
  <c r="BL23" i="4" s="1"/>
  <c r="R22" i="4"/>
  <c r="BE22" i="4" s="1"/>
  <c r="BD45" i="4"/>
  <c r="N11" i="2"/>
  <c r="M35" i="2"/>
  <c r="L11" i="2"/>
  <c r="N35" i="2"/>
  <c r="L35" i="2"/>
  <c r="M11" i="2"/>
  <c r="O11" i="2"/>
  <c r="P12" i="2" s="1"/>
  <c r="V13" i="2"/>
  <c r="V38" i="2" s="1"/>
  <c r="U37" i="2"/>
  <c r="U14" i="2"/>
  <c r="T38" i="2"/>
  <c r="L20" i="4"/>
  <c r="M20" i="4" s="1"/>
  <c r="O21" i="9"/>
  <c r="BJ45" i="9"/>
  <c r="BN45" i="9"/>
  <c r="BF46" i="9"/>
  <c r="BN47" i="9"/>
  <c r="N21" i="9"/>
  <c r="Q22" i="9" s="1"/>
  <c r="BD22" i="9" s="1"/>
  <c r="BB45" i="6"/>
  <c r="BF45" i="6"/>
  <c r="BK53" i="6"/>
  <c r="BJ45" i="6"/>
  <c r="BG45" i="6"/>
  <c r="BE45" i="6"/>
  <c r="BL46" i="6"/>
  <c r="BK45" i="6"/>
  <c r="BI45" i="6"/>
  <c r="BH45" i="6"/>
  <c r="BE46" i="6"/>
  <c r="M22" i="8"/>
  <c r="L22" i="8"/>
  <c r="O23" i="8" s="1"/>
  <c r="P24" i="8" s="1"/>
  <c r="Q25" i="8" s="1"/>
  <c r="R26" i="8" s="1"/>
  <c r="S27" i="8" s="1"/>
  <c r="T28" i="8" s="1"/>
  <c r="U29" i="8" s="1"/>
  <c r="V30" i="8" s="1"/>
  <c r="W31" i="8" s="1"/>
  <c r="X32" i="8" s="1"/>
  <c r="Y33" i="8" s="1"/>
  <c r="BJ45" i="7"/>
  <c r="BK45" i="7"/>
  <c r="BL45" i="7"/>
  <c r="BM45" i="7"/>
  <c r="BI45" i="7"/>
  <c r="N21" i="7"/>
  <c r="M21" i="7"/>
  <c r="P22" i="7" s="1"/>
  <c r="BD45" i="7"/>
  <c r="BH45" i="7"/>
  <c r="BH47" i="7"/>
  <c r="L21" i="6"/>
  <c r="O22" i="6" s="1"/>
  <c r="M21" i="6"/>
  <c r="BJ45" i="4"/>
  <c r="BH45" i="4"/>
  <c r="BK45" i="4"/>
  <c r="BN45" i="4"/>
  <c r="BL45" i="4"/>
  <c r="N21" i="4"/>
  <c r="Q22" i="4" s="1"/>
  <c r="O21" i="4"/>
  <c r="K43" i="4" s="1"/>
  <c r="BM45" i="4"/>
  <c r="BG45" i="4"/>
  <c r="AA24" i="4" l="1"/>
  <c r="BN24" i="4" s="1"/>
  <c r="AA30" i="9"/>
  <c r="BN29" i="9"/>
  <c r="BL29" i="6"/>
  <c r="Y30" i="6"/>
  <c r="P23" i="6"/>
  <c r="BB22" i="6"/>
  <c r="Z30" i="7"/>
  <c r="BM29" i="7"/>
  <c r="BM53" i="7" s="1"/>
  <c r="Q23" i="7"/>
  <c r="BC22" i="7"/>
  <c r="BC46" i="7" s="1"/>
  <c r="R23" i="4"/>
  <c r="BD22" i="4"/>
  <c r="BD46" i="4" s="1"/>
  <c r="V25" i="9"/>
  <c r="W24" i="9"/>
  <c r="S23" i="9"/>
  <c r="R23" i="9"/>
  <c r="BE23" i="9" s="1"/>
  <c r="BD46" i="9"/>
  <c r="Z25" i="9"/>
  <c r="BL48" i="9"/>
  <c r="BN48" i="9"/>
  <c r="BM47" i="9"/>
  <c r="Y25" i="9"/>
  <c r="W25" i="9"/>
  <c r="BI48" i="9"/>
  <c r="BE45" i="9"/>
  <c r="L21" i="9"/>
  <c r="M21" i="9" s="1"/>
  <c r="V24" i="4"/>
  <c r="BI24" i="4" s="1"/>
  <c r="BH47" i="4"/>
  <c r="S23" i="4"/>
  <c r="BF23" i="4" s="1"/>
  <c r="V25" i="4"/>
  <c r="BI25" i="4" s="1"/>
  <c r="W24" i="4"/>
  <c r="BJ24" i="4" s="1"/>
  <c r="Z24" i="4"/>
  <c r="BM24" i="4" s="1"/>
  <c r="X24" i="4"/>
  <c r="BK24" i="4" s="1"/>
  <c r="Y24" i="4"/>
  <c r="BL24" i="4" s="1"/>
  <c r="BK47" i="4"/>
  <c r="O36" i="2"/>
  <c r="L36" i="2"/>
  <c r="M12" i="2"/>
  <c r="N12" i="2"/>
  <c r="M36" i="2"/>
  <c r="L12" i="2"/>
  <c r="N36" i="2"/>
  <c r="O12" i="2"/>
  <c r="Q13" i="2"/>
  <c r="P37" i="2"/>
  <c r="V15" i="2"/>
  <c r="V40" i="2" s="1"/>
  <c r="U39" i="2"/>
  <c r="BE45" i="4"/>
  <c r="L21" i="4"/>
  <c r="M21" i="4" s="1"/>
  <c r="BG47" i="9"/>
  <c r="BK48" i="9"/>
  <c r="BK46" i="9"/>
  <c r="O22" i="9"/>
  <c r="N22" i="9"/>
  <c r="Q23" i="9" s="1"/>
  <c r="BD23" i="9" s="1"/>
  <c r="BI47" i="9"/>
  <c r="BF46" i="6"/>
  <c r="BF47" i="6"/>
  <c r="BJ46" i="6"/>
  <c r="BH46" i="6"/>
  <c r="BL47" i="6"/>
  <c r="BK46" i="6"/>
  <c r="BB46" i="6"/>
  <c r="BG46" i="6"/>
  <c r="BI46" i="6"/>
  <c r="BC46" i="6"/>
  <c r="M23" i="8"/>
  <c r="L23" i="8"/>
  <c r="O24" i="8" s="1"/>
  <c r="P25" i="8" s="1"/>
  <c r="Q26" i="8" s="1"/>
  <c r="R27" i="8" s="1"/>
  <c r="S28" i="8" s="1"/>
  <c r="T29" i="8" s="1"/>
  <c r="U30" i="8" s="1"/>
  <c r="V31" i="8" s="1"/>
  <c r="W32" i="8" s="1"/>
  <c r="X33" i="8" s="1"/>
  <c r="Y34" i="8" s="1"/>
  <c r="BJ46" i="7"/>
  <c r="BM46" i="7"/>
  <c r="N22" i="7"/>
  <c r="M22" i="7"/>
  <c r="P23" i="7" s="1"/>
  <c r="BD46" i="7"/>
  <c r="BE46" i="7"/>
  <c r="BI48" i="7"/>
  <c r="BL46" i="7"/>
  <c r="BI46" i="7"/>
  <c r="BK46" i="7"/>
  <c r="M22" i="6"/>
  <c r="L22" i="6"/>
  <c r="O23" i="6" s="1"/>
  <c r="BM46" i="4"/>
  <c r="BF46" i="4"/>
  <c r="BH46" i="4"/>
  <c r="BL46" i="4"/>
  <c r="BI46" i="4"/>
  <c r="BN46" i="4"/>
  <c r="O22" i="4"/>
  <c r="K44" i="4" s="1"/>
  <c r="N22" i="4"/>
  <c r="Q23" i="4" s="1"/>
  <c r="BK46" i="4"/>
  <c r="AA25" i="4" l="1"/>
  <c r="BN25" i="4" s="1"/>
  <c r="AA31" i="9"/>
  <c r="BN30" i="9"/>
  <c r="BL30" i="6"/>
  <c r="BL54" i="6" s="1"/>
  <c r="Y31" i="6"/>
  <c r="P24" i="6"/>
  <c r="BB23" i="6"/>
  <c r="BB47" i="6" s="1"/>
  <c r="Q24" i="6"/>
  <c r="BC23" i="6"/>
  <c r="Z31" i="7"/>
  <c r="BM30" i="7"/>
  <c r="Q24" i="7"/>
  <c r="BC23" i="7"/>
  <c r="BC47" i="7" s="1"/>
  <c r="R24" i="7"/>
  <c r="BD23" i="7"/>
  <c r="R24" i="4"/>
  <c r="BD23" i="4"/>
  <c r="BD47" i="4" s="1"/>
  <c r="S24" i="4"/>
  <c r="BE23" i="4"/>
  <c r="BN50" i="9"/>
  <c r="BM49" i="9"/>
  <c r="S24" i="9"/>
  <c r="BF24" i="9" s="1"/>
  <c r="Z26" i="9"/>
  <c r="BL49" i="9"/>
  <c r="T24" i="9"/>
  <c r="X25" i="9"/>
  <c r="R24" i="9"/>
  <c r="BE24" i="9" s="1"/>
  <c r="BD47" i="9"/>
  <c r="X26" i="9"/>
  <c r="BJ49" i="9"/>
  <c r="W26" i="9"/>
  <c r="BE46" i="9"/>
  <c r="L22" i="9"/>
  <c r="M22" i="9" s="1"/>
  <c r="X25" i="4"/>
  <c r="BK25" i="4" s="1"/>
  <c r="W26" i="4"/>
  <c r="BJ26" i="4" s="1"/>
  <c r="T24" i="4"/>
  <c r="BG24" i="4" s="1"/>
  <c r="BF47" i="4"/>
  <c r="Y25" i="4"/>
  <c r="BL25" i="4" s="1"/>
  <c r="Z25" i="4"/>
  <c r="BM25" i="4" s="1"/>
  <c r="BL48" i="4"/>
  <c r="W25" i="4"/>
  <c r="BJ25" i="4" s="1"/>
  <c r="BI48" i="4"/>
  <c r="O37" i="2"/>
  <c r="P13" i="2"/>
  <c r="N37" i="2"/>
  <c r="O13" i="2"/>
  <c r="M37" i="2"/>
  <c r="N13" i="2"/>
  <c r="L37" i="2"/>
  <c r="M13" i="2"/>
  <c r="L13" i="2"/>
  <c r="R14" i="2"/>
  <c r="Q38" i="2"/>
  <c r="BE46" i="4"/>
  <c r="L22" i="4"/>
  <c r="M22" i="4" s="1"/>
  <c r="BJ48" i="9"/>
  <c r="BF47" i="9"/>
  <c r="BL47" i="9"/>
  <c r="O23" i="9"/>
  <c r="N23" i="9"/>
  <c r="Q24" i="9" s="1"/>
  <c r="BD24" i="9" s="1"/>
  <c r="BH48" i="9"/>
  <c r="BJ47" i="6"/>
  <c r="BH47" i="6"/>
  <c r="BC47" i="6"/>
  <c r="BL48" i="6"/>
  <c r="BK47" i="6"/>
  <c r="BI47" i="6"/>
  <c r="BG48" i="6"/>
  <c r="BD47" i="6"/>
  <c r="BG47" i="6"/>
  <c r="M24" i="8"/>
  <c r="L24" i="8"/>
  <c r="O25" i="8" s="1"/>
  <c r="P26" i="8" s="1"/>
  <c r="Q27" i="8" s="1"/>
  <c r="R28" i="8" s="1"/>
  <c r="S29" i="8" s="1"/>
  <c r="T30" i="8" s="1"/>
  <c r="U31" i="8" s="1"/>
  <c r="V32" i="8" s="1"/>
  <c r="W33" i="8" s="1"/>
  <c r="X34" i="8" s="1"/>
  <c r="Y35" i="8" s="1"/>
  <c r="BJ49" i="7"/>
  <c r="BJ47" i="7"/>
  <c r="BF47" i="7"/>
  <c r="BE47" i="7"/>
  <c r="N23" i="7"/>
  <c r="M23" i="7"/>
  <c r="P24" i="7" s="1"/>
  <c r="BD47" i="7"/>
  <c r="BM47" i="7"/>
  <c r="BL47" i="7"/>
  <c r="BK47" i="7"/>
  <c r="M23" i="6"/>
  <c r="L23" i="6"/>
  <c r="O24" i="6" s="1"/>
  <c r="BJ47" i="4"/>
  <c r="BM47" i="4"/>
  <c r="BI47" i="4"/>
  <c r="O23" i="4"/>
  <c r="K45" i="4" s="1"/>
  <c r="N23" i="4"/>
  <c r="Q24" i="4" s="1"/>
  <c r="BN47" i="4"/>
  <c r="BL47" i="4"/>
  <c r="BG47" i="4"/>
  <c r="AA26" i="4" l="1"/>
  <c r="BN26" i="4" s="1"/>
  <c r="BN31" i="9"/>
  <c r="AA32" i="9"/>
  <c r="BL31" i="6"/>
  <c r="Y32" i="6"/>
  <c r="R25" i="6"/>
  <c r="BD24" i="6"/>
  <c r="P25" i="6"/>
  <c r="BB24" i="6"/>
  <c r="Q25" i="6"/>
  <c r="BC24" i="6"/>
  <c r="BC48" i="6" s="1"/>
  <c r="Z32" i="7"/>
  <c r="BM31" i="7"/>
  <c r="Q25" i="7"/>
  <c r="BC24" i="7"/>
  <c r="BC48" i="7" s="1"/>
  <c r="S25" i="7"/>
  <c r="BE24" i="7"/>
  <c r="R25" i="7"/>
  <c r="BD24" i="7"/>
  <c r="R25" i="4"/>
  <c r="BD24" i="4"/>
  <c r="BD48" i="4" s="1"/>
  <c r="T25" i="4"/>
  <c r="BF24" i="4"/>
  <c r="BF48" i="4" s="1"/>
  <c r="S25" i="4"/>
  <c r="BE24" i="4"/>
  <c r="Y26" i="9"/>
  <c r="S25" i="9"/>
  <c r="BF25" i="9" s="1"/>
  <c r="U25" i="9"/>
  <c r="BG48" i="9"/>
  <c r="R25" i="9"/>
  <c r="BE25" i="9" s="1"/>
  <c r="BD48" i="9"/>
  <c r="X27" i="9"/>
  <c r="T25" i="9"/>
  <c r="BG25" i="9" s="1"/>
  <c r="BF48" i="9"/>
  <c r="Y27" i="9"/>
  <c r="BK50" i="9"/>
  <c r="BE47" i="9"/>
  <c r="L23" i="9"/>
  <c r="M23" i="9" s="1"/>
  <c r="U25" i="4"/>
  <c r="BH25" i="4" s="1"/>
  <c r="BG48" i="4"/>
  <c r="BM49" i="4"/>
  <c r="X27" i="4"/>
  <c r="BK27" i="4" s="1"/>
  <c r="Z26" i="4"/>
  <c r="BM26" i="4" s="1"/>
  <c r="X26" i="4"/>
  <c r="BK26" i="4" s="1"/>
  <c r="BJ49" i="4"/>
  <c r="Y26" i="4"/>
  <c r="BL26" i="4" s="1"/>
  <c r="L14" i="2"/>
  <c r="L39" i="2" s="1"/>
  <c r="L38" i="2"/>
  <c r="M14" i="2"/>
  <c r="M38" i="2"/>
  <c r="N14" i="2"/>
  <c r="O14" i="2"/>
  <c r="N38" i="2"/>
  <c r="P14" i="2"/>
  <c r="O38" i="2"/>
  <c r="Q14" i="2"/>
  <c r="P38" i="2"/>
  <c r="S15" i="2"/>
  <c r="R39" i="2"/>
  <c r="BE47" i="4"/>
  <c r="L23" i="4"/>
  <c r="M23" i="4" s="1"/>
  <c r="O24" i="9"/>
  <c r="N24" i="9"/>
  <c r="Q25" i="9" s="1"/>
  <c r="BD25" i="9" s="1"/>
  <c r="BM50" i="9"/>
  <c r="BM48" i="9"/>
  <c r="BI49" i="9"/>
  <c r="BK49" i="9"/>
  <c r="BJ48" i="6"/>
  <c r="BD48" i="6"/>
  <c r="BE48" i="6"/>
  <c r="BH49" i="6"/>
  <c r="BB48" i="6"/>
  <c r="BI48" i="6"/>
  <c r="BH48" i="6"/>
  <c r="BL49" i="6"/>
  <c r="BK48" i="6"/>
  <c r="L25" i="8"/>
  <c r="O26" i="8" s="1"/>
  <c r="P27" i="8" s="1"/>
  <c r="Q28" i="8" s="1"/>
  <c r="R29" i="8" s="1"/>
  <c r="S30" i="8" s="1"/>
  <c r="T31" i="8" s="1"/>
  <c r="U32" i="8" s="1"/>
  <c r="V33" i="8" s="1"/>
  <c r="W34" i="8" s="1"/>
  <c r="X35" i="8" s="1"/>
  <c r="Y36" i="8" s="1"/>
  <c r="M25" i="8"/>
  <c r="BE48" i="7"/>
  <c r="M24" i="7"/>
  <c r="P25" i="7" s="1"/>
  <c r="N24" i="7"/>
  <c r="BD48" i="7"/>
  <c r="BF48" i="7"/>
  <c r="BG48" i="7"/>
  <c r="BM48" i="7"/>
  <c r="BK48" i="7"/>
  <c r="BL48" i="7"/>
  <c r="BK50" i="7"/>
  <c r="L24" i="6"/>
  <c r="O25" i="6" s="1"/>
  <c r="M24" i="6"/>
  <c r="BN48" i="4"/>
  <c r="BH48" i="4"/>
  <c r="BK48" i="4"/>
  <c r="N24" i="4"/>
  <c r="Q25" i="4" s="1"/>
  <c r="O24" i="4"/>
  <c r="K46" i="4" s="1"/>
  <c r="BJ48" i="4"/>
  <c r="BM48" i="4"/>
  <c r="AA27" i="4" l="1"/>
  <c r="BN27" i="4" s="1"/>
  <c r="R26" i="6"/>
  <c r="BD25" i="6"/>
  <c r="P26" i="6"/>
  <c r="BB25" i="6"/>
  <c r="Q26" i="6"/>
  <c r="BC25" i="6"/>
  <c r="S26" i="6"/>
  <c r="BE25" i="6"/>
  <c r="BE49" i="6" s="1"/>
  <c r="Q26" i="7"/>
  <c r="BC25" i="7"/>
  <c r="BC49" i="7" s="1"/>
  <c r="S26" i="7"/>
  <c r="BE25" i="7"/>
  <c r="T26" i="7"/>
  <c r="BF25" i="7"/>
  <c r="BF49" i="7" s="1"/>
  <c r="R26" i="7"/>
  <c r="BD25" i="7"/>
  <c r="R26" i="4"/>
  <c r="BD25" i="4"/>
  <c r="BD49" i="4" s="1"/>
  <c r="T26" i="4"/>
  <c r="BF25" i="4"/>
  <c r="BF49" i="4" s="1"/>
  <c r="U26" i="4"/>
  <c r="BG25" i="4"/>
  <c r="BG49" i="4" s="1"/>
  <c r="S26" i="4"/>
  <c r="BE25" i="4"/>
  <c r="Z28" i="9"/>
  <c r="BL51" i="9"/>
  <c r="U26" i="9"/>
  <c r="BH26" i="9" s="1"/>
  <c r="R26" i="9"/>
  <c r="BE26" i="9" s="1"/>
  <c r="BD49" i="9"/>
  <c r="Y28" i="9"/>
  <c r="T26" i="9"/>
  <c r="BG26" i="9" s="1"/>
  <c r="BF49" i="9"/>
  <c r="S26" i="9"/>
  <c r="BF26" i="9" s="1"/>
  <c r="V26" i="9"/>
  <c r="Z27" i="9"/>
  <c r="BL50" i="9"/>
  <c r="BE48" i="9"/>
  <c r="L24" i="9"/>
  <c r="M24" i="9" s="1"/>
  <c r="Z27" i="4"/>
  <c r="BM27" i="4" s="1"/>
  <c r="Y27" i="4"/>
  <c r="BL27" i="4" s="1"/>
  <c r="BK50" i="4"/>
  <c r="Y28" i="4"/>
  <c r="BL28" i="4" s="1"/>
  <c r="V26" i="4"/>
  <c r="BI26" i="4" s="1"/>
  <c r="BH49" i="4"/>
  <c r="M15" i="2"/>
  <c r="L15" i="2"/>
  <c r="L40" i="2" s="1"/>
  <c r="R15" i="2"/>
  <c r="Q39" i="2"/>
  <c r="Q15" i="2"/>
  <c r="P39" i="2"/>
  <c r="O39" i="2"/>
  <c r="P15" i="2"/>
  <c r="O15" i="2"/>
  <c r="N39" i="2"/>
  <c r="M39" i="2"/>
  <c r="N15" i="2"/>
  <c r="T16" i="2"/>
  <c r="S40" i="2"/>
  <c r="BE48" i="4"/>
  <c r="L24" i="4"/>
  <c r="M24" i="4" s="1"/>
  <c r="BJ50" i="9"/>
  <c r="BG49" i="9"/>
  <c r="BH49" i="9"/>
  <c r="BN49" i="9"/>
  <c r="BN51" i="9"/>
  <c r="O25" i="9"/>
  <c r="N25" i="9"/>
  <c r="Q26" i="9" s="1"/>
  <c r="BD26" i="9" s="1"/>
  <c r="BJ49" i="6"/>
  <c r="BL50" i="6"/>
  <c r="BK49" i="6"/>
  <c r="BI49" i="6"/>
  <c r="BC49" i="6"/>
  <c r="BI50" i="6"/>
  <c r="BF49" i="6"/>
  <c r="BB49" i="6"/>
  <c r="BD49" i="6"/>
  <c r="M26" i="8"/>
  <c r="L26" i="8"/>
  <c r="O27" i="8" s="1"/>
  <c r="P28" i="8" s="1"/>
  <c r="Q29" i="8" s="1"/>
  <c r="R30" i="8" s="1"/>
  <c r="S31" i="8" s="1"/>
  <c r="T32" i="8" s="1"/>
  <c r="U33" i="8" s="1"/>
  <c r="V34" i="8" s="1"/>
  <c r="W35" i="8" s="1"/>
  <c r="X36" i="8" s="1"/>
  <c r="Y37" i="8" s="1"/>
  <c r="BH49" i="7"/>
  <c r="BG49" i="7"/>
  <c r="BL49" i="7"/>
  <c r="BE49" i="7"/>
  <c r="N25" i="7"/>
  <c r="M25" i="7"/>
  <c r="P26" i="7" s="1"/>
  <c r="BD49" i="7"/>
  <c r="BM49" i="7"/>
  <c r="BL51" i="7"/>
  <c r="M25" i="6"/>
  <c r="L25" i="6"/>
  <c r="O26" i="6" s="1"/>
  <c r="BI49" i="4"/>
  <c r="BN49" i="4"/>
  <c r="BN50" i="4"/>
  <c r="O25" i="4"/>
  <c r="K47" i="4" s="1"/>
  <c r="N25" i="4"/>
  <c r="Q26" i="4" s="1"/>
  <c r="BL49" i="4"/>
  <c r="BK49" i="4"/>
  <c r="AA28" i="4" l="1"/>
  <c r="BN28" i="4" s="1"/>
  <c r="P27" i="6"/>
  <c r="BB26" i="6"/>
  <c r="BB50" i="6" s="1"/>
  <c r="R27" i="6"/>
  <c r="BD26" i="6"/>
  <c r="BD50" i="6" s="1"/>
  <c r="T27" i="6"/>
  <c r="BF26" i="6"/>
  <c r="Q27" i="6"/>
  <c r="BC26" i="6"/>
  <c r="S27" i="6"/>
  <c r="BE26" i="6"/>
  <c r="BE50" i="6" s="1"/>
  <c r="U27" i="7"/>
  <c r="BG26" i="7"/>
  <c r="Q27" i="7"/>
  <c r="BC26" i="7"/>
  <c r="BC50" i="7" s="1"/>
  <c r="S27" i="7"/>
  <c r="BE26" i="7"/>
  <c r="BE50" i="7" s="1"/>
  <c r="T27" i="7"/>
  <c r="BF26" i="7"/>
  <c r="BF50" i="7" s="1"/>
  <c r="R27" i="7"/>
  <c r="BD26" i="7"/>
  <c r="BD50" i="7" s="1"/>
  <c r="V27" i="4"/>
  <c r="BH26" i="4"/>
  <c r="BH50" i="4" s="1"/>
  <c r="T27" i="4"/>
  <c r="BF26" i="4"/>
  <c r="BF50" i="4" s="1"/>
  <c r="R27" i="4"/>
  <c r="BD26" i="4"/>
  <c r="BD50" i="4" s="1"/>
  <c r="U27" i="4"/>
  <c r="BG26" i="4"/>
  <c r="BG50" i="4" s="1"/>
  <c r="S27" i="4"/>
  <c r="BE26" i="4"/>
  <c r="W27" i="9"/>
  <c r="BI50" i="9"/>
  <c r="T27" i="9"/>
  <c r="BG27" i="9" s="1"/>
  <c r="BF50" i="9"/>
  <c r="Z29" i="9"/>
  <c r="S27" i="9"/>
  <c r="BF27" i="9" s="1"/>
  <c r="U27" i="9"/>
  <c r="BH27" i="9" s="1"/>
  <c r="BG50" i="9"/>
  <c r="R27" i="9"/>
  <c r="BE27" i="9" s="1"/>
  <c r="BD50" i="9"/>
  <c r="V27" i="9"/>
  <c r="BI27" i="9" s="1"/>
  <c r="BH50" i="9"/>
  <c r="BN53" i="9"/>
  <c r="BM52" i="9"/>
  <c r="BE49" i="9"/>
  <c r="L25" i="9"/>
  <c r="M25" i="9" s="1"/>
  <c r="Z29" i="4"/>
  <c r="BM29" i="4" s="1"/>
  <c r="Z28" i="4"/>
  <c r="BM28" i="4" s="1"/>
  <c r="BL51" i="4"/>
  <c r="W27" i="4"/>
  <c r="BJ27" i="4" s="1"/>
  <c r="BI50" i="4"/>
  <c r="L16" i="2"/>
  <c r="L41" i="2" s="1"/>
  <c r="M16" i="2"/>
  <c r="M40" i="2"/>
  <c r="N16" i="2"/>
  <c r="R40" i="2"/>
  <c r="S16" i="2"/>
  <c r="P16" i="2"/>
  <c r="O40" i="2"/>
  <c r="O16" i="2"/>
  <c r="N40" i="2"/>
  <c r="Q40" i="2"/>
  <c r="R16" i="2"/>
  <c r="Q16" i="2"/>
  <c r="P40" i="2"/>
  <c r="U17" i="2"/>
  <c r="T41" i="2"/>
  <c r="BE49" i="4"/>
  <c r="L25" i="4"/>
  <c r="M25" i="4" s="1"/>
  <c r="O26" i="9"/>
  <c r="N26" i="9"/>
  <c r="Q27" i="9" s="1"/>
  <c r="BD27" i="9" s="1"/>
  <c r="BM51" i="9"/>
  <c r="BK51" i="9"/>
  <c r="BC50" i="6"/>
  <c r="BJ50" i="6"/>
  <c r="BF50" i="6"/>
  <c r="BG50" i="6"/>
  <c r="BJ51" i="6"/>
  <c r="BL51" i="6"/>
  <c r="BK50" i="6"/>
  <c r="M27" i="8"/>
  <c r="L27" i="8"/>
  <c r="O28" i="8" s="1"/>
  <c r="P29" i="8" s="1"/>
  <c r="Q30" i="8" s="1"/>
  <c r="R31" i="8" s="1"/>
  <c r="S32" i="8" s="1"/>
  <c r="T33" i="8" s="1"/>
  <c r="U34" i="8" s="1"/>
  <c r="V35" i="8" s="1"/>
  <c r="W36" i="8" s="1"/>
  <c r="X37" i="8" s="1"/>
  <c r="Y38" i="8" s="1"/>
  <c r="BM52" i="7"/>
  <c r="BM50" i="7"/>
  <c r="N26" i="7"/>
  <c r="M26" i="7"/>
  <c r="P27" i="7" s="1"/>
  <c r="BH50" i="7"/>
  <c r="BG50" i="7"/>
  <c r="BI50" i="7"/>
  <c r="M26" i="6"/>
  <c r="L26" i="6"/>
  <c r="O27" i="6" s="1"/>
  <c r="BM50" i="4"/>
  <c r="BJ50" i="4"/>
  <c r="O26" i="4"/>
  <c r="K48" i="4" s="1"/>
  <c r="N26" i="4"/>
  <c r="Q27" i="4" s="1"/>
  <c r="BL50" i="4"/>
  <c r="AA29" i="4" l="1"/>
  <c r="AA30" i="4" s="1"/>
  <c r="BN30" i="4" s="1"/>
  <c r="P28" i="6"/>
  <c r="BB27" i="6"/>
  <c r="U28" i="6"/>
  <c r="BG27" i="6"/>
  <c r="S28" i="6"/>
  <c r="BE27" i="6"/>
  <c r="BE51" i="6" s="1"/>
  <c r="T28" i="6"/>
  <c r="BF27" i="6"/>
  <c r="BF51" i="6" s="1"/>
  <c r="R28" i="6"/>
  <c r="BD27" i="6"/>
  <c r="BD51" i="6" s="1"/>
  <c r="Q28" i="6"/>
  <c r="BC27" i="6"/>
  <c r="BC51" i="6" s="1"/>
  <c r="R28" i="7"/>
  <c r="BD27" i="7"/>
  <c r="U28" i="7"/>
  <c r="BG27" i="7"/>
  <c r="Q28" i="7"/>
  <c r="BC27" i="7"/>
  <c r="BC51" i="7" s="1"/>
  <c r="S28" i="7"/>
  <c r="BE27" i="7"/>
  <c r="BE51" i="7" s="1"/>
  <c r="T28" i="7"/>
  <c r="BF27" i="7"/>
  <c r="BF51" i="7" s="1"/>
  <c r="V28" i="7"/>
  <c r="BH27" i="7"/>
  <c r="BH51" i="7" s="1"/>
  <c r="T28" i="4"/>
  <c r="BF27" i="4"/>
  <c r="BF51" i="4" s="1"/>
  <c r="V28" i="4"/>
  <c r="BH27" i="4"/>
  <c r="BH51" i="4" s="1"/>
  <c r="U28" i="4"/>
  <c r="BG27" i="4"/>
  <c r="BG51" i="4" s="1"/>
  <c r="R28" i="4"/>
  <c r="BD27" i="4"/>
  <c r="BD51" i="4" s="1"/>
  <c r="S28" i="4"/>
  <c r="BE27" i="4"/>
  <c r="W28" i="4"/>
  <c r="BI27" i="4"/>
  <c r="BI51" i="4" s="1"/>
  <c r="S28" i="9"/>
  <c r="BF28" i="9" s="1"/>
  <c r="T28" i="9"/>
  <c r="BG28" i="9" s="1"/>
  <c r="W28" i="9"/>
  <c r="BJ28" i="9" s="1"/>
  <c r="BI51" i="9"/>
  <c r="U28" i="9"/>
  <c r="BH28" i="9" s="1"/>
  <c r="BG51" i="9"/>
  <c r="V28" i="9"/>
  <c r="BI28" i="9" s="1"/>
  <c r="BH51" i="9"/>
  <c r="X28" i="9"/>
  <c r="BJ51" i="9"/>
  <c r="R28" i="9"/>
  <c r="BE28" i="9" s="1"/>
  <c r="BD51" i="9"/>
  <c r="BE50" i="9"/>
  <c r="L26" i="9"/>
  <c r="M26" i="9" s="1"/>
  <c r="X28" i="4"/>
  <c r="BK28" i="4" s="1"/>
  <c r="BJ51" i="4"/>
  <c r="BM52" i="4"/>
  <c r="M17" i="2"/>
  <c r="M42" i="2" s="1"/>
  <c r="O17" i="2"/>
  <c r="N41" i="2"/>
  <c r="M41" i="2"/>
  <c r="N17" i="2"/>
  <c r="L17" i="2"/>
  <c r="L42" i="2" s="1"/>
  <c r="R17" i="2"/>
  <c r="Q41" i="2"/>
  <c r="S17" i="2"/>
  <c r="R41" i="2"/>
  <c r="P17" i="2"/>
  <c r="O41" i="2"/>
  <c r="Q17" i="2"/>
  <c r="P41" i="2"/>
  <c r="S41" i="2"/>
  <c r="T17" i="2"/>
  <c r="V18" i="2"/>
  <c r="V43" i="2" s="1"/>
  <c r="U42" i="2"/>
  <c r="BE50" i="4"/>
  <c r="L26" i="4"/>
  <c r="M26" i="4" s="1"/>
  <c r="BL52" i="9"/>
  <c r="O27" i="9"/>
  <c r="N27" i="9"/>
  <c r="Q28" i="9" s="1"/>
  <c r="BD28" i="9" s="1"/>
  <c r="BF51" i="9"/>
  <c r="BN52" i="9"/>
  <c r="BL53" i="6"/>
  <c r="BK52" i="6"/>
  <c r="BL52" i="6"/>
  <c r="BK51" i="6"/>
  <c r="BH51" i="6"/>
  <c r="BG51" i="6"/>
  <c r="BB51" i="6"/>
  <c r="M28" i="8"/>
  <c r="L28" i="8"/>
  <c r="O29" i="8" s="1"/>
  <c r="P30" i="8" s="1"/>
  <c r="Q31" i="8" s="1"/>
  <c r="R32" i="8" s="1"/>
  <c r="S33" i="8" s="1"/>
  <c r="T34" i="8" s="1"/>
  <c r="U35" i="8" s="1"/>
  <c r="V36" i="8" s="1"/>
  <c r="W37" i="8" s="1"/>
  <c r="X38" i="8" s="1"/>
  <c r="Y39" i="8" s="1"/>
  <c r="N27" i="7"/>
  <c r="M27" i="7"/>
  <c r="P28" i="7" s="1"/>
  <c r="BD51" i="7"/>
  <c r="BI51" i="7"/>
  <c r="BG51" i="7"/>
  <c r="BJ51" i="7"/>
  <c r="M27" i="6"/>
  <c r="L27" i="6"/>
  <c r="O28" i="6" s="1"/>
  <c r="BM51" i="4"/>
  <c r="BK51" i="4"/>
  <c r="O27" i="4"/>
  <c r="K49" i="4" s="1"/>
  <c r="N27" i="4"/>
  <c r="Q28" i="4" s="1"/>
  <c r="BN51" i="4"/>
  <c r="R29" i="6" l="1"/>
  <c r="BD28" i="6"/>
  <c r="U29" i="6"/>
  <c r="BG28" i="6"/>
  <c r="V29" i="6"/>
  <c r="BH28" i="6"/>
  <c r="BH52" i="6" s="1"/>
  <c r="S29" i="6"/>
  <c r="BE28" i="6"/>
  <c r="BE52" i="6" s="1"/>
  <c r="P29" i="6"/>
  <c r="BB28" i="6"/>
  <c r="BB52" i="6" s="1"/>
  <c r="T29" i="6"/>
  <c r="BF28" i="6"/>
  <c r="BF52" i="6" s="1"/>
  <c r="Q29" i="6"/>
  <c r="BC28" i="6"/>
  <c r="BC52" i="6" s="1"/>
  <c r="R29" i="7"/>
  <c r="BD28" i="7"/>
  <c r="W29" i="7"/>
  <c r="BI28" i="7"/>
  <c r="BI52" i="7" s="1"/>
  <c r="U29" i="7"/>
  <c r="BG28" i="7"/>
  <c r="BG52" i="7" s="1"/>
  <c r="V29" i="7"/>
  <c r="BH28" i="7"/>
  <c r="BH52" i="7" s="1"/>
  <c r="T29" i="7"/>
  <c r="BF28" i="7"/>
  <c r="BF52" i="7" s="1"/>
  <c r="Q29" i="7"/>
  <c r="BC28" i="7"/>
  <c r="BC52" i="7" s="1"/>
  <c r="S29" i="7"/>
  <c r="BE28" i="7"/>
  <c r="BE52" i="7" s="1"/>
  <c r="BN29" i="4"/>
  <c r="BN53" i="4" s="1"/>
  <c r="X29" i="4"/>
  <c r="BJ28" i="4"/>
  <c r="BJ52" i="4" s="1"/>
  <c r="S29" i="4"/>
  <c r="BE28" i="4"/>
  <c r="R29" i="4"/>
  <c r="BD28" i="4"/>
  <c r="BD52" i="4" s="1"/>
  <c r="W29" i="4"/>
  <c r="BI28" i="4"/>
  <c r="BI52" i="4" s="1"/>
  <c r="T29" i="4"/>
  <c r="BF28" i="4"/>
  <c r="BF52" i="4" s="1"/>
  <c r="V29" i="4"/>
  <c r="BH28" i="4"/>
  <c r="BH52" i="4" s="1"/>
  <c r="U29" i="4"/>
  <c r="BG28" i="4"/>
  <c r="BG52" i="4" s="1"/>
  <c r="S29" i="9"/>
  <c r="BF29" i="9" s="1"/>
  <c r="Y29" i="9"/>
  <c r="V29" i="9"/>
  <c r="BI29" i="9" s="1"/>
  <c r="BH52" i="9"/>
  <c r="X29" i="9"/>
  <c r="BK29" i="9" s="1"/>
  <c r="U29" i="9"/>
  <c r="BH29" i="9" s="1"/>
  <c r="R29" i="9"/>
  <c r="BE29" i="9" s="1"/>
  <c r="BD52" i="9"/>
  <c r="W29" i="9"/>
  <c r="BJ29" i="9" s="1"/>
  <c r="T29" i="9"/>
  <c r="BG29" i="9" s="1"/>
  <c r="BF52" i="9"/>
  <c r="BE51" i="9"/>
  <c r="L27" i="9"/>
  <c r="M27" i="9" s="1"/>
  <c r="Y29" i="4"/>
  <c r="BL29" i="4" s="1"/>
  <c r="BK52" i="4"/>
  <c r="N18" i="2"/>
  <c r="O18" i="2"/>
  <c r="N42" i="2"/>
  <c r="P18" i="2"/>
  <c r="O42" i="2"/>
  <c r="L18" i="2"/>
  <c r="L43" i="2" s="1"/>
  <c r="M18" i="2"/>
  <c r="R42" i="2"/>
  <c r="S18" i="2"/>
  <c r="T18" i="2"/>
  <c r="S42" i="2"/>
  <c r="T42" i="2"/>
  <c r="U18" i="2"/>
  <c r="Q42" i="2"/>
  <c r="R18" i="2"/>
  <c r="Q18" i="2"/>
  <c r="P42" i="2"/>
  <c r="BE51" i="4"/>
  <c r="L27" i="4"/>
  <c r="M27" i="4" s="1"/>
  <c r="N28" i="9"/>
  <c r="Q29" i="9" s="1"/>
  <c r="BD29" i="9" s="1"/>
  <c r="O28" i="9"/>
  <c r="BG52" i="9"/>
  <c r="BJ52" i="9"/>
  <c r="BM53" i="9"/>
  <c r="BI52" i="9"/>
  <c r="BK52" i="9"/>
  <c r="BD52" i="6"/>
  <c r="BI52" i="6"/>
  <c r="BG52" i="6"/>
  <c r="M29" i="8"/>
  <c r="L29" i="8"/>
  <c r="O30" i="8" s="1"/>
  <c r="P31" i="8" s="1"/>
  <c r="Q32" i="8" s="1"/>
  <c r="R33" i="8" s="1"/>
  <c r="S34" i="8" s="1"/>
  <c r="T35" i="8" s="1"/>
  <c r="U36" i="8" s="1"/>
  <c r="V37" i="8" s="1"/>
  <c r="W38" i="8" s="1"/>
  <c r="X39" i="8" s="1"/>
  <c r="BJ52" i="7"/>
  <c r="N28" i="7"/>
  <c r="M28" i="7"/>
  <c r="P29" i="7" s="1"/>
  <c r="BD52" i="7"/>
  <c r="BK52" i="7"/>
  <c r="M28" i="6"/>
  <c r="L28" i="6"/>
  <c r="O29" i="6" s="1"/>
  <c r="O28" i="4"/>
  <c r="K50" i="4" s="1"/>
  <c r="N28" i="4"/>
  <c r="Q29" i="4" s="1"/>
  <c r="BL52" i="4"/>
  <c r="BN52" i="4"/>
  <c r="R30" i="6" l="1"/>
  <c r="BD29" i="6"/>
  <c r="U30" i="6"/>
  <c r="BG29" i="6"/>
  <c r="P30" i="6"/>
  <c r="BB29" i="6"/>
  <c r="W30" i="6"/>
  <c r="BI29" i="6"/>
  <c r="BI53" i="6" s="1"/>
  <c r="V30" i="6"/>
  <c r="BH29" i="6"/>
  <c r="Q30" i="6"/>
  <c r="BC29" i="6"/>
  <c r="BC53" i="6" s="1"/>
  <c r="T30" i="6"/>
  <c r="BF29" i="6"/>
  <c r="BF53" i="6" s="1"/>
  <c r="S30" i="6"/>
  <c r="BE29" i="6"/>
  <c r="BE53" i="6" s="1"/>
  <c r="U30" i="7"/>
  <c r="BG29" i="7"/>
  <c r="R30" i="7"/>
  <c r="BD29" i="7"/>
  <c r="V30" i="7"/>
  <c r="BH29" i="7"/>
  <c r="W30" i="7"/>
  <c r="BI29" i="7"/>
  <c r="Q30" i="7"/>
  <c r="BC29" i="7"/>
  <c r="BC53" i="7" s="1"/>
  <c r="X30" i="7"/>
  <c r="BJ29" i="7"/>
  <c r="BJ53" i="7" s="1"/>
  <c r="T30" i="7"/>
  <c r="BF29" i="7"/>
  <c r="BF53" i="7" s="1"/>
  <c r="S30" i="7"/>
  <c r="BE29" i="7"/>
  <c r="BE53" i="7" s="1"/>
  <c r="V30" i="4"/>
  <c r="BH29" i="4"/>
  <c r="BH53" i="4" s="1"/>
  <c r="W30" i="4"/>
  <c r="BI29" i="4"/>
  <c r="BI53" i="4" s="1"/>
  <c r="T30" i="4"/>
  <c r="BF29" i="4"/>
  <c r="BF53" i="4" s="1"/>
  <c r="X30" i="4"/>
  <c r="BJ29" i="4"/>
  <c r="BJ53" i="4" s="1"/>
  <c r="R30" i="4"/>
  <c r="BD29" i="4"/>
  <c r="BD53" i="4" s="1"/>
  <c r="S30" i="4"/>
  <c r="BE29" i="4"/>
  <c r="Y30" i="4"/>
  <c r="BK29" i="4"/>
  <c r="BK53" i="4" s="1"/>
  <c r="U30" i="4"/>
  <c r="BG29" i="4"/>
  <c r="BG53" i="4" s="1"/>
  <c r="U30" i="9"/>
  <c r="BH30" i="9" s="1"/>
  <c r="Y30" i="9"/>
  <c r="BL30" i="9" s="1"/>
  <c r="BK53" i="9"/>
  <c r="X30" i="9"/>
  <c r="BK30" i="9" s="1"/>
  <c r="W30" i="9"/>
  <c r="BJ30" i="9" s="1"/>
  <c r="R30" i="9"/>
  <c r="BE30" i="9" s="1"/>
  <c r="BD53" i="9"/>
  <c r="S30" i="9"/>
  <c r="BF30" i="9" s="1"/>
  <c r="Z30" i="9"/>
  <c r="BL53" i="9"/>
  <c r="V30" i="9"/>
  <c r="BI30" i="9" s="1"/>
  <c r="BH53" i="9"/>
  <c r="T30" i="9"/>
  <c r="BG30" i="9" s="1"/>
  <c r="BE52" i="9"/>
  <c r="L28" i="9"/>
  <c r="M28" i="9" s="1"/>
  <c r="Z30" i="4"/>
  <c r="BL53" i="4"/>
  <c r="N43" i="2"/>
  <c r="O19" i="2"/>
  <c r="M19" i="2"/>
  <c r="L19" i="2"/>
  <c r="L44" i="2" s="1"/>
  <c r="Q19" i="2"/>
  <c r="P43" i="2"/>
  <c r="P19" i="2"/>
  <c r="O43" i="2"/>
  <c r="N19" i="2"/>
  <c r="M43" i="2"/>
  <c r="T43" i="2"/>
  <c r="U19" i="2"/>
  <c r="R19" i="2"/>
  <c r="Q43" i="2"/>
  <c r="T19" i="2"/>
  <c r="S43" i="2"/>
  <c r="R43" i="2"/>
  <c r="S19" i="2"/>
  <c r="U43" i="2"/>
  <c r="V19" i="2"/>
  <c r="V44" i="2" s="1"/>
  <c r="BE52" i="4"/>
  <c r="L28" i="4"/>
  <c r="M28" i="4" s="1"/>
  <c r="BI53" i="9"/>
  <c r="BG53" i="9"/>
  <c r="BN54" i="9"/>
  <c r="O29" i="9"/>
  <c r="N29" i="9"/>
  <c r="Q30" i="9" s="1"/>
  <c r="BD30" i="9" s="1"/>
  <c r="BJ53" i="9"/>
  <c r="BF53" i="9"/>
  <c r="BB53" i="6"/>
  <c r="BH53" i="6"/>
  <c r="BJ53" i="6"/>
  <c r="BD53" i="6"/>
  <c r="BG53" i="6"/>
  <c r="M30" i="8"/>
  <c r="L30" i="8"/>
  <c r="O31" i="8" s="1"/>
  <c r="P32" i="8" s="1"/>
  <c r="Q33" i="8" s="1"/>
  <c r="R34" i="8" s="1"/>
  <c r="S35" i="8" s="1"/>
  <c r="T36" i="8" s="1"/>
  <c r="U37" i="8" s="1"/>
  <c r="V38" i="8" s="1"/>
  <c r="W39" i="8" s="1"/>
  <c r="BK53" i="7"/>
  <c r="M29" i="7"/>
  <c r="P30" i="7" s="1"/>
  <c r="N29" i="7"/>
  <c r="BD53" i="7"/>
  <c r="BG53" i="7"/>
  <c r="BI53" i="7"/>
  <c r="BH53" i="7"/>
  <c r="BL53" i="7"/>
  <c r="L29" i="6"/>
  <c r="O30" i="6" s="1"/>
  <c r="M29" i="6"/>
  <c r="N29" i="4"/>
  <c r="Q30" i="4" s="1"/>
  <c r="O29" i="4"/>
  <c r="K51" i="4" s="1"/>
  <c r="BM53" i="4"/>
  <c r="BM30" i="4" l="1"/>
  <c r="BM54" i="4" s="1"/>
  <c r="AA31" i="4"/>
  <c r="BN31" i="4" s="1"/>
  <c r="R31" i="6"/>
  <c r="BD30" i="6"/>
  <c r="W31" i="6"/>
  <c r="BI30" i="6"/>
  <c r="Q31" i="6"/>
  <c r="BC30" i="6"/>
  <c r="U31" i="6"/>
  <c r="BG30" i="6"/>
  <c r="BG54" i="6" s="1"/>
  <c r="V31" i="6"/>
  <c r="BH30" i="6"/>
  <c r="BH54" i="6" s="1"/>
  <c r="T31" i="6"/>
  <c r="BF30" i="6"/>
  <c r="BF54" i="6" s="1"/>
  <c r="X31" i="6"/>
  <c r="BJ30" i="6"/>
  <c r="BJ54" i="6" s="1"/>
  <c r="P31" i="6"/>
  <c r="BB30" i="6"/>
  <c r="BB54" i="6" s="1"/>
  <c r="S31" i="6"/>
  <c r="BE30" i="6"/>
  <c r="R31" i="7"/>
  <c r="BD30" i="7"/>
  <c r="X31" i="7"/>
  <c r="BJ30" i="7"/>
  <c r="BJ54" i="7" s="1"/>
  <c r="W31" i="7"/>
  <c r="BI30" i="7"/>
  <c r="U31" i="7"/>
  <c r="BG30" i="7"/>
  <c r="BG54" i="7" s="1"/>
  <c r="Q31" i="7"/>
  <c r="BC30" i="7"/>
  <c r="BC54" i="7" s="1"/>
  <c r="S31" i="7"/>
  <c r="BE30" i="7"/>
  <c r="BE54" i="7" s="1"/>
  <c r="T31" i="7"/>
  <c r="BF30" i="7"/>
  <c r="BF54" i="7" s="1"/>
  <c r="Y31" i="7"/>
  <c r="BK30" i="7"/>
  <c r="BK54" i="7" s="1"/>
  <c r="V31" i="7"/>
  <c r="BH30" i="7"/>
  <c r="R31" i="4"/>
  <c r="BD30" i="4"/>
  <c r="BD54" i="4" s="1"/>
  <c r="Z31" i="4"/>
  <c r="BL30" i="4"/>
  <c r="BL54" i="4" s="1"/>
  <c r="U31" i="4"/>
  <c r="BG30" i="4"/>
  <c r="BG54" i="4" s="1"/>
  <c r="V31" i="4"/>
  <c r="BH30" i="4"/>
  <c r="BH54" i="4" s="1"/>
  <c r="T31" i="4"/>
  <c r="BF30" i="4"/>
  <c r="BF54" i="4" s="1"/>
  <c r="S31" i="4"/>
  <c r="BE30" i="4"/>
  <c r="Y31" i="4"/>
  <c r="BK30" i="4"/>
  <c r="BK54" i="4" s="1"/>
  <c r="X31" i="4"/>
  <c r="BJ30" i="4"/>
  <c r="BJ54" i="4" s="1"/>
  <c r="W31" i="4"/>
  <c r="BI30" i="4"/>
  <c r="BI54" i="4" s="1"/>
  <c r="W31" i="9"/>
  <c r="BJ31" i="9" s="1"/>
  <c r="T31" i="9"/>
  <c r="BG31" i="9" s="1"/>
  <c r="X31" i="9"/>
  <c r="BK31" i="9" s="1"/>
  <c r="Y31" i="9"/>
  <c r="BL31" i="9" s="1"/>
  <c r="BK54" i="9"/>
  <c r="S31" i="9"/>
  <c r="BF31" i="9" s="1"/>
  <c r="R31" i="9"/>
  <c r="BE31" i="9" s="1"/>
  <c r="BD54" i="9"/>
  <c r="Z31" i="9"/>
  <c r="BM31" i="9" s="1"/>
  <c r="BL54" i="9"/>
  <c r="U31" i="9"/>
  <c r="BH31" i="9" s="1"/>
  <c r="V31" i="9"/>
  <c r="BI31" i="9" s="1"/>
  <c r="BE53" i="9"/>
  <c r="L29" i="9"/>
  <c r="M29" i="9" s="1"/>
  <c r="P20" i="2"/>
  <c r="O44" i="2"/>
  <c r="Q20" i="2"/>
  <c r="P44" i="2"/>
  <c r="M20" i="2"/>
  <c r="N21" i="2" s="1"/>
  <c r="O22" i="2" s="1"/>
  <c r="R20" i="2"/>
  <c r="Q44" i="2"/>
  <c r="L20" i="2"/>
  <c r="L45" i="2" s="1"/>
  <c r="N20" i="2"/>
  <c r="M44" i="2"/>
  <c r="O20" i="2"/>
  <c r="N44" i="2"/>
  <c r="T44" i="2"/>
  <c r="U20" i="2"/>
  <c r="S20" i="2"/>
  <c r="R44" i="2"/>
  <c r="V20" i="2"/>
  <c r="V45" i="2" s="1"/>
  <c r="U44" i="2"/>
  <c r="T20" i="2"/>
  <c r="S44" i="2"/>
  <c r="BE53" i="4"/>
  <c r="L29" i="4"/>
  <c r="M29" i="4" s="1"/>
  <c r="O30" i="9"/>
  <c r="N30" i="9"/>
  <c r="Q31" i="9" s="1"/>
  <c r="BD31" i="9" s="1"/>
  <c r="BI54" i="9"/>
  <c r="BF54" i="9"/>
  <c r="BG54" i="9"/>
  <c r="BH54" i="9"/>
  <c r="BM54" i="9"/>
  <c r="BJ54" i="9"/>
  <c r="BE54" i="6"/>
  <c r="BL55" i="6"/>
  <c r="BK54" i="6"/>
  <c r="BD54" i="6"/>
  <c r="BI54" i="6"/>
  <c r="BC54" i="6"/>
  <c r="M31" i="8"/>
  <c r="L31" i="8"/>
  <c r="O32" i="8" s="1"/>
  <c r="P33" i="8" s="1"/>
  <c r="Q34" i="8" s="1"/>
  <c r="R35" i="8" s="1"/>
  <c r="S36" i="8" s="1"/>
  <c r="T37" i="8" s="1"/>
  <c r="U38" i="8" s="1"/>
  <c r="V39" i="8" s="1"/>
  <c r="BI54" i="7"/>
  <c r="BM54" i="7"/>
  <c r="N30" i="7"/>
  <c r="M30" i="7"/>
  <c r="P31" i="7" s="1"/>
  <c r="BD54" i="7"/>
  <c r="BH54" i="7"/>
  <c r="BL54" i="7"/>
  <c r="M30" i="6"/>
  <c r="L30" i="6"/>
  <c r="O31" i="6" s="1"/>
  <c r="BN54" i="4"/>
  <c r="O30" i="4"/>
  <c r="K52" i="4" s="1"/>
  <c r="N30" i="4"/>
  <c r="Q31" i="4" s="1"/>
  <c r="AA32" i="4" l="1"/>
  <c r="BN32" i="4" s="1"/>
  <c r="U32" i="6"/>
  <c r="BG31" i="6"/>
  <c r="W32" i="6"/>
  <c r="BI31" i="6"/>
  <c r="BL32" i="6"/>
  <c r="BL56" i="6" s="1"/>
  <c r="BK31" i="6"/>
  <c r="R32" i="6"/>
  <c r="BD31" i="6"/>
  <c r="BD55" i="6" s="1"/>
  <c r="P32" i="6"/>
  <c r="BB31" i="6"/>
  <c r="BB55" i="6" s="1"/>
  <c r="V32" i="6"/>
  <c r="BH31" i="6"/>
  <c r="X32" i="6"/>
  <c r="Y33" i="6" s="1"/>
  <c r="BJ31" i="6"/>
  <c r="BJ55" i="6" s="1"/>
  <c r="Q32" i="6"/>
  <c r="BC31" i="6"/>
  <c r="T32" i="6"/>
  <c r="BF31" i="6"/>
  <c r="S32" i="6"/>
  <c r="BE31" i="6"/>
  <c r="BM32" i="7"/>
  <c r="BL31" i="7"/>
  <c r="V32" i="7"/>
  <c r="BH31" i="7"/>
  <c r="R32" i="7"/>
  <c r="BD31" i="7"/>
  <c r="X32" i="7"/>
  <c r="BJ31" i="7"/>
  <c r="BJ55" i="7" s="1"/>
  <c r="T32" i="7"/>
  <c r="BF31" i="7"/>
  <c r="BF55" i="7" s="1"/>
  <c r="Q32" i="7"/>
  <c r="BC31" i="7"/>
  <c r="BC55" i="7" s="1"/>
  <c r="U32" i="7"/>
  <c r="BG31" i="7"/>
  <c r="BG55" i="7" s="1"/>
  <c r="Y32" i="7"/>
  <c r="Z33" i="7" s="1"/>
  <c r="BK31" i="7"/>
  <c r="BK55" i="7" s="1"/>
  <c r="W32" i="7"/>
  <c r="BI31" i="7"/>
  <c r="S32" i="7"/>
  <c r="BE31" i="7"/>
  <c r="Z32" i="4"/>
  <c r="AA33" i="4" s="1"/>
  <c r="BL31" i="4"/>
  <c r="BL55" i="4" s="1"/>
  <c r="Y32" i="4"/>
  <c r="BK31" i="4"/>
  <c r="BK55" i="4" s="1"/>
  <c r="R32" i="4"/>
  <c r="BD31" i="4"/>
  <c r="BD55" i="4" s="1"/>
  <c r="V32" i="4"/>
  <c r="BH31" i="4"/>
  <c r="BH55" i="4" s="1"/>
  <c r="BM31" i="4"/>
  <c r="BM55" i="4" s="1"/>
  <c r="T32" i="4"/>
  <c r="BF31" i="4"/>
  <c r="BF55" i="4" s="1"/>
  <c r="U32" i="4"/>
  <c r="BG31" i="4"/>
  <c r="BG55" i="4" s="1"/>
  <c r="W32" i="4"/>
  <c r="BI31" i="4"/>
  <c r="BI55" i="4" s="1"/>
  <c r="X32" i="4"/>
  <c r="BJ31" i="4"/>
  <c r="BJ55" i="4" s="1"/>
  <c r="S32" i="4"/>
  <c r="BE31" i="4"/>
  <c r="BN32" i="9"/>
  <c r="S32" i="9"/>
  <c r="BF32" i="9" s="1"/>
  <c r="Y32" i="9"/>
  <c r="BL32" i="9" s="1"/>
  <c r="Z32" i="9"/>
  <c r="R32" i="9"/>
  <c r="BE32" i="9" s="1"/>
  <c r="BD55" i="9"/>
  <c r="W32" i="9"/>
  <c r="BJ32" i="9" s="1"/>
  <c r="BI55" i="9"/>
  <c r="U32" i="9"/>
  <c r="BH32" i="9" s="1"/>
  <c r="BG55" i="9"/>
  <c r="T32" i="9"/>
  <c r="BG32" i="9" s="1"/>
  <c r="BF55" i="9"/>
  <c r="V32" i="9"/>
  <c r="BI32" i="9" s="1"/>
  <c r="X32" i="9"/>
  <c r="BK32" i="9" s="1"/>
  <c r="BE54" i="9"/>
  <c r="L30" i="9"/>
  <c r="M30" i="9" s="1"/>
  <c r="M45" i="2"/>
  <c r="N46" i="2"/>
  <c r="Q21" i="2"/>
  <c r="P45" i="2"/>
  <c r="O21" i="2"/>
  <c r="N45" i="2"/>
  <c r="R45" i="2"/>
  <c r="S21" i="2"/>
  <c r="M21" i="2"/>
  <c r="L21" i="2"/>
  <c r="L46" i="2" s="1"/>
  <c r="R21" i="2"/>
  <c r="Q45" i="2"/>
  <c r="P21" i="2"/>
  <c r="O45" i="2"/>
  <c r="U45" i="2"/>
  <c r="V21" i="2"/>
  <c r="V46" i="2" s="1"/>
  <c r="S45" i="2"/>
  <c r="T21" i="2"/>
  <c r="U21" i="2"/>
  <c r="T45" i="2"/>
  <c r="P23" i="2"/>
  <c r="O47" i="2"/>
  <c r="BE54" i="4"/>
  <c r="L30" i="4"/>
  <c r="M30" i="4" s="1"/>
  <c r="BJ55" i="9"/>
  <c r="BM55" i="9"/>
  <c r="BH55" i="9"/>
  <c r="O31" i="9"/>
  <c r="N31" i="9"/>
  <c r="Q32" i="9" s="1"/>
  <c r="BD32" i="9" s="1"/>
  <c r="BK55" i="9"/>
  <c r="BN55" i="9"/>
  <c r="BL55" i="9"/>
  <c r="BE55" i="6"/>
  <c r="BH55" i="6"/>
  <c r="BC55" i="6"/>
  <c r="BF55" i="6"/>
  <c r="BG55" i="6"/>
  <c r="BK55" i="6"/>
  <c r="BI55" i="6"/>
  <c r="M32" i="8"/>
  <c r="L32" i="8"/>
  <c r="O33" i="8" s="1"/>
  <c r="P34" i="8" s="1"/>
  <c r="Q35" i="8" s="1"/>
  <c r="R36" i="8" s="1"/>
  <c r="S37" i="8" s="1"/>
  <c r="T38" i="8" s="1"/>
  <c r="U39" i="8" s="1"/>
  <c r="BE55" i="7"/>
  <c r="BI55" i="7"/>
  <c r="N31" i="7"/>
  <c r="M31" i="7"/>
  <c r="P32" i="7" s="1"/>
  <c r="BD55" i="7"/>
  <c r="BM55" i="7"/>
  <c r="BH55" i="7"/>
  <c r="BL55" i="7"/>
  <c r="M31" i="6"/>
  <c r="L31" i="6"/>
  <c r="O32" i="6" s="1"/>
  <c r="O31" i="4"/>
  <c r="K53" i="4" s="1"/>
  <c r="N31" i="4"/>
  <c r="Q32" i="4" s="1"/>
  <c r="BN55" i="4"/>
  <c r="BM32" i="9" l="1"/>
  <c r="AA33" i="9"/>
  <c r="R33" i="6"/>
  <c r="BD32" i="6"/>
  <c r="W33" i="6"/>
  <c r="BI32" i="6"/>
  <c r="S33" i="6"/>
  <c r="BE32" i="6"/>
  <c r="BE56" i="6" s="1"/>
  <c r="Q33" i="6"/>
  <c r="BC32" i="6"/>
  <c r="P33" i="6"/>
  <c r="BB32" i="6"/>
  <c r="T33" i="6"/>
  <c r="BF32" i="6"/>
  <c r="BF56" i="6" s="1"/>
  <c r="X33" i="6"/>
  <c r="Y34" i="6" s="1"/>
  <c r="BJ32" i="6"/>
  <c r="BJ56" i="6" s="1"/>
  <c r="BL33" i="6"/>
  <c r="BL57" i="6" s="1"/>
  <c r="BK32" i="6"/>
  <c r="BK56" i="6" s="1"/>
  <c r="U33" i="6"/>
  <c r="BG32" i="6"/>
  <c r="V33" i="6"/>
  <c r="BH32" i="6"/>
  <c r="V33" i="7"/>
  <c r="BH32" i="7"/>
  <c r="Q33" i="7"/>
  <c r="BC32" i="7"/>
  <c r="BC56" i="7" s="1"/>
  <c r="S33" i="7"/>
  <c r="BE32" i="7"/>
  <c r="BE56" i="7" s="1"/>
  <c r="R33" i="7"/>
  <c r="BD32" i="7"/>
  <c r="BD56" i="7" s="1"/>
  <c r="Y33" i="7"/>
  <c r="Z34" i="7" s="1"/>
  <c r="BK32" i="7"/>
  <c r="BK56" i="7" s="1"/>
  <c r="T33" i="7"/>
  <c r="BF32" i="7"/>
  <c r="BF56" i="7" s="1"/>
  <c r="W33" i="7"/>
  <c r="BI32" i="7"/>
  <c r="BI56" i="7" s="1"/>
  <c r="U33" i="7"/>
  <c r="BG32" i="7"/>
  <c r="BG56" i="7" s="1"/>
  <c r="BM33" i="7"/>
  <c r="BL32" i="7"/>
  <c r="X33" i="7"/>
  <c r="BJ32" i="7"/>
  <c r="U33" i="4"/>
  <c r="BG32" i="4"/>
  <c r="BG56" i="4" s="1"/>
  <c r="V33" i="4"/>
  <c r="BH32" i="4"/>
  <c r="BH56" i="4" s="1"/>
  <c r="S33" i="4"/>
  <c r="BE32" i="4"/>
  <c r="R33" i="4"/>
  <c r="BD32" i="4"/>
  <c r="BD56" i="4" s="1"/>
  <c r="T33" i="4"/>
  <c r="BF32" i="4"/>
  <c r="BF56" i="4" s="1"/>
  <c r="Z33" i="4"/>
  <c r="AA34" i="4" s="1"/>
  <c r="BL32" i="4"/>
  <c r="BL56" i="4" s="1"/>
  <c r="X33" i="4"/>
  <c r="BJ32" i="4"/>
  <c r="BJ56" i="4" s="1"/>
  <c r="W33" i="4"/>
  <c r="BI32" i="4"/>
  <c r="BI56" i="4" s="1"/>
  <c r="Y33" i="4"/>
  <c r="BK32" i="4"/>
  <c r="BK56" i="4" s="1"/>
  <c r="BN33" i="4"/>
  <c r="BM32" i="4"/>
  <c r="BM56" i="4" s="1"/>
  <c r="V33" i="9"/>
  <c r="BI33" i="9" s="1"/>
  <c r="X33" i="9"/>
  <c r="BK33" i="9" s="1"/>
  <c r="U33" i="9"/>
  <c r="BH33" i="9" s="1"/>
  <c r="BG56" i="9"/>
  <c r="BN33" i="9"/>
  <c r="Z33" i="9"/>
  <c r="BL56" i="9"/>
  <c r="R33" i="9"/>
  <c r="BE33" i="9" s="1"/>
  <c r="BD56" i="9"/>
  <c r="Y33" i="9"/>
  <c r="BL33" i="9" s="1"/>
  <c r="BK56" i="9"/>
  <c r="T33" i="9"/>
  <c r="BG33" i="9" s="1"/>
  <c r="BF56" i="9"/>
  <c r="S33" i="9"/>
  <c r="BF33" i="9" s="1"/>
  <c r="W33" i="9"/>
  <c r="BJ33" i="9" s="1"/>
  <c r="BE55" i="9"/>
  <c r="L31" i="9"/>
  <c r="M31" i="9" s="1"/>
  <c r="R22" i="2"/>
  <c r="Q46" i="2"/>
  <c r="N22" i="2"/>
  <c r="M46" i="2"/>
  <c r="S46" i="2"/>
  <c r="T22" i="2"/>
  <c r="S22" i="2"/>
  <c r="R46" i="2"/>
  <c r="L22" i="2"/>
  <c r="L47" i="2" s="1"/>
  <c r="M22" i="2"/>
  <c r="N23" i="2" s="1"/>
  <c r="O24" i="2" s="1"/>
  <c r="O46" i="2"/>
  <c r="P22" i="2"/>
  <c r="Q22" i="2"/>
  <c r="P46" i="2"/>
  <c r="V22" i="2"/>
  <c r="V47" i="2" s="1"/>
  <c r="U46" i="2"/>
  <c r="T46" i="2"/>
  <c r="U22" i="2"/>
  <c r="Q24" i="2"/>
  <c r="P48" i="2"/>
  <c r="BE55" i="4"/>
  <c r="L31" i="4"/>
  <c r="M31" i="4" s="1"/>
  <c r="BI56" i="9"/>
  <c r="O32" i="9"/>
  <c r="N32" i="9"/>
  <c r="Q33" i="9" s="1"/>
  <c r="BD33" i="9" s="1"/>
  <c r="BM56" i="9"/>
  <c r="BN56" i="9"/>
  <c r="BH56" i="9"/>
  <c r="BJ56" i="9"/>
  <c r="BD56" i="6"/>
  <c r="BC56" i="6"/>
  <c r="BH56" i="6"/>
  <c r="BG56" i="6"/>
  <c r="BI56" i="6"/>
  <c r="BB56" i="6"/>
  <c r="L33" i="8"/>
  <c r="O34" i="8" s="1"/>
  <c r="P35" i="8" s="1"/>
  <c r="Q36" i="8" s="1"/>
  <c r="R37" i="8" s="1"/>
  <c r="S38" i="8" s="1"/>
  <c r="T39" i="8" s="1"/>
  <c r="M33" i="8"/>
  <c r="BH56" i="7"/>
  <c r="N32" i="7"/>
  <c r="M32" i="7"/>
  <c r="P33" i="7" s="1"/>
  <c r="BM56" i="7"/>
  <c r="BJ56" i="7"/>
  <c r="BL56" i="7"/>
  <c r="M32" i="6"/>
  <c r="L32" i="6"/>
  <c r="O33" i="6" s="1"/>
  <c r="BN56" i="4"/>
  <c r="O32" i="4"/>
  <c r="K54" i="4" s="1"/>
  <c r="N32" i="4"/>
  <c r="Q33" i="4" s="1"/>
  <c r="BM33" i="9" l="1"/>
  <c r="AA34" i="9"/>
  <c r="BN34" i="9" s="1"/>
  <c r="U34" i="6"/>
  <c r="BG33" i="6"/>
  <c r="Q34" i="6"/>
  <c r="BC33" i="6"/>
  <c r="T34" i="6"/>
  <c r="BF33" i="6"/>
  <c r="BF57" i="6" s="1"/>
  <c r="W34" i="6"/>
  <c r="BI33" i="6"/>
  <c r="BI57" i="6" s="1"/>
  <c r="X34" i="6"/>
  <c r="Y35" i="6" s="1"/>
  <c r="BJ33" i="6"/>
  <c r="BJ57" i="6" s="1"/>
  <c r="P34" i="6"/>
  <c r="BB33" i="6"/>
  <c r="BB57" i="6" s="1"/>
  <c r="BL34" i="6"/>
  <c r="BL58" i="6" s="1"/>
  <c r="BK33" i="6"/>
  <c r="BK57" i="6" s="1"/>
  <c r="R34" i="6"/>
  <c r="BD33" i="6"/>
  <c r="BD57" i="6" s="1"/>
  <c r="V34" i="6"/>
  <c r="BH33" i="6"/>
  <c r="S34" i="6"/>
  <c r="BE33" i="6"/>
  <c r="BE57" i="6" s="1"/>
  <c r="S34" i="7"/>
  <c r="BE33" i="7"/>
  <c r="BM34" i="7"/>
  <c r="BL33" i="7"/>
  <c r="T34" i="7"/>
  <c r="BF33" i="7"/>
  <c r="V34" i="7"/>
  <c r="BH33" i="7"/>
  <c r="X34" i="7"/>
  <c r="BJ33" i="7"/>
  <c r="BJ57" i="7" s="1"/>
  <c r="Q34" i="7"/>
  <c r="BC33" i="7"/>
  <c r="BC57" i="7" s="1"/>
  <c r="Y34" i="7"/>
  <c r="Z35" i="7" s="1"/>
  <c r="BK33" i="7"/>
  <c r="BK57" i="7" s="1"/>
  <c r="R34" i="7"/>
  <c r="BD33" i="7"/>
  <c r="BD57" i="7" s="1"/>
  <c r="U34" i="7"/>
  <c r="BG33" i="7"/>
  <c r="W34" i="7"/>
  <c r="BI33" i="7"/>
  <c r="BI57" i="7" s="1"/>
  <c r="X34" i="4"/>
  <c r="BJ33" i="4"/>
  <c r="BJ57" i="4" s="1"/>
  <c r="BN34" i="4"/>
  <c r="BM33" i="4"/>
  <c r="BM57" i="4" s="1"/>
  <c r="U34" i="4"/>
  <c r="BG33" i="4"/>
  <c r="BG57" i="4" s="1"/>
  <c r="T34" i="4"/>
  <c r="BF33" i="4"/>
  <c r="BF57" i="4" s="1"/>
  <c r="R34" i="4"/>
  <c r="BD33" i="4"/>
  <c r="BD57" i="4" s="1"/>
  <c r="W34" i="4"/>
  <c r="BI33" i="4"/>
  <c r="BI57" i="4" s="1"/>
  <c r="Y34" i="4"/>
  <c r="BK33" i="4"/>
  <c r="BK57" i="4" s="1"/>
  <c r="S34" i="4"/>
  <c r="BE33" i="4"/>
  <c r="Z34" i="4"/>
  <c r="AA35" i="4" s="1"/>
  <c r="BL33" i="4"/>
  <c r="BL57" i="4" s="1"/>
  <c r="V34" i="4"/>
  <c r="BH33" i="4"/>
  <c r="BH57" i="4" s="1"/>
  <c r="U34" i="9"/>
  <c r="BH34" i="9" s="1"/>
  <c r="Z34" i="9"/>
  <c r="S34" i="9"/>
  <c r="BF34" i="9" s="1"/>
  <c r="R34" i="9"/>
  <c r="BE34" i="9" s="1"/>
  <c r="BD57" i="9"/>
  <c r="V34" i="9"/>
  <c r="BI34" i="9" s="1"/>
  <c r="X34" i="9"/>
  <c r="BK34" i="9" s="1"/>
  <c r="BJ57" i="9"/>
  <c r="Y34" i="9"/>
  <c r="BL34" i="9" s="1"/>
  <c r="BK57" i="9"/>
  <c r="T34" i="9"/>
  <c r="BG34" i="9" s="1"/>
  <c r="W34" i="9"/>
  <c r="BJ34" i="9" s="1"/>
  <c r="BE56" i="9"/>
  <c r="L32" i="9"/>
  <c r="M32" i="9" s="1"/>
  <c r="M47" i="2"/>
  <c r="S23" i="2"/>
  <c r="R47" i="2"/>
  <c r="Q23" i="2"/>
  <c r="P47" i="2"/>
  <c r="T23" i="2"/>
  <c r="S47" i="2"/>
  <c r="T47" i="2"/>
  <c r="U23" i="2"/>
  <c r="N48" i="2"/>
  <c r="M23" i="2"/>
  <c r="L23" i="2"/>
  <c r="L48" i="2" s="1"/>
  <c r="N47" i="2"/>
  <c r="O23" i="2"/>
  <c r="R23" i="2"/>
  <c r="Q47" i="2"/>
  <c r="V23" i="2"/>
  <c r="V48" i="2" s="1"/>
  <c r="U47" i="2"/>
  <c r="R25" i="2"/>
  <c r="Q49" i="2"/>
  <c r="P25" i="2"/>
  <c r="O49" i="2"/>
  <c r="BE56" i="4"/>
  <c r="L32" i="4"/>
  <c r="M32" i="4" s="1"/>
  <c r="BN57" i="9"/>
  <c r="BF57" i="9"/>
  <c r="O33" i="9"/>
  <c r="N33" i="9"/>
  <c r="Q34" i="9" s="1"/>
  <c r="BD34" i="9" s="1"/>
  <c r="BI57" i="9"/>
  <c r="BM57" i="9"/>
  <c r="BL57" i="9"/>
  <c r="BG57" i="9"/>
  <c r="BH57" i="9"/>
  <c r="BG57" i="6"/>
  <c r="BC57" i="6"/>
  <c r="BH57" i="6"/>
  <c r="M34" i="8"/>
  <c r="L34" i="8"/>
  <c r="O35" i="8" s="1"/>
  <c r="P36" i="8" s="1"/>
  <c r="Q37" i="8" s="1"/>
  <c r="R38" i="8" s="1"/>
  <c r="S39" i="8" s="1"/>
  <c r="BL57" i="7"/>
  <c r="BH57" i="7"/>
  <c r="BE57" i="7"/>
  <c r="N33" i="7"/>
  <c r="M33" i="7"/>
  <c r="P34" i="7" s="1"/>
  <c r="BG57" i="7"/>
  <c r="BM57" i="7"/>
  <c r="BF57" i="7"/>
  <c r="M33" i="6"/>
  <c r="L33" i="6"/>
  <c r="O34" i="6" s="1"/>
  <c r="O33" i="4"/>
  <c r="K55" i="4" s="1"/>
  <c r="N33" i="4"/>
  <c r="Q34" i="4" s="1"/>
  <c r="BN57" i="4"/>
  <c r="BM34" i="9" l="1"/>
  <c r="AA35" i="9"/>
  <c r="S35" i="6"/>
  <c r="BE34" i="6"/>
  <c r="U35" i="6"/>
  <c r="BG34" i="6"/>
  <c r="Q35" i="6"/>
  <c r="BC34" i="6"/>
  <c r="BL35" i="6"/>
  <c r="BL59" i="6" s="1"/>
  <c r="BK34" i="6"/>
  <c r="BK58" i="6" s="1"/>
  <c r="P35" i="6"/>
  <c r="BB34" i="6"/>
  <c r="BB58" i="6" s="1"/>
  <c r="T35" i="6"/>
  <c r="BF34" i="6"/>
  <c r="BF58" i="6" s="1"/>
  <c r="R35" i="6"/>
  <c r="BD34" i="6"/>
  <c r="BD58" i="6" s="1"/>
  <c r="X35" i="6"/>
  <c r="Y36" i="6" s="1"/>
  <c r="BJ34" i="6"/>
  <c r="BJ58" i="6" s="1"/>
  <c r="W35" i="6"/>
  <c r="BI34" i="6"/>
  <c r="V35" i="6"/>
  <c r="BH34" i="6"/>
  <c r="BH58" i="6" s="1"/>
  <c r="Q35" i="7"/>
  <c r="BC34" i="7"/>
  <c r="BC58" i="7" s="1"/>
  <c r="R35" i="7"/>
  <c r="BD34" i="7"/>
  <c r="U35" i="7"/>
  <c r="BG34" i="7"/>
  <c r="BG58" i="7" s="1"/>
  <c r="BM35" i="7"/>
  <c r="BL34" i="7"/>
  <c r="W35" i="7"/>
  <c r="BI34" i="7"/>
  <c r="BI58" i="7" s="1"/>
  <c r="S35" i="7"/>
  <c r="BE34" i="7"/>
  <c r="BE58" i="7" s="1"/>
  <c r="Y35" i="7"/>
  <c r="Z36" i="7" s="1"/>
  <c r="BK34" i="7"/>
  <c r="BK58" i="7" s="1"/>
  <c r="X35" i="7"/>
  <c r="BJ34" i="7"/>
  <c r="BJ58" i="7" s="1"/>
  <c r="V35" i="7"/>
  <c r="BH34" i="7"/>
  <c r="T35" i="7"/>
  <c r="BF34" i="7"/>
  <c r="S35" i="4"/>
  <c r="BE34" i="4"/>
  <c r="U35" i="4"/>
  <c r="BG34" i="4"/>
  <c r="BG58" i="4" s="1"/>
  <c r="V35" i="4"/>
  <c r="BH34" i="4"/>
  <c r="BH58" i="4" s="1"/>
  <c r="X35" i="4"/>
  <c r="BJ34" i="4"/>
  <c r="BJ58" i="4" s="1"/>
  <c r="R35" i="4"/>
  <c r="BD34" i="4"/>
  <c r="BD58" i="4" s="1"/>
  <c r="W35" i="4"/>
  <c r="BI34" i="4"/>
  <c r="BI58" i="4" s="1"/>
  <c r="T35" i="4"/>
  <c r="BF34" i="4"/>
  <c r="BF58" i="4" s="1"/>
  <c r="Z35" i="4"/>
  <c r="AA36" i="4" s="1"/>
  <c r="BL34" i="4"/>
  <c r="BL58" i="4" s="1"/>
  <c r="BN35" i="4"/>
  <c r="BM34" i="4"/>
  <c r="BM58" i="4" s="1"/>
  <c r="Y35" i="4"/>
  <c r="BK34" i="4"/>
  <c r="BK58" i="4" s="1"/>
  <c r="Z35" i="9"/>
  <c r="Y35" i="9"/>
  <c r="BL35" i="9" s="1"/>
  <c r="T35" i="9"/>
  <c r="BG35" i="9" s="1"/>
  <c r="BF58" i="9"/>
  <c r="R35" i="9"/>
  <c r="BE35" i="9" s="1"/>
  <c r="BD58" i="9"/>
  <c r="W35" i="9"/>
  <c r="BJ35" i="9" s="1"/>
  <c r="BI58" i="9"/>
  <c r="S35" i="9"/>
  <c r="BF35" i="9" s="1"/>
  <c r="X35" i="9"/>
  <c r="BK35" i="9" s="1"/>
  <c r="BN35" i="9"/>
  <c r="BM58" i="9"/>
  <c r="U35" i="9"/>
  <c r="BH35" i="9" s="1"/>
  <c r="V35" i="9"/>
  <c r="BI35" i="9" s="1"/>
  <c r="BE57" i="9"/>
  <c r="L33" i="9"/>
  <c r="M33" i="9" s="1"/>
  <c r="M24" i="2"/>
  <c r="N25" i="2" s="1"/>
  <c r="O26" i="2" s="1"/>
  <c r="O51" i="2" s="1"/>
  <c r="T24" i="2"/>
  <c r="S48" i="2"/>
  <c r="P24" i="2"/>
  <c r="O48" i="2"/>
  <c r="U24" i="2"/>
  <c r="T48" i="2"/>
  <c r="N24" i="2"/>
  <c r="M48" i="2"/>
  <c r="V24" i="2"/>
  <c r="V49" i="2" s="1"/>
  <c r="U48" i="2"/>
  <c r="L24" i="2"/>
  <c r="L49" i="2" s="1"/>
  <c r="R24" i="2"/>
  <c r="Q48" i="2"/>
  <c r="S24" i="2"/>
  <c r="R48" i="2"/>
  <c r="S26" i="2"/>
  <c r="S51" i="2" s="1"/>
  <c r="R50" i="2"/>
  <c r="Q26" i="2"/>
  <c r="Q51" i="2" s="1"/>
  <c r="P50" i="2"/>
  <c r="BE57" i="4"/>
  <c r="L33" i="4"/>
  <c r="M33" i="4" s="1"/>
  <c r="BJ58" i="9"/>
  <c r="O34" i="9"/>
  <c r="N34" i="9"/>
  <c r="Q35" i="9" s="1"/>
  <c r="BD35" i="9" s="1"/>
  <c r="BK58" i="9"/>
  <c r="BL58" i="9"/>
  <c r="BH58" i="9"/>
  <c r="BG58" i="9"/>
  <c r="BN58" i="9"/>
  <c r="BC58" i="6"/>
  <c r="BI58" i="6"/>
  <c r="BE58" i="6"/>
  <c r="BG58" i="6"/>
  <c r="M35" i="8"/>
  <c r="L35" i="8"/>
  <c r="O36" i="8" s="1"/>
  <c r="P37" i="8" s="1"/>
  <c r="Q38" i="8" s="1"/>
  <c r="R39" i="8" s="1"/>
  <c r="BH58" i="7"/>
  <c r="N34" i="7"/>
  <c r="M34" i="7"/>
  <c r="P35" i="7" s="1"/>
  <c r="BD58" i="7"/>
  <c r="BF58" i="7"/>
  <c r="BL58" i="7"/>
  <c r="BM58" i="7"/>
  <c r="M34" i="6"/>
  <c r="L34" i="6"/>
  <c r="O35" i="6" s="1"/>
  <c r="O34" i="4"/>
  <c r="K56" i="4" s="1"/>
  <c r="N34" i="4"/>
  <c r="Q35" i="4" s="1"/>
  <c r="BN58" i="4"/>
  <c r="BM35" i="9" l="1"/>
  <c r="AA36" i="9"/>
  <c r="P36" i="6"/>
  <c r="BB35" i="6"/>
  <c r="S36" i="6"/>
  <c r="BE35" i="6"/>
  <c r="U36" i="6"/>
  <c r="BG35" i="6"/>
  <c r="Q36" i="6"/>
  <c r="BC35" i="6"/>
  <c r="BL36" i="6"/>
  <c r="BK35" i="6"/>
  <c r="R36" i="6"/>
  <c r="BD35" i="6"/>
  <c r="BD59" i="6" s="1"/>
  <c r="W36" i="6"/>
  <c r="BI35" i="6"/>
  <c r="BI59" i="6" s="1"/>
  <c r="V36" i="6"/>
  <c r="BH35" i="6"/>
  <c r="BH59" i="6" s="1"/>
  <c r="X36" i="6"/>
  <c r="Y37" i="6" s="1"/>
  <c r="BJ35" i="6"/>
  <c r="T36" i="6"/>
  <c r="BF35" i="6"/>
  <c r="Y36" i="7"/>
  <c r="Z37" i="7" s="1"/>
  <c r="BK35" i="7"/>
  <c r="BM36" i="7"/>
  <c r="BL35" i="7"/>
  <c r="T36" i="7"/>
  <c r="BF35" i="7"/>
  <c r="BF59" i="7" s="1"/>
  <c r="X36" i="7"/>
  <c r="BJ35" i="7"/>
  <c r="V36" i="7"/>
  <c r="BH35" i="7"/>
  <c r="BH59" i="7" s="1"/>
  <c r="Q36" i="7"/>
  <c r="BC35" i="7"/>
  <c r="BC59" i="7" s="1"/>
  <c r="U36" i="7"/>
  <c r="BG35" i="7"/>
  <c r="S36" i="7"/>
  <c r="BE35" i="7"/>
  <c r="BE59" i="7" s="1"/>
  <c r="W36" i="7"/>
  <c r="BI35" i="7"/>
  <c r="R36" i="7"/>
  <c r="BD35" i="7"/>
  <c r="S36" i="4"/>
  <c r="BE35" i="4"/>
  <c r="W36" i="4"/>
  <c r="BI35" i="4"/>
  <c r="BI59" i="4" s="1"/>
  <c r="X36" i="4"/>
  <c r="BJ35" i="4"/>
  <c r="BJ59" i="4" s="1"/>
  <c r="Y36" i="4"/>
  <c r="BK35" i="4"/>
  <c r="BK59" i="4" s="1"/>
  <c r="BN36" i="4"/>
  <c r="BM35" i="4"/>
  <c r="BM59" i="4" s="1"/>
  <c r="U36" i="4"/>
  <c r="BG35" i="4"/>
  <c r="BG59" i="4" s="1"/>
  <c r="Z36" i="4"/>
  <c r="AA37" i="4" s="1"/>
  <c r="BL35" i="4"/>
  <c r="BL59" i="4" s="1"/>
  <c r="V36" i="4"/>
  <c r="BH35" i="4"/>
  <c r="BH59" i="4" s="1"/>
  <c r="R36" i="4"/>
  <c r="BD35" i="4"/>
  <c r="BD59" i="4" s="1"/>
  <c r="T36" i="4"/>
  <c r="BF35" i="4"/>
  <c r="BF59" i="4" s="1"/>
  <c r="X36" i="9"/>
  <c r="BK36" i="9" s="1"/>
  <c r="T36" i="9"/>
  <c r="BG36" i="9" s="1"/>
  <c r="S36" i="9"/>
  <c r="BF36" i="9" s="1"/>
  <c r="Y36" i="9"/>
  <c r="BL36" i="9" s="1"/>
  <c r="BK59" i="9"/>
  <c r="U36" i="9"/>
  <c r="BH36" i="9" s="1"/>
  <c r="BG59" i="9"/>
  <c r="W36" i="9"/>
  <c r="BJ36" i="9" s="1"/>
  <c r="Z36" i="9"/>
  <c r="BL59" i="9"/>
  <c r="R36" i="9"/>
  <c r="BE36" i="9" s="1"/>
  <c r="BD59" i="9"/>
  <c r="V36" i="9"/>
  <c r="BI36" i="9" s="1"/>
  <c r="BN36" i="9"/>
  <c r="BE58" i="9"/>
  <c r="L34" i="9"/>
  <c r="M34" i="9" s="1"/>
  <c r="N50" i="2"/>
  <c r="M49" i="2"/>
  <c r="T49" i="2"/>
  <c r="U25" i="2"/>
  <c r="L25" i="2"/>
  <c r="N49" i="2"/>
  <c r="O25" i="2"/>
  <c r="V25" i="2"/>
  <c r="V50" i="2" s="1"/>
  <c r="U49" i="2"/>
  <c r="M25" i="2"/>
  <c r="N26" i="2" s="1"/>
  <c r="N51" i="2" s="1"/>
  <c r="S25" i="2"/>
  <c r="R49" i="2"/>
  <c r="Q25" i="2"/>
  <c r="P49" i="2"/>
  <c r="T25" i="2"/>
  <c r="S49" i="2"/>
  <c r="BE58" i="4"/>
  <c r="L34" i="4"/>
  <c r="M34" i="4" s="1"/>
  <c r="BI59" i="9"/>
  <c r="BJ59" i="9"/>
  <c r="BM59" i="9"/>
  <c r="O35" i="9"/>
  <c r="N35" i="9"/>
  <c r="Q36" i="9" s="1"/>
  <c r="BD36" i="9" s="1"/>
  <c r="BF59" i="9"/>
  <c r="BN59" i="9"/>
  <c r="BH59" i="9"/>
  <c r="BF59" i="6"/>
  <c r="BJ59" i="6"/>
  <c r="BC59" i="6"/>
  <c r="BB59" i="6"/>
  <c r="BL60" i="6"/>
  <c r="BK59" i="6"/>
  <c r="BE59" i="6"/>
  <c r="BG59" i="6"/>
  <c r="M36" i="8"/>
  <c r="L36" i="8"/>
  <c r="O37" i="8" s="1"/>
  <c r="P38" i="8" s="1"/>
  <c r="Q39" i="8" s="1"/>
  <c r="BG59" i="7"/>
  <c r="BK59" i="7"/>
  <c r="N35" i="7"/>
  <c r="M35" i="7"/>
  <c r="P36" i="7" s="1"/>
  <c r="BD59" i="7"/>
  <c r="BL59" i="7"/>
  <c r="BM59" i="7"/>
  <c r="BI59" i="7"/>
  <c r="BJ59" i="7"/>
  <c r="M35" i="6"/>
  <c r="L35" i="6"/>
  <c r="O36" i="6" s="1"/>
  <c r="BN59" i="4"/>
  <c r="O35" i="4"/>
  <c r="K57" i="4" s="1"/>
  <c r="N35" i="4"/>
  <c r="Q36" i="4" s="1"/>
  <c r="BM36" i="9" l="1"/>
  <c r="AA37" i="9"/>
  <c r="W37" i="6"/>
  <c r="BI36" i="6"/>
  <c r="P37" i="6"/>
  <c r="BB36" i="6"/>
  <c r="S37" i="6"/>
  <c r="BE36" i="6"/>
  <c r="V37" i="6"/>
  <c r="BH36" i="6"/>
  <c r="BH60" i="6" s="1"/>
  <c r="X37" i="6"/>
  <c r="Y38" i="6" s="1"/>
  <c r="BJ36" i="6"/>
  <c r="BJ60" i="6" s="1"/>
  <c r="U37" i="6"/>
  <c r="BG36" i="6"/>
  <c r="BG60" i="6" s="1"/>
  <c r="T37" i="6"/>
  <c r="BF36" i="6"/>
  <c r="BF60" i="6" s="1"/>
  <c r="R37" i="6"/>
  <c r="BD36" i="6"/>
  <c r="BD60" i="6" s="1"/>
  <c r="BL37" i="6"/>
  <c r="BK36" i="6"/>
  <c r="Q37" i="6"/>
  <c r="BC36" i="6"/>
  <c r="Y37" i="7"/>
  <c r="Z38" i="7" s="1"/>
  <c r="BK36" i="7"/>
  <c r="V37" i="7"/>
  <c r="BH36" i="7"/>
  <c r="W37" i="7"/>
  <c r="BI36" i="7"/>
  <c r="BI60" i="7" s="1"/>
  <c r="U37" i="7"/>
  <c r="BG36" i="7"/>
  <c r="BG60" i="7" s="1"/>
  <c r="T37" i="7"/>
  <c r="BF36" i="7"/>
  <c r="BF60" i="7" s="1"/>
  <c r="R37" i="7"/>
  <c r="BD36" i="7"/>
  <c r="BD60" i="7" s="1"/>
  <c r="Q37" i="7"/>
  <c r="BC36" i="7"/>
  <c r="BC60" i="7" s="1"/>
  <c r="S37" i="7"/>
  <c r="BE36" i="7"/>
  <c r="BE60" i="7" s="1"/>
  <c r="X37" i="7"/>
  <c r="BJ36" i="7"/>
  <c r="BM37" i="7"/>
  <c r="BL36" i="7"/>
  <c r="BL60" i="7" s="1"/>
  <c r="W37" i="4"/>
  <c r="BI36" i="4"/>
  <c r="BI60" i="4" s="1"/>
  <c r="V37" i="4"/>
  <c r="BH36" i="4"/>
  <c r="BH60" i="4" s="1"/>
  <c r="BN37" i="4"/>
  <c r="BM36" i="4"/>
  <c r="BM60" i="4" s="1"/>
  <c r="R37" i="4"/>
  <c r="BD36" i="4"/>
  <c r="BD60" i="4" s="1"/>
  <c r="Y37" i="4"/>
  <c r="BK36" i="4"/>
  <c r="BK60" i="4" s="1"/>
  <c r="U37" i="4"/>
  <c r="BG36" i="4"/>
  <c r="BG60" i="4" s="1"/>
  <c r="X37" i="4"/>
  <c r="BJ36" i="4"/>
  <c r="BJ60" i="4" s="1"/>
  <c r="Z37" i="4"/>
  <c r="AA38" i="4" s="1"/>
  <c r="BL36" i="4"/>
  <c r="BL60" i="4" s="1"/>
  <c r="S37" i="4"/>
  <c r="BE36" i="4"/>
  <c r="T37" i="4"/>
  <c r="BF36" i="4"/>
  <c r="BF60" i="4" s="1"/>
  <c r="BN37" i="9"/>
  <c r="Z37" i="9"/>
  <c r="T37" i="9"/>
  <c r="BG37" i="9" s="1"/>
  <c r="X37" i="9"/>
  <c r="BK37" i="9" s="1"/>
  <c r="BJ60" i="9"/>
  <c r="R37" i="9"/>
  <c r="BE37" i="9" s="1"/>
  <c r="BD60" i="9"/>
  <c r="U37" i="9"/>
  <c r="BH37" i="9" s="1"/>
  <c r="BG60" i="9"/>
  <c r="S37" i="9"/>
  <c r="BF37" i="9" s="1"/>
  <c r="V37" i="9"/>
  <c r="BI37" i="9" s="1"/>
  <c r="BH60" i="9"/>
  <c r="W37" i="9"/>
  <c r="BJ37" i="9" s="1"/>
  <c r="Y37" i="9"/>
  <c r="BL37" i="9" s="1"/>
  <c r="BE59" i="9"/>
  <c r="L35" i="9"/>
  <c r="M35" i="9" s="1"/>
  <c r="M50" i="2"/>
  <c r="V26" i="2"/>
  <c r="V51" i="2" s="1"/>
  <c r="U50" i="2"/>
  <c r="P26" i="2"/>
  <c r="P51" i="2" s="1"/>
  <c r="O50" i="2"/>
  <c r="R26" i="2"/>
  <c r="R51" i="2" s="1"/>
  <c r="Q50" i="2"/>
  <c r="T26" i="2"/>
  <c r="T51" i="2" s="1"/>
  <c r="S50" i="2"/>
  <c r="L50" i="2"/>
  <c r="M26" i="2"/>
  <c r="M51" i="2" s="1"/>
  <c r="L26" i="2"/>
  <c r="L51" i="2" s="1"/>
  <c r="U26" i="2"/>
  <c r="U51" i="2" s="1"/>
  <c r="T50" i="2"/>
  <c r="BE59" i="4"/>
  <c r="L35" i="4"/>
  <c r="M35" i="4" s="1"/>
  <c r="BF60" i="9"/>
  <c r="O36" i="9"/>
  <c r="N36" i="9"/>
  <c r="Q37" i="9" s="1"/>
  <c r="BD37" i="9" s="1"/>
  <c r="BN60" i="9"/>
  <c r="BL60" i="9"/>
  <c r="BM60" i="9"/>
  <c r="BI60" i="9"/>
  <c r="BK60" i="9"/>
  <c r="BB60" i="6"/>
  <c r="BC60" i="6"/>
  <c r="BE60" i="6"/>
  <c r="BL61" i="6"/>
  <c r="BK60" i="6"/>
  <c r="BI60" i="6"/>
  <c r="M37" i="8"/>
  <c r="L37" i="8"/>
  <c r="O38" i="8" s="1"/>
  <c r="P39" i="8" s="1"/>
  <c r="BM60" i="7"/>
  <c r="N36" i="7"/>
  <c r="M36" i="7"/>
  <c r="P37" i="7" s="1"/>
  <c r="BK60" i="7"/>
  <c r="BJ60" i="7"/>
  <c r="BH60" i="7"/>
  <c r="M36" i="6"/>
  <c r="L36" i="6"/>
  <c r="O37" i="6" s="1"/>
  <c r="O36" i="4"/>
  <c r="K58" i="4" s="1"/>
  <c r="N36" i="4"/>
  <c r="Q37" i="4" s="1"/>
  <c r="BN60" i="4"/>
  <c r="BM37" i="9" l="1"/>
  <c r="AA38" i="9"/>
  <c r="S38" i="6"/>
  <c r="BE37" i="6"/>
  <c r="P38" i="6"/>
  <c r="BB37" i="6"/>
  <c r="T38" i="6"/>
  <c r="BF37" i="6"/>
  <c r="U38" i="6"/>
  <c r="BG37" i="6"/>
  <c r="V38" i="6"/>
  <c r="BH37" i="6"/>
  <c r="BH61" i="6" s="1"/>
  <c r="R38" i="6"/>
  <c r="BD37" i="6"/>
  <c r="Q38" i="6"/>
  <c r="BC37" i="6"/>
  <c r="BL38" i="6"/>
  <c r="BL62" i="6" s="1"/>
  <c r="BK37" i="6"/>
  <c r="BK61" i="6" s="1"/>
  <c r="W38" i="6"/>
  <c r="BI37" i="6"/>
  <c r="X38" i="6"/>
  <c r="BJ37" i="6"/>
  <c r="BJ61" i="6" s="1"/>
  <c r="V38" i="7"/>
  <c r="BH37" i="7"/>
  <c r="T38" i="7"/>
  <c r="BF37" i="7"/>
  <c r="X38" i="7"/>
  <c r="BJ37" i="7"/>
  <c r="R38" i="7"/>
  <c r="BD37" i="7"/>
  <c r="BD61" i="7" s="1"/>
  <c r="S38" i="7"/>
  <c r="BE37" i="7"/>
  <c r="BE61" i="7" s="1"/>
  <c r="U38" i="7"/>
  <c r="BG37" i="7"/>
  <c r="BG61" i="7" s="1"/>
  <c r="Q38" i="7"/>
  <c r="BC37" i="7"/>
  <c r="BC61" i="7" s="1"/>
  <c r="W38" i="7"/>
  <c r="BI37" i="7"/>
  <c r="BI61" i="7" s="1"/>
  <c r="Y38" i="7"/>
  <c r="Z39" i="7" s="1"/>
  <c r="BK37" i="7"/>
  <c r="BM38" i="7"/>
  <c r="BL37" i="7"/>
  <c r="V38" i="4"/>
  <c r="BH37" i="4"/>
  <c r="BH61" i="4" s="1"/>
  <c r="Z38" i="4"/>
  <c r="AA39" i="4" s="1"/>
  <c r="BL37" i="4"/>
  <c r="BL61" i="4" s="1"/>
  <c r="S38" i="4"/>
  <c r="BE37" i="4"/>
  <c r="U38" i="4"/>
  <c r="BG37" i="4"/>
  <c r="BG61" i="4" s="1"/>
  <c r="W38" i="4"/>
  <c r="BI37" i="4"/>
  <c r="BI61" i="4" s="1"/>
  <c r="Y38" i="4"/>
  <c r="BK37" i="4"/>
  <c r="BK61" i="4" s="1"/>
  <c r="BN38" i="4"/>
  <c r="BM37" i="4"/>
  <c r="BM61" i="4" s="1"/>
  <c r="R38" i="4"/>
  <c r="BD37" i="4"/>
  <c r="BD61" i="4" s="1"/>
  <c r="T38" i="4"/>
  <c r="BF37" i="4"/>
  <c r="BF61" i="4" s="1"/>
  <c r="X38" i="4"/>
  <c r="BJ37" i="4"/>
  <c r="BJ61" i="4" s="1"/>
  <c r="Y38" i="9"/>
  <c r="BL38" i="9" s="1"/>
  <c r="W38" i="9"/>
  <c r="BJ38" i="9" s="1"/>
  <c r="V38" i="9"/>
  <c r="BI38" i="9" s="1"/>
  <c r="BH61" i="9"/>
  <c r="S38" i="9"/>
  <c r="BF38" i="9" s="1"/>
  <c r="U38" i="9"/>
  <c r="BH38" i="9" s="1"/>
  <c r="T38" i="9"/>
  <c r="BG38" i="9" s="1"/>
  <c r="BF61" i="9"/>
  <c r="Z38" i="9"/>
  <c r="BM38" i="9" s="1"/>
  <c r="BN38" i="9"/>
  <c r="BM61" i="9"/>
  <c r="R38" i="9"/>
  <c r="BE38" i="9" s="1"/>
  <c r="BD61" i="9"/>
  <c r="X38" i="9"/>
  <c r="BK38" i="9" s="1"/>
  <c r="BE60" i="9"/>
  <c r="L36" i="9"/>
  <c r="M36" i="9" s="1"/>
  <c r="BE60" i="4"/>
  <c r="L36" i="4"/>
  <c r="M36" i="4" s="1"/>
  <c r="O37" i="9"/>
  <c r="N37" i="9"/>
  <c r="Q38" i="9" s="1"/>
  <c r="BK61" i="9"/>
  <c r="BN61" i="9"/>
  <c r="BI61" i="9"/>
  <c r="BL61" i="9"/>
  <c r="BG61" i="9"/>
  <c r="BJ61" i="9"/>
  <c r="BF61" i="6"/>
  <c r="BB61" i="6"/>
  <c r="BI61" i="6"/>
  <c r="BE61" i="6"/>
  <c r="BD61" i="6"/>
  <c r="BG61" i="6"/>
  <c r="BC61" i="6"/>
  <c r="M38" i="8"/>
  <c r="L38" i="8"/>
  <c r="O39" i="8" a="1"/>
  <c r="O39" i="8" s="1"/>
  <c r="N37" i="7"/>
  <c r="M37" i="7"/>
  <c r="P38" i="7" s="1"/>
  <c r="BC38" i="7" s="1"/>
  <c r="BC62" i="7" s="1"/>
  <c r="BL61" i="7"/>
  <c r="BM61" i="7"/>
  <c r="BJ61" i="7"/>
  <c r="BK61" i="7"/>
  <c r="BH61" i="7"/>
  <c r="BF61" i="7"/>
  <c r="M37" i="6"/>
  <c r="L37" i="6"/>
  <c r="O38" i="6" s="1"/>
  <c r="BB38" i="6" s="1"/>
  <c r="BN61" i="4"/>
  <c r="N37" i="4"/>
  <c r="Q38" i="4" s="1"/>
  <c r="O37" i="4"/>
  <c r="K59" i="4" s="1"/>
  <c r="BD38" i="9" l="1"/>
  <c r="BD62" i="9" s="1"/>
  <c r="R39" i="6"/>
  <c r="BE39" i="6" s="1"/>
  <c r="BD38" i="6"/>
  <c r="S39" i="6"/>
  <c r="BF39" i="6" s="1"/>
  <c r="BE38" i="6"/>
  <c r="BL39" i="6"/>
  <c r="BL63" i="6" s="1"/>
  <c r="BK38" i="6"/>
  <c r="BK62" i="6" s="1"/>
  <c r="Q39" i="6"/>
  <c r="BD39" i="6" s="1"/>
  <c r="BD63" i="6" s="1"/>
  <c r="BC38" i="6"/>
  <c r="V39" i="6"/>
  <c r="BI39" i="6" s="1"/>
  <c r="BI63" i="6" s="1"/>
  <c r="BH38" i="6"/>
  <c r="BH62" i="6" s="1"/>
  <c r="U39" i="6"/>
  <c r="BH39" i="6" s="1"/>
  <c r="BH63" i="6" s="1"/>
  <c r="BG38" i="6"/>
  <c r="BG62" i="6" s="1"/>
  <c r="W39" i="6"/>
  <c r="BJ39" i="6" s="1"/>
  <c r="BJ63" i="6" s="1"/>
  <c r="BI38" i="6"/>
  <c r="BI62" i="6" s="1"/>
  <c r="X39" i="6"/>
  <c r="BK39" i="6" s="1"/>
  <c r="BK63" i="6" s="1"/>
  <c r="BJ38" i="6"/>
  <c r="BJ62" i="6" s="1"/>
  <c r="T39" i="6"/>
  <c r="BG39" i="6" s="1"/>
  <c r="BF38" i="6"/>
  <c r="X39" i="7"/>
  <c r="BK39" i="7" s="1"/>
  <c r="BJ38" i="7"/>
  <c r="Y39" i="7"/>
  <c r="BL39" i="7" s="1"/>
  <c r="BK38" i="7"/>
  <c r="BK62" i="7" s="1"/>
  <c r="R39" i="7"/>
  <c r="BE39" i="7" s="1"/>
  <c r="BD38" i="7"/>
  <c r="V39" i="7"/>
  <c r="BI39" i="7" s="1"/>
  <c r="BI63" i="7" s="1"/>
  <c r="BH38" i="7"/>
  <c r="BH62" i="7" s="1"/>
  <c r="T39" i="7"/>
  <c r="BG39" i="7" s="1"/>
  <c r="BG63" i="7" s="1"/>
  <c r="BF38" i="7"/>
  <c r="BF62" i="7" s="1"/>
  <c r="S39" i="7"/>
  <c r="BF39" i="7" s="1"/>
  <c r="BF63" i="7" s="1"/>
  <c r="BE38" i="7"/>
  <c r="BE62" i="7" s="1"/>
  <c r="U39" i="7"/>
  <c r="BH39" i="7" s="1"/>
  <c r="BH63" i="7" s="1"/>
  <c r="BG38" i="7"/>
  <c r="BG62" i="7" s="1"/>
  <c r="BM39" i="7"/>
  <c r="BM63" i="7" s="1"/>
  <c r="BL38" i="7"/>
  <c r="BL62" i="7" s="1"/>
  <c r="W39" i="7"/>
  <c r="BJ39" i="7" s="1"/>
  <c r="BI38" i="7"/>
  <c r="S39" i="4"/>
  <c r="BF39" i="4" s="1"/>
  <c r="BF63" i="4" s="1"/>
  <c r="BE38" i="4"/>
  <c r="R39" i="4"/>
  <c r="BE39" i="4" s="1"/>
  <c r="BD38" i="4"/>
  <c r="BD62" i="4" s="1"/>
  <c r="BN39" i="4"/>
  <c r="BN63" i="4" s="1"/>
  <c r="BM38" i="4"/>
  <c r="BM62" i="4" s="1"/>
  <c r="Z39" i="4"/>
  <c r="BM39" i="4" s="1"/>
  <c r="BM63" i="4" s="1"/>
  <c r="BL38" i="4"/>
  <c r="BL62" i="4" s="1"/>
  <c r="X39" i="4"/>
  <c r="BK39" i="4" s="1"/>
  <c r="BK63" i="4" s="1"/>
  <c r="BJ38" i="4"/>
  <c r="BJ62" i="4" s="1"/>
  <c r="V39" i="4"/>
  <c r="BI39" i="4" s="1"/>
  <c r="BI63" i="4" s="1"/>
  <c r="BH38" i="4"/>
  <c r="BH62" i="4" s="1"/>
  <c r="T39" i="4"/>
  <c r="BG39" i="4" s="1"/>
  <c r="BG63" i="4" s="1"/>
  <c r="BF38" i="4"/>
  <c r="BF62" i="4" s="1"/>
  <c r="Y39" i="4"/>
  <c r="BL39" i="4" s="1"/>
  <c r="BL63" i="4" s="1"/>
  <c r="BK38" i="4"/>
  <c r="BK62" i="4" s="1"/>
  <c r="U39" i="4"/>
  <c r="BH39" i="4" s="1"/>
  <c r="BH63" i="4" s="1"/>
  <c r="BG38" i="4"/>
  <c r="BG62" i="4" s="1"/>
  <c r="W39" i="4"/>
  <c r="BJ39" i="4" s="1"/>
  <c r="BJ63" i="4" s="1"/>
  <c r="BI38" i="4"/>
  <c r="BI62" i="4" s="1"/>
  <c r="U39" i="9"/>
  <c r="BH39" i="9" s="1"/>
  <c r="BH63" i="9" s="1"/>
  <c r="V39" i="9"/>
  <c r="BI39" i="9" s="1"/>
  <c r="BN39" i="9"/>
  <c r="BN63" i="9" s="1"/>
  <c r="X39" i="9"/>
  <c r="BK39" i="9" s="1"/>
  <c r="BK63" i="9" s="1"/>
  <c r="T39" i="9"/>
  <c r="BF62" i="9"/>
  <c r="W39" i="9"/>
  <c r="BI62" i="9"/>
  <c r="Y39" i="9"/>
  <c r="BK62" i="9"/>
  <c r="S39" i="9"/>
  <c r="Z39" i="9"/>
  <c r="BM39" i="9" s="1"/>
  <c r="BE61" i="9"/>
  <c r="L37" i="9"/>
  <c r="M37" i="9" s="1"/>
  <c r="R39" i="9"/>
  <c r="BE39" i="9" s="1"/>
  <c r="Q39" i="9" a="1"/>
  <c r="Q39" i="9" s="1"/>
  <c r="P39" i="6"/>
  <c r="BC39" i="6" s="1"/>
  <c r="BC63" i="6" s="1"/>
  <c r="O39" i="6" a="1"/>
  <c r="O39" i="6" s="1"/>
  <c r="BB39" i="6" s="1"/>
  <c r="BB63" i="6" s="1"/>
  <c r="Q39" i="7"/>
  <c r="BD39" i="7" s="1"/>
  <c r="P39" i="7" a="1"/>
  <c r="P39" i="7" s="1"/>
  <c r="BC39" i="7" s="1"/>
  <c r="BC63" i="7" s="1"/>
  <c r="BE61" i="4"/>
  <c r="L37" i="4"/>
  <c r="M37" i="4" s="1"/>
  <c r="BJ62" i="9"/>
  <c r="BM63" i="9"/>
  <c r="BL62" i="9"/>
  <c r="BM62" i="9"/>
  <c r="BG62" i="9"/>
  <c r="O38" i="9"/>
  <c r="N38" i="9"/>
  <c r="BI63" i="9"/>
  <c r="BH62" i="9"/>
  <c r="BN62" i="9"/>
  <c r="BE63" i="6"/>
  <c r="BD62" i="6"/>
  <c r="BF63" i="6"/>
  <c r="BE62" i="6"/>
  <c r="BG63" i="6"/>
  <c r="BF62" i="6"/>
  <c r="BC62" i="6"/>
  <c r="BB62" i="6"/>
  <c r="M39" i="8"/>
  <c r="L39" i="8"/>
  <c r="BK63" i="7"/>
  <c r="BJ62" i="7"/>
  <c r="BM62" i="7"/>
  <c r="N38" i="7"/>
  <c r="M38" i="7"/>
  <c r="BE63" i="7"/>
  <c r="BD62" i="7"/>
  <c r="BL63" i="7"/>
  <c r="BJ63" i="7"/>
  <c r="BI62" i="7"/>
  <c r="M38" i="6"/>
  <c r="L38" i="6"/>
  <c r="BN62" i="4"/>
  <c r="O38" i="4"/>
  <c r="K60" i="4" s="1"/>
  <c r="N38" i="4"/>
  <c r="Q39" i="4" a="1"/>
  <c r="Q39" i="4" s="1"/>
  <c r="BG39" i="9" l="1"/>
  <c r="BG63" i="9" s="1"/>
  <c r="BL39" i="9"/>
  <c r="BL63" i="9" s="1"/>
  <c r="BF39" i="9"/>
  <c r="BF63" i="9" s="1"/>
  <c r="BD39" i="9"/>
  <c r="BD63" i="9" s="1"/>
  <c r="BJ39" i="9"/>
  <c r="BJ63" i="9" s="1"/>
  <c r="BD39" i="4"/>
  <c r="BD63" i="4" s="1"/>
  <c r="BE62" i="9"/>
  <c r="L38" i="9"/>
  <c r="M38" i="9" s="1"/>
  <c r="BE62" i="4"/>
  <c r="L38" i="4"/>
  <c r="M38" i="4" s="1"/>
  <c r="O39" i="9"/>
  <c r="N39" i="9"/>
  <c r="N39" i="7"/>
  <c r="M39" i="7"/>
  <c r="M39" i="6"/>
  <c r="L39" i="6"/>
  <c r="C21" i="6"/>
  <c r="C22" i="6" s="1"/>
  <c r="O39" i="4"/>
  <c r="K61" i="4" s="1"/>
  <c r="N39" i="4"/>
  <c r="L39" i="4" l="1"/>
  <c r="M39" i="4" s="1"/>
  <c r="C30" i="4" s="1"/>
  <c r="BE63" i="9"/>
  <c r="L39" i="9"/>
  <c r="M39" i="9" s="1"/>
  <c r="C23" i="9" s="1"/>
  <c r="BD63" i="7"/>
  <c r="C21" i="7" s="1"/>
  <c r="C23" i="7" s="1"/>
  <c r="BE63" i="4"/>
  <c r="C28" i="4" s="1"/>
  <c r="C21" i="9"/>
  <c r="C24" i="9" s="1"/>
  <c r="C31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tc={6D0F565D-6938-7242-9EB0-02BFB29B9C82}</author>
    <author>tc={0F52AC46-E228-C040-9676-8F27B8DC1206}</author>
    <author>tc={ADF70D6B-57F9-994C-907B-026E15EF2428}</author>
    <author>tc={B42CB9B1-889F-1945-AADB-467E524A30ED}</author>
    <author>tc={09F09BBF-D853-2140-9F49-6111B2A73E04}</author>
    <author>tc={BBCF75B6-DEE2-1F45-A1E1-8893253C6B8F}</author>
    <author>tc={1A325E29-4DE8-C242-9E51-1BB0C798E02F}</author>
    <author>tc={5CE880C1-D741-CF48-9A05-F821609EAD05}</author>
    <author>tc={016BE104-88D3-9C48-82E7-DEF17295E276}</author>
    <author>tc={2F78EB39-7155-0F45-9DA3-52B2E8C46126}</author>
    <author>tc={16668ADE-20EF-264E-9858-0AA1586CE159}</author>
    <author>tc={624AA30C-6842-8645-8C32-03C10A3FF1E9}</author>
    <author>tc={23AFEAA0-9CC6-FA45-9F58-6559E4487ABE}</author>
    <author>tc={33D945B9-7378-FA42-B75E-369AB53B621B}</author>
  </authors>
  <commentList>
    <comment ref="A2" authorId="0" shapeId="0" xr:uid="{6D0F565D-6938-7242-9EB0-02BFB29B9C82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0F52AC46-E228-C040-9676-8F27B8DC120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ADF70D6B-57F9-994C-907B-026E15EF2428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R3" authorId="3" shapeId="0" xr:uid="{B42CB9B1-889F-1945-AADB-467E524A30ED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a maximum age</t>
      </text>
    </comment>
    <comment ref="A4" authorId="4" shapeId="0" xr:uid="{09F09BBF-D853-2140-9F49-6111B2A73E04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5" shapeId="0" xr:uid="{BBCF75B6-DEE2-1F45-A1E1-8893253C6B8F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6" shapeId="0" xr:uid="{1A325E29-4DE8-C242-9E51-1BB0C798E02F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7" shapeId="0" xr:uid="{5CE880C1-D741-CF48-9A05-F821609EAD05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8" shapeId="0" xr:uid="{016BE104-88D3-9C48-82E7-DEF17295E276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G7" authorId="9" shapeId="0" xr:uid="{2F78EB39-7155-0F45-9DA3-52B2E8C46126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at age</t>
      </text>
    </comment>
    <comment ref="A8" authorId="10" shapeId="0" xr:uid="{16668ADE-20EF-264E-9858-0AA1586CE15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G8" authorId="11" shapeId="0" xr:uid="{624AA30C-6842-8645-8C32-03C10A3FF1E9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survivorship in the unfished condition</t>
      </text>
    </comment>
    <comment ref="A9" authorId="12" shapeId="0" xr:uid="{23AFEAA0-9CC6-FA45-9F58-6559E4487AB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G9" authorId="13" shapeId="0" xr:uid="{33D945B9-7378-FA42-B75E-369AB53B621B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survivorship in the fished condition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tc={3A8CF952-C3B2-7340-B6D0-5434B1C0F517}</author>
    <author>tc={909B70BA-02CF-0941-8D50-24AB01504F25}</author>
    <author>tc={9FDE2508-27A3-C84D-B787-CA1EEB1DA5B5}</author>
    <author>tc={80760C65-B2FA-6140-876C-D91B60EEA188}</author>
    <author>tc={F8A390C7-C4D1-344D-86D0-BDDE8F52B237}</author>
    <author>tc={95040D64-886F-3F49-B7A4-1DEBED4267E1}</author>
    <author>tc={0B5D7C8C-13BC-8143-BEE4-7C07FC208346}</author>
    <author>tc={DF0BEA82-79F2-7543-88C7-BF321DE2A387}</author>
    <author>tc={6F9617A4-DFE2-564D-91A9-DB17B0F1FB98}</author>
    <author>tc={C428F6DA-BEEF-E942-8899-A0522DBCED0B}</author>
  </authors>
  <commentList>
    <comment ref="A2" authorId="0" shapeId="0" xr:uid="{3A8CF952-C3B2-7340-B6D0-5434B1C0F51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909B70BA-02CF-0941-8D50-24AB01504F2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9FDE2508-27A3-C84D-B787-CA1EEB1DA5B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80760C65-B2FA-6140-876C-D91B60EEA188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F8A390C7-C4D1-344D-86D0-BDDE8F52B237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95040D64-886F-3F49-B7A4-1DEBED4267E1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0B5D7C8C-13BC-8143-BEE4-7C07FC208346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DF0BEA82-79F2-7543-88C7-BF321DE2A38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6F9617A4-DFE2-564D-91A9-DB17B0F1FB98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C428F6DA-BEEF-E942-8899-A0522DBCED0B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tc={F3F9E885-6029-1E41-9A10-6D5F27693F64}</author>
    <author>tc={FD8BCC8E-6B3B-9E4E-8BD5-6C93F48359E0}</author>
    <author>tc={02AA6A6F-C168-EB48-865F-12381D13222A}</author>
    <author>tc={D9EA75ED-228D-C14C-8C59-B85774631097}</author>
    <author>tc={14E75CD2-9EBA-B640-A96A-5AED85E67CE1}</author>
    <author>tc={4A9A18DB-34B7-594B-9D7D-D0A3B85D27A8}</author>
    <author>tc={CE851BFA-83DB-A148-8842-56E75A4CC51D}</author>
    <author>tc={FBE2251F-E201-C84E-8F61-3B8FCBE68915}</author>
    <author>tc={E2C02A06-7D0C-C344-8AA2-0D4A934100EC}</author>
    <author>tc={783D7F4F-9B84-3146-82C0-9CEA711DD008}</author>
    <author>tc={D515980B-9F83-F945-BF77-8AE6CB703AD7}</author>
    <author>tc={CCFF95AE-0382-554E-91C6-30C5D6558FF7}</author>
    <author>tc={83D4E062-9D47-1D48-9D44-390380412C06}</author>
    <author>tc={9DE85198-52A4-0E4A-88BD-4F76CDB88624}</author>
    <author>tc={3080081C-4F59-A544-832D-308F45BAE8CD}</author>
    <author>tc={0AB1D434-7458-6142-BEB3-C503BB7A3B63}</author>
    <author>tc={4E21E42C-EBC2-0342-9E22-F9DC33CE8F99}</author>
    <author>tc={7E43BD6E-A699-9543-B0A5-6EE0C348A229}</author>
    <author>tc={4726C9D1-2EFA-A145-BA63-73A02022E9F1}</author>
  </authors>
  <commentList>
    <comment ref="A2" authorId="0" shapeId="0" xr:uid="{F3F9E885-6029-1E41-9A10-6D5F27693F64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FD8BCC8E-6B3B-9E4E-8BD5-6C93F48359E0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02AA6A6F-C168-EB48-865F-12381D13222A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D9EA75ED-228D-C14C-8C59-B8577463109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14E75CD2-9EBA-B640-A96A-5AED85E67CE1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4A9A18DB-34B7-594B-9D7D-D0A3B85D27A8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CE851BFA-83DB-A148-8842-56E75A4CC51D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FBE2251F-E201-C84E-8F61-3B8FCBE68915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E2C02A06-7D0C-C344-8AA2-0D4A934100E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783D7F4F-9B84-3146-82C0-9CEA711DD008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B14" authorId="10" shapeId="0" xr:uid="{D515980B-9F83-F945-BF77-8AE6CB703AD7}">
      <text>
        <t>[Threaded comment]
Your version of Excel allows you to read this threaded comment; however, any edits to it will get removed if the file is opened in a newer version of Excel. Learn more: https://go.microsoft.com/fwlink/?linkid=870924
Comment:
    steepness parameter
Reply:
    we derive the Beverton-Holt parameters from steepness below</t>
      </text>
    </comment>
    <comment ref="B15" authorId="11" shapeId="0" xr:uid="{CCFF95AE-0382-554E-91C6-30C5D6558FF7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recruitment</t>
      </text>
    </comment>
    <comment ref="B16" authorId="12" shapeId="0" xr:uid="{83D4E062-9D47-1D48-9D44-390380412C06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Fishing mortality over the time series</t>
      </text>
    </comment>
    <comment ref="B21" authorId="13" shapeId="0" xr:uid="{9DE85198-52A4-0E4A-88BD-4F76CDB88624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eggs production - Botsford incidence function</t>
      </text>
    </comment>
    <comment ref="B22" authorId="14" shapeId="0" xr:uid="{3080081C-4F59-A544-832D-308F45BAE8CD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vulnerable biomass</t>
      </text>
    </comment>
    <comment ref="B23" authorId="15" shapeId="0" xr:uid="{0AB1D434-7458-6142-BEB3-C503BB7A3B63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a parameter</t>
      </text>
    </comment>
    <comment ref="C23" authorId="16" shapeId="0" xr:uid="{4E21E42C-EBC2-0342-9E22-F9DC33CE8F99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Review back to your recruitment notes for these equations</t>
      </text>
    </comment>
    <comment ref="B24" authorId="17" shapeId="0" xr:uid="{7E43BD6E-A699-9543-B0A5-6EE0C348A229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b parameter</t>
      </text>
    </comment>
    <comment ref="B25" authorId="18" shapeId="0" xr:uid="{4726C9D1-2EFA-A145-BA63-73A02022E9F1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Goodyear compensation ratio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tc={0A5AE067-1D3E-7746-B9B9-6DC05CA26618}</author>
    <author>tc={3BD4DA3F-D2BF-7D4C-9BAB-4A7AECBFD59E}</author>
    <author>tc={F6D41EFA-49FC-484C-88F7-41F7CFA5416B}</author>
    <author>tc={8BE43E73-5922-F344-B257-399EFC85D37F}</author>
    <author>tc={15969975-2D1B-D841-9FEE-67B2BEE0CF9C}</author>
    <author>tc={760426EB-8579-4A42-8213-AAEA3A8115B8}</author>
    <author>tc={2CAE6568-07DA-034E-896D-2D4EFCDBA4C8}</author>
    <author>tc={811410B8-3EF2-8149-89CE-79B97A9D89E0}</author>
    <author>tc={74BA2FCD-B67F-FE47-B185-ACBA84C376AC}</author>
    <author>tc={346B1BB0-0AF1-6347-86DE-227317F45394}</author>
    <author>tc={A5EAA20C-07E9-264C-B9BF-82A35994BB4D}</author>
    <author>tc={F0AFF808-F45E-674F-975A-2BEAACE6ADED}</author>
    <author>tc={ECFA6137-5FDF-D84A-AC89-8F825FEFED45}</author>
    <author>tc={794D24B4-9B79-2749-B388-26F45FF31B32}</author>
    <author>tc={8A9DAD4F-C3CA-0B4E-BE9E-B7D321EC9802}</author>
    <author>tc={DEA7A7B0-3563-774B-8AB3-25CDDB61FB84}</author>
    <author>tc={DAF37FAB-6053-4E44-8E5F-E7646FE513F5}</author>
    <author>tc={FCA92429-4686-DE48-B530-78F7D4F8E606}</author>
  </authors>
  <commentList>
    <comment ref="A2" authorId="0" shapeId="0" xr:uid="{0A5AE067-1D3E-7746-B9B9-6DC05CA26618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3BD4DA3F-D2BF-7D4C-9BAB-4A7AECBFD59E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F6D41EFA-49FC-484C-88F7-41F7CFA5416B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8BE43E73-5922-F344-B257-399EFC85D37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15969975-2D1B-D841-9FEE-67B2BEE0CF9C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760426EB-8579-4A42-8213-AAEA3A8115B8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2CAE6568-07DA-034E-896D-2D4EFCDBA4C8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811410B8-3EF2-8149-89CE-79B97A9D89E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74BA2FCD-B67F-FE47-B185-ACBA84C376A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346B1BB0-0AF1-6347-86DE-227317F45394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B14" authorId="10" shapeId="0" xr:uid="{A5EAA20C-07E9-264C-B9BF-82A35994BB4D}">
      <text>
        <t>[Threaded comment]
Your version of Excel allows you to read this threaded comment; however, any edits to it will get removed if the file is opened in a newer version of Excel. Learn more: https://go.microsoft.com/fwlink/?linkid=870924
Comment:
    steepness parameter
Reply:
    we derive the Beverton-Holt parameters from steepness below</t>
      </text>
    </comment>
    <comment ref="B15" authorId="11" shapeId="0" xr:uid="{F0AFF808-F45E-674F-975A-2BEAACE6ADED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recruitment</t>
      </text>
    </comment>
    <comment ref="B16" authorId="12" shapeId="0" xr:uid="{ECFA6137-5FDF-D84A-AC89-8F825FEFED45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Fishing mortality over the time series</t>
      </text>
    </comment>
    <comment ref="B21" authorId="13" shapeId="0" xr:uid="{794D24B4-9B79-2749-B388-26F45FF31B32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eggs production - Botsford incidence function</t>
      </text>
    </comment>
    <comment ref="B22" authorId="14" shapeId="0" xr:uid="{8A9DAD4F-C3CA-0B4E-BE9E-B7D321EC98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vulnerable biomass</t>
      </text>
    </comment>
    <comment ref="B23" authorId="15" shapeId="0" xr:uid="{DEA7A7B0-3563-774B-8AB3-25CDDB61FB84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a parameter</t>
      </text>
    </comment>
    <comment ref="B24" authorId="16" shapeId="0" xr:uid="{DAF37FAB-6053-4E44-8E5F-E7646FE513F5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b parameter</t>
      </text>
    </comment>
    <comment ref="B25" authorId="17" shapeId="0" xr:uid="{FCA92429-4686-DE48-B530-78F7D4F8E606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Goodyear compensation ratio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tc={20CA74B2-52BB-D54E-8704-A3283D2F3BDC}</author>
    <author>tc={9128CC11-2676-8C41-AF9D-AEFF8D7092FB}</author>
    <author>tc={62F10CA9-3F5A-7545-B29D-B6995D2B2A79}</author>
    <author>tc={06BB297E-A6F3-BF40-B812-6C3F148DFB2B}</author>
    <author>tc={3701A798-F5C3-3E42-97E0-57C3A3367AB4}</author>
    <author>tc={9DC5C8D1-CC3A-3A4D-A5F2-467ECB774796}</author>
    <author>tc={2D5ABD09-0ED4-D444-9136-54A5024F2825}</author>
    <author>tc={6449F602-58E3-BF43-89F3-FDAAA271012E}</author>
    <author>tc={7A78AD89-CA58-5144-AE08-94F84D88179E}</author>
    <author>tc={DE281B80-DF06-494E-980F-EDF400D8B63C}</author>
    <author>tc={5EB3EE49-5877-434A-A07A-A8EE5F309E2D}</author>
    <author>tc={4D000259-FAD9-8044-9A71-7EA3C6CCBBAD}</author>
    <author>tc={1AD3E547-9EFD-C54F-808F-0F80A9BE1BFF}</author>
    <author>tc={C844E961-D835-9A4C-89F3-76E5C39307FD}</author>
    <author>tc={EC0C471A-2E20-6B43-8EBD-52C649E3891D}</author>
    <author>tc={9C526551-1CAA-484E-B9C7-E64A9FA10514}</author>
    <author>tc={C9D2E4D0-3D63-4B45-BCB7-B8F0E259B85C}</author>
    <author>tc={1F326EE2-229B-F649-AC7E-87616A5AA2B2}</author>
    <author>tc={B1EFF5E1-87E1-424C-8C03-A77DEF12E50E}</author>
    <author>tc={60F0797E-1F85-1744-977C-C02238AC4421}</author>
    <author>tc={2A5C4070-674B-2844-8A6F-D788F9C5ADE2}</author>
  </authors>
  <commentList>
    <comment ref="A2" authorId="0" shapeId="0" xr:uid="{20CA74B2-52BB-D54E-8704-A3283D2F3BD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9128CC11-2676-8C41-AF9D-AEFF8D7092FB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62F10CA9-3F5A-7545-B29D-B6995D2B2A79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06BB297E-A6F3-BF40-B812-6C3F148DFB2B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3701A798-F5C3-3E42-97E0-57C3A3367AB4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9DC5C8D1-CC3A-3A4D-A5F2-467ECB774796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2D5ABD09-0ED4-D444-9136-54A5024F2825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6449F602-58E3-BF43-89F3-FDAAA271012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7A78AD89-CA58-5144-AE08-94F84D88179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DE281B80-DF06-494E-980F-EDF400D8B63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B14" authorId="10" shapeId="0" xr:uid="{5EB3EE49-5877-434A-A07A-A8EE5F309E2D}">
      <text>
        <t>[Threaded comment]
Your version of Excel allows you to read this threaded comment; however, any edits to it will get removed if the file is opened in a newer version of Excel. Learn more: https://go.microsoft.com/fwlink/?linkid=870924
Comment:
    steepness parameter
Reply:
    we derive the Beverton-Holt parameters from steepness below</t>
      </text>
    </comment>
    <comment ref="B15" authorId="11" shapeId="0" xr:uid="{4D000259-FAD9-8044-9A71-7EA3C6CCBBAD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recruitment</t>
      </text>
    </comment>
    <comment ref="B16" authorId="12" shapeId="0" xr:uid="{1AD3E547-9EFD-C54F-808F-0F80A9BE1BFF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Fishing mortality over the time series</t>
      </text>
    </comment>
    <comment ref="B17" authorId="13" shapeId="0" xr:uid="{C844E961-D835-9A4C-89F3-76E5C39307FD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catch composition</t>
      </text>
    </comment>
    <comment ref="BM17" authorId="14" shapeId="0" xr:uid="{EC0C471A-2E20-6B43-8EBD-52C649E389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Baranov catch equation. Refer to your past notes for a refresher.</t>
      </text>
    </comment>
    <comment ref="B25" authorId="15" shapeId="0" xr:uid="{9C526551-1CAA-484E-B9C7-E64A9FA10514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eggs production - Botsford incidence function</t>
      </text>
    </comment>
    <comment ref="B26" authorId="16" shapeId="0" xr:uid="{C9D2E4D0-3D63-4B45-BCB7-B8F0E259B85C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vulnerable biomass</t>
      </text>
    </comment>
    <comment ref="B27" authorId="17" shapeId="0" xr:uid="{1F326EE2-229B-F649-AC7E-87616A5AA2B2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a parameter</t>
      </text>
    </comment>
    <comment ref="B28" authorId="18" shapeId="0" xr:uid="{B1EFF5E1-87E1-424C-8C03-A77DEF12E50E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b parameter</t>
      </text>
    </comment>
    <comment ref="B29" authorId="19" shapeId="0" xr:uid="{60F0797E-1F85-1744-977C-C02238AC4421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Goodyear compensation ratio</t>
      </text>
    </comment>
    <comment ref="BM42" authorId="20" shapeId="0" xr:uid="{2A5C4070-674B-2844-8A6F-D788F9C5ADE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 lognormal likelihood for determining the likelihood of the catch residuals (observed catch - predicted catch).
Reply:
    It is one of a few likelihoods we will discuss for age/length composition data
Reply:
    Typically, we do not have the full catch-at-age data, and used the proportion of catch in each age bin for the likelihood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tc={E134DE74-35C5-2A44-ABD9-C6A53E23591E}</author>
    <author>tc={90EFD0FC-920E-7F44-A1E1-68F3EF5AE829}</author>
    <author>tc={029D56B3-8C80-4444-B3EA-24230CD09DCD}</author>
    <author>tc={81583F04-D819-8942-9A82-320E6C1F0903}</author>
    <author>tc={80ABA1A5-8BF8-BC43-9617-522DBF794A1B}</author>
    <author>tc={D6830FC7-C3D9-904B-8F4E-B7D0F4555ADF}</author>
    <author>tc={E7DECF1C-A497-E243-A7A1-3A6442CB0B39}</author>
    <author>tc={97CF3B8F-F576-AD4C-ACD5-194885D7DE2C}</author>
    <author>tc={EFDB746D-AD65-B94D-B3BF-0CA18440106E}</author>
    <author>tc={25E3BC46-E211-F84D-9C7C-C84A1BEFBCA0}</author>
    <author>tc={C72C6788-F384-1341-BCAC-31E8D9045412}</author>
    <author>tc={0F8F9505-092D-F14C-9515-D38D4E53BA6C}</author>
    <author>tc={467F94B0-84CE-5741-9914-FB2225FF183E}</author>
    <author>tc={783E9D91-D22F-4D4E-967C-C7538F14383B}</author>
    <author>tc={CA437B5C-8838-554B-BDD1-D3FFC947B3A1}</author>
    <author>tc={40C5F6D1-1D9C-3C4A-AFB4-8EB038E4B327}</author>
    <author>tc={DB90B78B-944C-C649-B4E5-C805F3BA03A3}</author>
    <author>tc={07AEEC95-5D61-BA4E-98DA-6403461588A9}</author>
    <author>tc={38827BF6-5B01-A34D-B0A1-52958B9FC28D}</author>
    <author>tc={E0EBD913-13CB-CA4F-9D78-3868CEFF63DC}</author>
  </authors>
  <commentList>
    <comment ref="A2" authorId="0" shapeId="0" xr:uid="{E134DE74-35C5-2A44-ABD9-C6A53E23591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90EFD0FC-920E-7F44-A1E1-68F3EF5AE829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029D56B3-8C80-4444-B3EA-24230CD09DC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81583F04-D819-8942-9A82-320E6C1F0903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80ABA1A5-8BF8-BC43-9617-522DBF794A1B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D6830FC7-C3D9-904B-8F4E-B7D0F4555ADF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E7DECF1C-A497-E243-A7A1-3A6442CB0B39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97CF3B8F-F576-AD4C-ACD5-194885D7DE2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EFDB746D-AD65-B94D-B3BF-0CA18440106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25E3BC46-E211-F84D-9C7C-C84A1BEFBCA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B14" authorId="10" shapeId="0" xr:uid="{C72C6788-F384-1341-BCAC-31E8D9045412}">
      <text>
        <t>[Threaded comment]
Your version of Excel allows you to read this threaded comment; however, any edits to it will get removed if the file is opened in a newer version of Excel. Learn more: https://go.microsoft.com/fwlink/?linkid=870924
Comment:
    steepness parameter
Reply:
    we derive the Beverton-Holt parameters from steepness below</t>
      </text>
    </comment>
    <comment ref="B15" authorId="11" shapeId="0" xr:uid="{0F8F9505-092D-F14C-9515-D38D4E53BA6C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recruitment</t>
      </text>
    </comment>
    <comment ref="B16" authorId="12" shapeId="0" xr:uid="{467F94B0-84CE-5741-9914-FB2225FF183E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Fishing mortality over the time series</t>
      </text>
    </comment>
    <comment ref="B17" authorId="13" shapeId="0" xr:uid="{783E9D91-D22F-4D4E-967C-C7538F14383B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catch composition</t>
      </text>
    </comment>
    <comment ref="B18" authorId="14" shapeId="0" xr:uid="{CA437B5C-8838-554B-BDD1-D3FFC947B3A1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F deviations</t>
      </text>
    </comment>
    <comment ref="B26" authorId="15" shapeId="0" xr:uid="{40C5F6D1-1D9C-3C4A-AFB4-8EB038E4B3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eggs production - Botsford incidence function</t>
      </text>
    </comment>
    <comment ref="B27" authorId="16" shapeId="0" xr:uid="{DB90B78B-944C-C649-B4E5-C805F3BA03A3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vulnerable biomass</t>
      </text>
    </comment>
    <comment ref="B28" authorId="17" shapeId="0" xr:uid="{07AEEC95-5D61-BA4E-98DA-6403461588A9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a parameter</t>
      </text>
    </comment>
    <comment ref="B29" authorId="18" shapeId="0" xr:uid="{38827BF6-5B01-A34D-B0A1-52958B9FC28D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b parameter</t>
      </text>
    </comment>
    <comment ref="B30" authorId="19" shapeId="0" xr:uid="{E0EBD913-13CB-CA4F-9D78-3868CEFF63DC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Goodyear compensation ratio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tc={2428E415-FC7F-9649-9484-C5F9920C93E0}</author>
    <author>tc={B892DA7D-08A3-CE4C-A0E2-5A0182114153}</author>
    <author>tc={AFC4830F-EABD-B642-A984-5E3024DD16D4}</author>
    <author>tc={0085E312-73F1-724A-9E1A-34322C3B9AA9}</author>
    <author>tc={629FECD3-0D74-5141-8512-0FFEA4923CA3}</author>
    <author>tc={7FE85666-2FB0-424E-9914-0D963CF678E8}</author>
    <author>tc={A3789B69-7C24-F14E-A1EC-94D8095AF85D}</author>
    <author>tc={934E3EA1-9F7E-CE4B-A6C3-993D897B7DDD}</author>
    <author>tc={CA009203-0740-D14C-A451-867764B51677}</author>
    <author>tc={1DF977FF-187A-B54B-86DC-06DADEDDEB4C}</author>
    <author>tc={67387C43-B536-AB48-BE46-226949B10CE4}</author>
    <author>tc={23B3012D-1F89-544C-8C3D-366668B78C7E}</author>
    <author>tc={BC5D27B7-57E6-E746-9EA2-E1B1F04C613B}</author>
    <author>tc={4ACFC38F-449C-014F-B398-5318D7545F5C}</author>
    <author>tc={3E14BBCF-EC59-2A4E-ADDE-B669833A728E}</author>
    <author>tc={B131AB6C-A0CB-0546-9DEB-DF6A006943E3}</author>
    <author>tc={63A4C211-1213-5F45-B1FB-8158837C76B8}</author>
    <author>tc={DDFF45EB-94CD-9F4D-913A-8AA0A31E0827}</author>
    <author>tc={FC23219D-EF20-1546-B5AB-621A52563AA3}</author>
    <author>tc={87098654-5817-CE43-9B3D-0125C81809A6}</author>
    <author>tc={7ABDD558-7D27-6E4D-A287-99E4F7DB1D4B}</author>
  </authors>
  <commentList>
    <comment ref="A2" authorId="0" shapeId="0" xr:uid="{2428E415-FC7F-9649-9484-C5F9920C93E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B892DA7D-08A3-CE4C-A0E2-5A0182114153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AFC4830F-EABD-B642-A984-5E3024DD16D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0085E312-73F1-724A-9E1A-34322C3B9AA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629FECD3-0D74-5141-8512-0FFEA4923CA3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7FE85666-2FB0-424E-9914-0D963CF678E8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A3789B69-7C24-F14E-A1EC-94D8095AF85D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934E3EA1-9F7E-CE4B-A6C3-993D897B7DDD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CA009203-0740-D14C-A451-867764B5167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1DF977FF-187A-B54B-86DC-06DADEDDEB4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B13" authorId="10" shapeId="0" xr:uid="{67387C43-B536-AB48-BE46-226949B10CE4}">
      <text>
        <t>[Threaded comment]
Your version of Excel allows you to read this threaded comment; however, any edits to it will get removed if the file is opened in a newer version of Excel. Learn more: https://go.microsoft.com/fwlink/?linkid=870924
Comment:
    steepness parameter
Reply:
    we derive the Beverton-Holt parameters from steepness below</t>
      </text>
    </comment>
    <comment ref="B14" authorId="11" shapeId="0" xr:uid="{23B3012D-1F89-544C-8C3D-366668B78C7E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recruitment</t>
      </text>
    </comment>
    <comment ref="B15" authorId="12" shapeId="0" xr:uid="{BC5D27B7-57E6-E746-9EA2-E1B1F04C613B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Fishing mortality over the time series</t>
      </text>
    </comment>
    <comment ref="B16" authorId="13" shapeId="0" xr:uid="{4ACFC38F-449C-014F-B398-5318D7545F5C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catch composition</t>
      </text>
    </comment>
    <comment ref="B17" authorId="14" shapeId="0" xr:uid="{3E14BBCF-EC59-2A4E-ADDE-B669833A728E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F deviations</t>
      </text>
    </comment>
    <comment ref="B18" authorId="15" shapeId="0" xr:uid="{B131AB6C-A0CB-0546-9DEB-DF6A006943E3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CPUE (relative abundance index)</t>
      </text>
    </comment>
    <comment ref="B27" authorId="16" shapeId="0" xr:uid="{63A4C211-1213-5F45-B1FB-8158837C76B8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eggs production - Botsford incidence function</t>
      </text>
    </comment>
    <comment ref="B28" authorId="17" shapeId="0" xr:uid="{DDFF45EB-94CD-9F4D-913A-8AA0A31E08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vulnerable biomass</t>
      </text>
    </comment>
    <comment ref="B29" authorId="18" shapeId="0" xr:uid="{FC23219D-EF20-1546-B5AB-621A52563A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a parameter</t>
      </text>
    </comment>
    <comment ref="B30" authorId="19" shapeId="0" xr:uid="{87098654-5817-CE43-9B3D-0125C81809A6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b parameter</t>
      </text>
    </comment>
    <comment ref="B31" authorId="20" shapeId="0" xr:uid="{7ABDD558-7D27-6E4D-A287-99E4F7DB1D4B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Goodyear compensation ratio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tc={E551FA60-ACBD-864E-AF09-2EA22758C27E}</author>
    <author>tc={D35A31CE-DDED-ED41-A9B6-D1317AB13AE0}</author>
    <author>tc={088ABB66-A136-024C-81F2-8FABC5276603}</author>
    <author>tc={5518AFFD-5BE6-8745-9AF8-1C81477C634A}</author>
    <author>tc={68FFB3F6-00EB-0D47-AB2B-CB7BAB95E941}</author>
    <author>tc={D11F0419-418E-3E40-A943-49180E5C3828}</author>
    <author>tc={5CFCE358-11BC-CC43-A5D7-F16E05B85057}</author>
    <author>tc={8E75017E-24EC-2F41-9345-9210E9899803}</author>
    <author>tc={D87E4FC5-E70F-794C-B775-F9B5FAC9850E}</author>
    <author>tc={58428C60-4F31-8740-9B9B-AEA8966F1009}</author>
    <author>tc={EA2845B7-0C1B-4040-B472-ECFC8BA9BAB4}</author>
    <author>tc={98EB12DC-0C03-994F-8FD9-7DBA1858B7CD}</author>
    <author>tc={51F59A1A-3F33-D846-86C7-82F552AF5C90}</author>
    <author>tc={085BC6B0-8D8C-A546-905A-BB3716E4B928}</author>
    <author>tc={DB08CF63-EA5D-E844-A4D6-7E434F10DA53}</author>
    <author>tc={3030EB72-4497-7B44-94AF-50121B36D100}</author>
    <author>tc={62F35C01-9799-A647-BB85-8B96AEFC6EDF}</author>
    <author>tc={B8A71C13-3C96-FF40-9A54-92E1466BE1E7}</author>
    <author>tc={55FB896A-5A2B-084B-A4F1-9D663C1053C2}</author>
    <author>tc={5EDC6627-6CE0-354F-8111-6849D821ACCB}</author>
    <author>tc={F685974E-6137-0549-8651-D18D601B43F2}</author>
    <author>tc={0F644EDE-AC85-2A46-A270-9C2EA8DF6E28}</author>
    <author>tc={6002C097-5DA3-8142-B119-11FB0275357F}</author>
  </authors>
  <commentList>
    <comment ref="A2" authorId="0" shapeId="0" xr:uid="{E551FA60-ACBD-864E-AF09-2EA22758C27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exponential relationship between length-weight W = aL^b</t>
      </text>
    </comment>
    <comment ref="B2" authorId="1" shapeId="0" xr:uid="{D35A31CE-DDED-ED41-A9B6-D1317AB13AE0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unit converter</t>
      </text>
    </comment>
    <comment ref="B3" authorId="2" shapeId="0" xr:uid="{088ABB66-A136-024C-81F2-8FABC5276603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allometric scalar</t>
      </text>
    </comment>
    <comment ref="A4" authorId="3" shapeId="0" xr:uid="{5518AFFD-5BE6-8745-9AF8-1C81477C634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von Bertalanffy growth function (1934) for size at birth formulation: L_a = Linf - (Linf-Lo)*exp(-k*age)</t>
      </text>
    </comment>
    <comment ref="B4" authorId="4" shapeId="0" xr:uid="{68FFB3F6-00EB-0D47-AB2B-CB7BAB95E941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 (mean maximum length)</t>
      </text>
    </comment>
    <comment ref="B5" authorId="5" shapeId="0" xr:uid="{D11F0419-418E-3E40-A943-49180E5C3828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B6" authorId="6" shapeId="0" xr:uid="{5CFCE358-11BC-CC43-A5D7-F16E05B85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size at birth</t>
      </text>
    </comment>
    <comment ref="A7" authorId="7" shapeId="0" xr:uid="{8E75017E-24EC-2F41-9345-9210E9899803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Fec = max(0, W-Wmat)</t>
      </text>
    </comment>
    <comment ref="A8" authorId="8" shapeId="0" xr:uid="{D87E4FC5-E70F-794C-B775-F9B5FAC9850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constant mortality across ages</t>
      </text>
    </comment>
    <comment ref="A9" authorId="9" shapeId="0" xr:uid="{58428C60-4F31-8740-9B9B-AEA8966F100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logistic vulnerability</t>
      </text>
    </comment>
    <comment ref="C18" authorId="10" shapeId="0" xr:uid="{EA2845B7-0C1B-4040-B472-ECFC8BA9BAB4}">
      <text>
        <t>[Threaded comment]
Your version of Excel allows you to read this threaded comment; however, any edits to it will get removed if the file is opened in a newer version of Excel. Learn more: https://go.microsoft.com/fwlink/?linkid=870924
Comment:
    we either have to assume an expected variability (a prior) or we can try to fit the variability. Depending our other assumptions fitting may not work</t>
      </text>
    </comment>
    <comment ref="B20" authorId="11" shapeId="0" xr:uid="{98EB12DC-0C03-994F-8FD9-7DBA1858B7CD}">
      <text>
        <t>[Threaded comment]
Your version of Excel allows you to read this threaded comment; however, any edits to it will get removed if the file is opened in a newer version of Excel. Learn more: https://go.microsoft.com/fwlink/?linkid=870924
Comment:
    steepness parameter
Reply:
    we derive the Beverton-Holt parameters from steepness below</t>
      </text>
    </comment>
    <comment ref="B21" authorId="12" shapeId="0" xr:uid="{51F59A1A-3F33-D846-86C7-82F552AF5C90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recruitment</t>
      </text>
    </comment>
    <comment ref="B22" authorId="13" shapeId="0" xr:uid="{085BC6B0-8D8C-A546-905A-BB3716E4B928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Fishing mortality over the time series</t>
      </text>
    </comment>
    <comment ref="B23" authorId="14" shapeId="0" xr:uid="{DB08CF63-EA5D-E844-A4D6-7E434F10DA53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catch composition</t>
      </text>
    </comment>
    <comment ref="B24" authorId="15" shapeId="0" xr:uid="{3030EB72-4497-7B44-94AF-50121B36D100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F deviations</t>
      </text>
    </comment>
    <comment ref="B25" authorId="16" shapeId="0" xr:uid="{62F35C01-9799-A647-BB85-8B96AEFC6EDF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CPUE (relative abundance index)</t>
      </text>
    </comment>
    <comment ref="B34" authorId="17" shapeId="0" xr:uid="{B8A71C13-3C96-FF40-9A54-92E1466BE1E7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eggs production - Botsford incidence function</t>
      </text>
    </comment>
    <comment ref="B35" authorId="18" shapeId="0" xr:uid="{55FB896A-5A2B-084B-A4F1-9D663C1053C2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vulnerable biomass</t>
      </text>
    </comment>
    <comment ref="A36" authorId="19" shapeId="0" xr:uid="{5EDC6627-6CE0-354F-8111-6849D821ACCB}">
      <text>
        <t>[Threaded comment]
Your version of Excel allows you to read this threaded comment; however, any edits to it will get removed if the file is opened in a newer version of Excel. Learn more: https://go.microsoft.com/fwlink/?linkid=870924
Comment:
    we will review the reference point calculations in a subsequent class</t>
      </text>
    </comment>
    <comment ref="B40" authorId="20" shapeId="0" xr:uid="{F685974E-6137-0549-8651-D18D601B43F2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a parameter</t>
      </text>
    </comment>
    <comment ref="B41" authorId="21" shapeId="0" xr:uid="{0F644EDE-AC85-2A46-A270-9C2EA8DF6E28}">
      <text>
        <t>[Threaded comment]
Your version of Excel allows you to read this threaded comment; however, any edits to it will get removed if the file is opened in a newer version of Excel. Learn more: https://go.microsoft.com/fwlink/?linkid=870924
Comment:
    Beverton-Holt b parameter</t>
      </text>
    </comment>
    <comment ref="B42" authorId="22" shapeId="0" xr:uid="{6002C097-5DA3-8142-B119-11FB0275357F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Goodyear compensation ratio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tc={1327B73B-9007-9849-8A36-A7394E4AF618}</author>
    <author>tc={4AAA3A03-613B-244E-92C0-A5293777443C}</author>
    <author>tc={78AA9ABD-E5C5-2D42-9B9A-E5DBDB8065EE}</author>
    <author>tc={06030401-7217-7A4E-8AEC-928FEBD07F70}</author>
  </authors>
  <commentList>
    <comment ref="G13" authorId="0" shapeId="0" xr:uid="{1327B73B-9007-9849-8A36-A7394E4AF61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catchability, need to calculate E*=F/q</t>
      </text>
    </comment>
    <comment ref="G22" authorId="1" shapeId="0" xr:uid="{4AAA3A03-613B-244E-92C0-A5293777443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controls how much of a full sine wave that F_walk occurs over in the time series</t>
      </text>
    </comment>
    <comment ref="G23" authorId="2" shapeId="0" xr:uid="{78AA9ABD-E5C5-2D42-9B9A-E5DBDB8065E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parameter shifts the sine wave (F_walk) along the x-axis</t>
      </text>
    </comment>
    <comment ref="G24" authorId="3" shapeId="0" xr:uid="{06030401-7217-7A4E-8AEC-928FEBD07F70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variability in the Fdevs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<sst xmlns="http://schemas.openxmlformats.org/spreadsheetml/2006/main" count="595" uniqueCount="103">
  <si>
    <t>Leading Parameters</t>
  </si>
  <si>
    <t>Length-Weight</t>
  </si>
  <si>
    <t>lwa</t>
  </si>
  <si>
    <t>lwb</t>
  </si>
  <si>
    <t>Age-Growth</t>
  </si>
  <si>
    <t>Linf</t>
  </si>
  <si>
    <t>vbk</t>
  </si>
  <si>
    <t>Wmat</t>
  </si>
  <si>
    <t>Recruitment</t>
  </si>
  <si>
    <t>bha</t>
  </si>
  <si>
    <t>bhb</t>
  </si>
  <si>
    <t>Vulnerability</t>
  </si>
  <si>
    <t>sdv</t>
  </si>
  <si>
    <t>Mortality</t>
  </si>
  <si>
    <t>M</t>
  </si>
  <si>
    <t>Estimated Parameters</t>
  </si>
  <si>
    <t>Fbar</t>
  </si>
  <si>
    <t>Derived Parameters</t>
  </si>
  <si>
    <t>Ro</t>
  </si>
  <si>
    <t>Lo</t>
  </si>
  <si>
    <t>Eo</t>
  </si>
  <si>
    <t>VBo</t>
  </si>
  <si>
    <t>Units</t>
  </si>
  <si>
    <t>Theta</t>
  </si>
  <si>
    <t>Age</t>
  </si>
  <si>
    <t>Length</t>
  </si>
  <si>
    <t>Weight</t>
  </si>
  <si>
    <t>Fecundity</t>
  </si>
  <si>
    <t>yr</t>
  </si>
  <si>
    <t>%</t>
  </si>
  <si>
    <t>eggs</t>
  </si>
  <si>
    <t>Life History, Vulnerability, and Mortality at age</t>
  </si>
  <si>
    <t>V_age</t>
  </si>
  <si>
    <t>g</t>
  </si>
  <si>
    <t>lenv50</t>
  </si>
  <si>
    <t>Sunf_age</t>
  </si>
  <si>
    <t>Sfbar_age</t>
  </si>
  <si>
    <t>Ages</t>
  </si>
  <si>
    <t>Year</t>
  </si>
  <si>
    <t>Observed Catch at Age</t>
  </si>
  <si>
    <t>Numbers at age</t>
  </si>
  <si>
    <t>h</t>
  </si>
  <si>
    <t>N</t>
  </si>
  <si>
    <t>Eggs</t>
  </si>
  <si>
    <t>F</t>
  </si>
  <si>
    <t>F_true</t>
  </si>
  <si>
    <t>Catch</t>
  </si>
  <si>
    <t>Predicted Catch</t>
  </si>
  <si>
    <t>Fdevs</t>
  </si>
  <si>
    <t>Za (Total Mortality at age)</t>
  </si>
  <si>
    <t>Fa (Fishing Mortality at age)</t>
  </si>
  <si>
    <t>Likelihood</t>
  </si>
  <si>
    <t>sigmaCC</t>
  </si>
  <si>
    <t>Negative Log Likelihoods</t>
  </si>
  <si>
    <t>Catch Comp.</t>
  </si>
  <si>
    <t>ccNLL</t>
  </si>
  <si>
    <t>Total</t>
  </si>
  <si>
    <t>tNLL</t>
  </si>
  <si>
    <t>log_Fbar</t>
  </si>
  <si>
    <t>log_sigmaCC</t>
  </si>
  <si>
    <t>sd Catch</t>
  </si>
  <si>
    <t>steepness</t>
  </si>
  <si>
    <t>logit_h</t>
  </si>
  <si>
    <t>log_Ro</t>
  </si>
  <si>
    <t>initial recruits</t>
  </si>
  <si>
    <t>mean F</t>
  </si>
  <si>
    <t>log_sigmaF</t>
  </si>
  <si>
    <t>sd Fdev</t>
  </si>
  <si>
    <t>sigmaF</t>
  </si>
  <si>
    <t>F_NLL</t>
  </si>
  <si>
    <t>F devs</t>
  </si>
  <si>
    <t>fNLL</t>
  </si>
  <si>
    <t>10+</t>
  </si>
  <si>
    <t>Fmsy</t>
  </si>
  <si>
    <t>Rmsy</t>
  </si>
  <si>
    <t>CR</t>
  </si>
  <si>
    <t>Nmsy</t>
  </si>
  <si>
    <t>F/Fmsy</t>
  </si>
  <si>
    <t>N/Nmsy</t>
  </si>
  <si>
    <t>Initial</t>
  </si>
  <si>
    <t>MSY</t>
  </si>
  <si>
    <t>mm</t>
  </si>
  <si>
    <t>Fishing Mortality</t>
  </si>
  <si>
    <t>No-plus group</t>
  </si>
  <si>
    <t>Plus-group</t>
  </si>
  <si>
    <t>Effort</t>
  </si>
  <si>
    <t>CPUE</t>
  </si>
  <si>
    <t>CPUE NLL</t>
  </si>
  <si>
    <t xml:space="preserve">CPUE </t>
  </si>
  <si>
    <t>cpueNLL</t>
  </si>
  <si>
    <t>sd CPUE</t>
  </si>
  <si>
    <t>sigmaCPUE</t>
  </si>
  <si>
    <t>pred CPUE</t>
  </si>
  <si>
    <t>log_sigmaCPUE</t>
  </si>
  <si>
    <t>Transformed parameters for easier fitting</t>
  </si>
  <si>
    <t>q</t>
  </si>
  <si>
    <t>F_sim</t>
  </si>
  <si>
    <t>F_dev</t>
  </si>
  <si>
    <t>F_walk</t>
  </si>
  <si>
    <t>xpos</t>
  </si>
  <si>
    <t>scale</t>
  </si>
  <si>
    <t>Minimal set of parameters to simulate the N at age &amp; the Catch at age &amp; Effort</t>
  </si>
  <si>
    <t>F_t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</si>
</sst>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.000000"/>
  </numFmts>
  <fonts count="7">
    <font>
      <sz val="12"/>
      <color theme="1"/>
      <name val="ArialMT"/>
      <family val="2"/>
    </font>
    <font>
      <sz val="12"/>
      <color rgb="FFFF0000"/>
      <name val="ArialMT"/>
      <family val="2"/>
    </font>
    <font>
      <b/>
      <sz val="12"/>
      <color theme="1"/>
      <name val="ArialMT"/>
    </font>
    <font>
      <b/>
      <i/>
      <sz val="12"/>
      <color theme="1"/>
      <name val="ArialMT"/>
    </font>
    <font>
      <i/>
      <sz val="12"/>
      <color theme="1"/>
      <name val="ArialMT"/>
    </font>
    <font>
      <sz val="12"/>
      <color theme="1"/>
      <name val="ArialMT"/>
    </font>
    <font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/>
      <right/>
      <top/>
      <bottom style="thin">
        <color theme="8"/>
      </bottom>
      <diagonal/>
    </border>
    <border>
      <left style="medium">
        <color theme="8"/>
      </left>
      <right style="thin">
        <color theme="8"/>
      </right>
      <top/>
      <bottom style="thin">
        <color theme="8"/>
      </bottom>
      <diagonal/>
    </border>
    <border>
      <left/>
      <right/>
      <top/>
      <bottom style="thin">
        <color theme="9"/>
      </bottom>
      <diagonal/>
    </border>
    <border>
      <left/>
      <right style="medium">
        <color theme="9"/>
      </right>
      <top/>
      <bottom style="thin">
        <color theme="9"/>
      </bottom>
      <diagonal/>
    </border>
    <border>
      <left style="medium">
        <color theme="9"/>
      </left>
      <right style="thin">
        <color theme="9"/>
      </right>
      <top/>
      <bottom style="medium">
        <color theme="9"/>
      </bottom>
      <diagonal/>
    </border>
    <border>
      <left style="medium">
        <color theme="9"/>
      </left>
      <right style="thin">
        <color theme="9"/>
      </right>
      <top/>
      <bottom style="thin">
        <color theme="9"/>
      </bottom>
      <diagonal/>
    </border>
    <border>
      <left style="medium">
        <color theme="9"/>
      </left>
      <right style="thin">
        <color theme="9"/>
      </right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7"/>
      </left>
      <right/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/>
      <right style="medium">
        <color theme="7"/>
      </right>
      <top/>
      <bottom/>
      <diagonal/>
    </border>
    <border>
      <left/>
      <right/>
      <top/>
      <bottom style="thin">
        <color theme="7"/>
      </bottom>
      <diagonal/>
    </border>
    <border>
      <left/>
      <right style="medium">
        <color theme="7"/>
      </right>
      <top/>
      <bottom style="thin">
        <color theme="7"/>
      </bottom>
      <diagonal/>
    </border>
    <border>
      <left style="medium">
        <color theme="7"/>
      </left>
      <right style="thin">
        <color theme="7"/>
      </right>
      <top/>
      <bottom style="medium">
        <color theme="7"/>
      </bottom>
      <diagonal/>
    </border>
    <border>
      <left style="medium">
        <color theme="7"/>
      </left>
      <right style="thin">
        <color theme="7"/>
      </right>
      <top/>
      <bottom style="thin">
        <color theme="7"/>
      </bottom>
      <diagonal/>
    </border>
    <border>
      <left style="medium">
        <color theme="7"/>
      </left>
      <right style="thin">
        <color theme="7"/>
      </right>
      <top/>
      <bottom/>
      <diagonal/>
    </border>
    <border>
      <left/>
      <right/>
      <top/>
      <bottom style="thin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 style="thin">
        <color theme="3"/>
      </right>
      <top/>
      <bottom style="thin">
        <color theme="3"/>
      </bottom>
      <diagonal/>
    </border>
    <border>
      <left/>
      <right style="medium">
        <color theme="3"/>
      </right>
      <top/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/>
      <diagonal/>
    </border>
    <border>
      <left style="medium">
        <color theme="3"/>
      </left>
      <right style="thin">
        <color theme="3"/>
      </right>
      <top/>
      <bottom style="medium">
        <color theme="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/>
      <right style="medium">
        <color theme="5"/>
      </right>
      <top/>
      <bottom/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8"/>
      </left>
      <right style="thin">
        <color theme="9"/>
      </right>
      <top/>
      <bottom style="thin">
        <color theme="9"/>
      </bottom>
      <diagonal/>
    </border>
    <border>
      <left/>
      <right style="medium">
        <color theme="8"/>
      </right>
      <top/>
      <bottom style="thin">
        <color theme="9"/>
      </bottom>
      <diagonal/>
    </border>
    <border>
      <left style="medium">
        <color theme="8"/>
      </left>
      <right style="thin">
        <color theme="9"/>
      </right>
      <top/>
      <bottom/>
      <diagonal/>
    </border>
    <border>
      <left style="medium">
        <color theme="8"/>
      </left>
      <right style="thin">
        <color theme="9"/>
      </right>
      <top/>
      <bottom style="medium">
        <color theme="8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3" fillId="0" borderId="4" xfId="0" applyFont="1" applyBorder="1"/>
    <xf numFmtId="0" fontId="0" fillId="0" borderId="0" xfId="0" applyFill="1" applyBorder="1"/>
    <xf numFmtId="11" fontId="0" fillId="0" borderId="5" xfId="0" applyNumberFormat="1" applyBorder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11" fontId="0" fillId="0" borderId="0" xfId="0" applyNumberFormat="1"/>
    <xf numFmtId="0" fontId="0" fillId="2" borderId="12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0" xfId="0" applyFill="1" applyBorder="1"/>
    <xf numFmtId="0" fontId="0" fillId="2" borderId="14" xfId="0" applyFill="1" applyBorder="1"/>
    <xf numFmtId="0" fontId="0" fillId="3" borderId="0" xfId="0" applyFill="1" applyBorder="1"/>
    <xf numFmtId="0" fontId="0" fillId="3" borderId="19" xfId="0" applyFill="1" applyBorder="1"/>
    <xf numFmtId="0" fontId="3" fillId="3" borderId="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3" fillId="3" borderId="24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3" fillId="2" borderId="28" xfId="0" applyFont="1" applyFill="1" applyBorder="1"/>
    <xf numFmtId="0" fontId="0" fillId="2" borderId="29" xfId="0" applyFill="1" applyBorder="1"/>
    <xf numFmtId="0" fontId="0" fillId="2" borderId="27" xfId="0" applyFill="1" applyBorder="1"/>
    <xf numFmtId="0" fontId="0" fillId="5" borderId="31" xfId="0" applyFill="1" applyBorder="1"/>
    <xf numFmtId="0" fontId="0" fillId="5" borderId="32" xfId="0" applyFill="1" applyBorder="1"/>
    <xf numFmtId="0" fontId="0" fillId="4" borderId="34" xfId="0" applyFill="1" applyBorder="1"/>
    <xf numFmtId="0" fontId="2" fillId="2" borderId="10" xfId="0" applyFont="1" applyFill="1" applyBorder="1"/>
    <xf numFmtId="0" fontId="2" fillId="5" borderId="30" xfId="0" applyFont="1" applyFill="1" applyBorder="1"/>
    <xf numFmtId="0" fontId="2" fillId="3" borderId="17" xfId="0" applyFont="1" applyFill="1" applyBorder="1"/>
    <xf numFmtId="0" fontId="3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3" fillId="4" borderId="37" xfId="0" applyFont="1" applyFill="1" applyBorder="1" applyAlignment="1">
      <alignment horizontal="center" vertical="center"/>
    </xf>
    <xf numFmtId="0" fontId="0" fillId="4" borderId="38" xfId="0" applyFill="1" applyBorder="1"/>
    <xf numFmtId="0" fontId="0" fillId="4" borderId="39" xfId="0" applyFill="1" applyBorder="1"/>
    <xf numFmtId="0" fontId="3" fillId="4" borderId="41" xfId="0" applyFont="1" applyFill="1" applyBorder="1"/>
    <xf numFmtId="0" fontId="0" fillId="4" borderId="42" xfId="0" applyFill="1" applyBorder="1"/>
    <xf numFmtId="0" fontId="0" fillId="4" borderId="40" xfId="0" applyFill="1" applyBorder="1"/>
    <xf numFmtId="0" fontId="3" fillId="6" borderId="0" xfId="0" applyFont="1" applyFill="1" applyBorder="1" applyAlignment="1">
      <alignment horizontal="center" vertical="center"/>
    </xf>
    <xf numFmtId="0" fontId="0" fillId="6" borderId="0" xfId="0" applyFill="1" applyBorder="1"/>
    <xf numFmtId="0" fontId="0" fillId="6" borderId="43" xfId="0" applyFill="1" applyBorder="1"/>
    <xf numFmtId="0" fontId="0" fillId="6" borderId="47" xfId="0" applyFill="1" applyBorder="1"/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/>
    <xf numFmtId="0" fontId="0" fillId="6" borderId="50" xfId="0" applyFill="1" applyBorder="1"/>
    <xf numFmtId="0" fontId="0" fillId="6" borderId="51" xfId="0" applyFill="1" applyBorder="1"/>
    <xf numFmtId="0" fontId="0" fillId="6" borderId="52" xfId="0" applyFill="1" applyBorder="1"/>
    <xf numFmtId="165" fontId="0" fillId="0" borderId="0" xfId="0" applyNumberFormat="1"/>
    <xf numFmtId="0" fontId="0" fillId="0" borderId="56" xfId="0" applyBorder="1"/>
    <xf numFmtId="0" fontId="0" fillId="0" borderId="58" xfId="0" applyBorder="1"/>
    <xf numFmtId="0" fontId="0" fillId="0" borderId="59" xfId="0" applyFill="1" applyBorder="1"/>
    <xf numFmtId="0" fontId="0" fillId="0" borderId="56" xfId="0" applyFill="1" applyBorder="1"/>
    <xf numFmtId="166" fontId="0" fillId="0" borderId="57" xfId="0" applyNumberFormat="1" applyBorder="1"/>
    <xf numFmtId="0" fontId="0" fillId="0" borderId="59" xfId="0" applyBorder="1"/>
    <xf numFmtId="166" fontId="0" fillId="0" borderId="60" xfId="0" applyNumberFormat="1" applyBorder="1"/>
    <xf numFmtId="167" fontId="0" fillId="0" borderId="57" xfId="0" applyNumberFormat="1" applyBorder="1"/>
    <xf numFmtId="165" fontId="0" fillId="0" borderId="57" xfId="0" applyNumberFormat="1" applyBorder="1"/>
    <xf numFmtId="165" fontId="0" fillId="0" borderId="57" xfId="0" applyNumberFormat="1" applyFill="1" applyBorder="1"/>
    <xf numFmtId="165" fontId="0" fillId="0" borderId="60" xfId="0" applyNumberFormat="1" applyBorder="1"/>
    <xf numFmtId="1" fontId="0" fillId="0" borderId="57" xfId="0" applyNumberFormat="1" applyBorder="1"/>
    <xf numFmtId="0" fontId="2" fillId="6" borderId="44" xfId="0" applyFont="1" applyFill="1" applyBorder="1"/>
    <xf numFmtId="0" fontId="0" fillId="0" borderId="58" xfId="0" applyFill="1" applyBorder="1"/>
    <xf numFmtId="165" fontId="0" fillId="0" borderId="60" xfId="0" applyNumberFormat="1" applyFill="1" applyBorder="1"/>
    <xf numFmtId="164" fontId="0" fillId="6" borderId="47" xfId="0" applyNumberFormat="1" applyFill="1" applyBorder="1"/>
    <xf numFmtId="164" fontId="0" fillId="6" borderId="61" xfId="0" applyNumberFormat="1" applyFill="1" applyBorder="1"/>
    <xf numFmtId="0" fontId="1" fillId="5" borderId="30" xfId="0" applyFont="1" applyFill="1" applyBorder="1"/>
    <xf numFmtId="0" fontId="1" fillId="3" borderId="0" xfId="0" applyFont="1" applyFill="1" applyBorder="1"/>
    <xf numFmtId="0" fontId="0" fillId="3" borderId="23" xfId="0" applyFill="1" applyBorder="1" applyAlignment="1">
      <alignment horizontal="right"/>
    </xf>
    <xf numFmtId="0" fontId="2" fillId="7" borderId="62" xfId="0" applyFont="1" applyFill="1" applyBorder="1"/>
    <xf numFmtId="0" fontId="2" fillId="7" borderId="63" xfId="0" applyFont="1" applyFill="1" applyBorder="1"/>
    <xf numFmtId="165" fontId="0" fillId="7" borderId="64" xfId="0" applyNumberFormat="1" applyFill="1" applyBorder="1"/>
    <xf numFmtId="165" fontId="0" fillId="7" borderId="65" xfId="0" applyNumberFormat="1" applyFill="1" applyBorder="1"/>
    <xf numFmtId="165" fontId="0" fillId="7" borderId="66" xfId="0" applyNumberFormat="1" applyFill="1" applyBorder="1"/>
    <xf numFmtId="165" fontId="0" fillId="7" borderId="67" xfId="0" applyNumberFormat="1" applyFill="1" applyBorder="1"/>
    <xf numFmtId="0" fontId="3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0" xfId="0" applyFont="1" applyBorder="1"/>
    <xf numFmtId="0" fontId="0" fillId="0" borderId="0" xfId="0"/>
    <xf numFmtId="2" fontId="0" fillId="0" borderId="0" xfId="0" applyNumberFormat="1" applyBorder="1"/>
    <xf numFmtId="2" fontId="0" fillId="0" borderId="5" xfId="0" applyNumberFormat="1" applyBorder="1"/>
    <xf numFmtId="2" fontId="0" fillId="0" borderId="7" xfId="0" applyNumberFormat="1" applyBorder="1"/>
    <xf numFmtId="166" fontId="0" fillId="0" borderId="0" xfId="0" applyNumberFormat="1" applyBorder="1"/>
    <xf numFmtId="166" fontId="0" fillId="0" borderId="5" xfId="0" applyNumberFormat="1" applyBorder="1"/>
    <xf numFmtId="0" fontId="0" fillId="0" borderId="0" xfId="0"/>
    <xf numFmtId="0" fontId="0" fillId="0" borderId="56" xfId="0" applyBorder="1" applyAlignment="1">
      <alignment horizontal="center" vertical="center" wrapText="1"/>
    </xf>
    <xf numFmtId="0" fontId="0" fillId="0" borderId="0" xfId="0"/>
    <xf numFmtId="0" fontId="2" fillId="4" borderId="68" xfId="0" applyFont="1" applyFill="1" applyBorder="1"/>
    <xf numFmtId="165" fontId="0" fillId="4" borderId="69" xfId="0" applyNumberFormat="1" applyFill="1" applyBorder="1"/>
    <xf numFmtId="165" fontId="0" fillId="4" borderId="70" xfId="0" applyNumberFormat="1" applyFill="1" applyBorder="1"/>
    <xf numFmtId="0" fontId="0" fillId="0" borderId="0" xfId="0" applyAlignment="1"/>
    <xf numFmtId="1" fontId="0" fillId="0" borderId="0" xfId="0" applyNumberFormat="1" applyBorder="1"/>
    <xf numFmtId="0" fontId="0" fillId="0" borderId="0" xfId="0" applyBorder="1" applyAlignment="1">
      <alignment vertical="center" wrapText="1"/>
    </xf>
    <xf numFmtId="165" fontId="0" fillId="0" borderId="0" xfId="0" applyNumberFormat="1" applyBorder="1"/>
    <xf numFmtId="167" fontId="0" fillId="0" borderId="0" xfId="0" applyNumberFormat="1" applyBorder="1"/>
    <xf numFmtId="2" fontId="0" fillId="0" borderId="0" xfId="0" applyNumberFormat="1"/>
    <xf numFmtId="0" fontId="2" fillId="2" borderId="9" xfId="0" applyFont="1" applyFill="1" applyBorder="1"/>
    <xf numFmtId="0" fontId="0" fillId="2" borderId="71" xfId="0" applyFill="1" applyBorder="1"/>
    <xf numFmtId="0" fontId="2" fillId="0" borderId="0" xfId="0" applyFont="1" applyBorder="1" applyAlignment="1">
      <alignment horizontal="center"/>
    </xf>
    <xf numFmtId="11" fontId="0" fillId="0" borderId="0" xfId="0" applyNumberFormat="1" applyBorder="1"/>
    <xf numFmtId="165" fontId="0" fillId="0" borderId="0" xfId="0" applyNumberFormat="1" applyFill="1" applyBorder="1"/>
    <xf numFmtId="0" fontId="2" fillId="2" borderId="11" xfId="0" applyFont="1" applyFill="1" applyBorder="1"/>
    <xf numFmtId="0" fontId="2" fillId="5" borderId="72" xfId="0" applyFont="1" applyFill="1" applyBorder="1"/>
    <xf numFmtId="0" fontId="0" fillId="5" borderId="73" xfId="0" applyFill="1" applyBorder="1"/>
    <xf numFmtId="0" fontId="0" fillId="5" borderId="74" xfId="0" applyFill="1" applyBorder="1"/>
    <xf numFmtId="0" fontId="2" fillId="6" borderId="75" xfId="0" applyFont="1" applyFill="1" applyBorder="1"/>
    <xf numFmtId="0" fontId="0" fillId="0" borderId="0" xfId="0" applyBorder="1" applyAlignment="1">
      <alignment horizontal="center" vertical="center" wrapText="1"/>
    </xf>
    <xf numFmtId="2" fontId="0" fillId="0" borderId="57" xfId="0" applyNumberFormat="1" applyBorder="1"/>
    <xf numFmtId="2" fontId="0" fillId="6" borderId="76" xfId="0" applyNumberFormat="1" applyFill="1" applyBorder="1"/>
    <xf numFmtId="2" fontId="0" fillId="2" borderId="13" xfId="0" applyNumberFormat="1" applyFill="1" applyBorder="1"/>
    <xf numFmtId="2" fontId="0" fillId="2" borderId="15" xfId="0" applyNumberFormat="1" applyFill="1" applyBorder="1"/>
    <xf numFmtId="0" fontId="2" fillId="0" borderId="0" xfId="0" applyFont="1"/>
    <xf numFmtId="1" fontId="0" fillId="0" borderId="0" xfId="0" applyNumberFormat="1"/>
    <xf numFmtId="0" fontId="5" fillId="0" borderId="0" xfId="0" applyFont="1"/>
    <xf numFmtId="0" fontId="0" fillId="3" borderId="25" xfId="0" applyFill="1" applyBorder="1"/>
    <xf numFmtId="0" fontId="3" fillId="3" borderId="77" xfId="0" applyFont="1" applyFill="1" applyBorder="1"/>
    <xf numFmtId="0" fontId="0" fillId="3" borderId="78" xfId="0" applyFill="1" applyBorder="1"/>
    <xf numFmtId="0" fontId="0" fillId="3" borderId="79" xfId="0" applyFill="1" applyBorder="1"/>
    <xf numFmtId="0" fontId="0" fillId="3" borderId="80" xfId="0" applyFill="1" applyBorder="1"/>
    <xf numFmtId="1" fontId="1" fillId="3" borderId="30" xfId="0" applyNumberFormat="1" applyFont="1" applyFill="1" applyBorder="1"/>
    <xf numFmtId="1" fontId="1" fillId="3" borderId="0" xfId="0" applyNumberFormat="1" applyFont="1" applyFill="1" applyBorder="1"/>
    <xf numFmtId="1" fontId="1" fillId="3" borderId="20" xfId="0" applyNumberFormat="1" applyFont="1" applyFill="1" applyBorder="1"/>
    <xf numFmtId="1" fontId="0" fillId="3" borderId="0" xfId="0" applyNumberFormat="1" applyFill="1" applyBorder="1"/>
    <xf numFmtId="1" fontId="0" fillId="0" borderId="5" xfId="0" applyNumberFormat="1" applyBorder="1"/>
    <xf numFmtId="165" fontId="0" fillId="0" borderId="5" xfId="0" applyNumberFormat="1" applyBorder="1"/>
    <xf numFmtId="167" fontId="0" fillId="0" borderId="8" xfId="0" applyNumberFormat="1" applyBorder="1" applyAlignment="1">
      <alignment horizontal="right"/>
    </xf>
    <xf numFmtId="0" fontId="4" fillId="0" borderId="6" xfId="0" applyFont="1" applyBorder="1"/>
    <xf numFmtId="0" fontId="2" fillId="2" borderId="81" xfId="0" applyFont="1" applyFill="1" applyBorder="1"/>
    <xf numFmtId="1" fontId="0" fillId="2" borderId="82" xfId="0" applyNumberFormat="1" applyFill="1" applyBorder="1"/>
    <xf numFmtId="1" fontId="0" fillId="2" borderId="83" xfId="0" applyNumberFormat="1" applyFill="1" applyBorder="1"/>
    <xf numFmtId="0" fontId="2" fillId="0" borderId="0" xfId="0" applyFont="1" applyBorder="1"/>
    <xf numFmtId="0" fontId="2" fillId="0" borderId="5" xfId="0" applyFont="1" applyBorder="1"/>
    <xf numFmtId="1" fontId="1" fillId="5" borderId="30" xfId="0" applyNumberFormat="1" applyFont="1" applyFill="1" applyBorder="1"/>
    <xf numFmtId="1" fontId="0" fillId="5" borderId="31" xfId="0" applyNumberFormat="1" applyFill="1" applyBorder="1"/>
    <xf numFmtId="1" fontId="0" fillId="5" borderId="32" xfId="0" applyNumberForma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/>
    </xf>
    <xf numFmtId="0" fontId="2" fillId="4" borderId="35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6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6" borderId="44" xfId="0" applyFont="1" applyFill="1" applyBorder="1" applyAlignment="1">
      <alignment horizontal="center"/>
    </xf>
    <xf numFmtId="0" fontId="2" fillId="6" borderId="45" xfId="0" applyFont="1" applyFill="1" applyBorder="1" applyAlignment="1">
      <alignment horizontal="center"/>
    </xf>
    <xf numFmtId="0" fontId="2" fillId="6" borderId="46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6" xfId="0" applyBorder="1" applyAlignment="1">
      <alignment horizontal="center" vertical="center" textRotation="90" wrapText="1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LH!$G$4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LH!$H$3:$R$3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LH!$H$4:$R$4</c:f>
              <c:numCache>
                <c:formatCode>0.0</c:formatCode>
                <c:ptCount val="11"/>
                <c:pt idx="0" formatCode="General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7-5D4F-9F02-3ED1C9315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LH!$G$5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LH!$H$3:$R$3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LH!$H$5:$R$5</c:f>
              <c:numCache>
                <c:formatCode>0.00</c:formatCode>
                <c:ptCount val="11"/>
                <c:pt idx="0" formatCode="General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47-5D4F-9F02-3ED1C9315C0F}"/>
            </c:ext>
          </c:extLst>
        </c:ser>
        <c:ser>
          <c:idx val="2"/>
          <c:order val="2"/>
          <c:tx>
            <c:strRef>
              <c:f>LH!$G$6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LH!$H$3:$R$3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LH!$H$6:$R$6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47-5D4F-9F02-3ED1C9315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LH!$G$7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LH!$H$3:$R$3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LH!$H$7:$R$7</c:f>
              <c:numCache>
                <c:formatCode>0.00</c:formatCode>
                <c:ptCount val="11"/>
                <c:pt idx="0" formatCode="General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70-EC44-BD12-BCE4112AABC6}"/>
            </c:ext>
          </c:extLst>
        </c:ser>
        <c:ser>
          <c:idx val="1"/>
          <c:order val="1"/>
          <c:tx>
            <c:strRef>
              <c:f>LH!$G$8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LH!$H$3:$R$3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LH!$H$8:$R$8</c:f>
              <c:numCache>
                <c:formatCode>0.00</c:formatCode>
                <c:ptCount val="11"/>
                <c:pt idx="0" formatCode="General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70-EC44-BD12-BCE4112AABC6}"/>
            </c:ext>
          </c:extLst>
        </c:ser>
        <c:ser>
          <c:idx val="2"/>
          <c:order val="2"/>
          <c:tx>
            <c:strRef>
              <c:f>LH!$G$9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LH!$H$3:$R$3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LH!$H$9:$R$9</c:f>
              <c:numCache>
                <c:formatCode>0.00</c:formatCode>
                <c:ptCount val="11"/>
                <c:pt idx="0" formatCode="General">
                  <c:v>1</c:v>
                </c:pt>
                <c:pt idx="1">
                  <c:v>0.63762815162177333</c:v>
                </c:pt>
                <c:pt idx="2">
                  <c:v>0.40656965974059917</c:v>
                </c:pt>
                <c:pt idx="3">
                  <c:v>0.25924026064589156</c:v>
                </c:pt>
                <c:pt idx="4">
                  <c:v>0.16529888822158659</c:v>
                </c:pt>
                <c:pt idx="5">
                  <c:v>0.10539922456186437</c:v>
                </c:pt>
                <c:pt idx="6">
                  <c:v>6.7205512739749798E-2</c:v>
                </c:pt>
                <c:pt idx="7">
                  <c:v>4.2852126867040201E-2</c:v>
                </c:pt>
                <c:pt idx="8">
                  <c:v>2.7323722447292576E-2</c:v>
                </c:pt>
                <c:pt idx="9">
                  <c:v>1.7422374639493522E-2</c:v>
                </c:pt>
                <c:pt idx="10">
                  <c:v>1.1108996538242313E-2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70-EC44-BD12-BCE4112AA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2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LH!$AB$20:$AL$20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1E26-9342-9A78-8FFA120B3635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2">
                <a:shade val="49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LH!$AB$21:$AL$21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2-1E26-9342-9A78-8FFA120B3635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2">
                <a:shade val="55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LH!$AB$22:$AL$22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3-1E26-9342-9A78-8FFA120B3635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2">
                <a:shade val="61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LH!$AB$23:$AL$23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4-1E26-9342-9A78-8FFA120B3635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2">
                <a:shade val="68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LH!$AB$24:$AL$24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5-1E26-9342-9A78-8FFA120B3635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2">
                <a:shade val="74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LH!$AB$25:$AL$25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6-1E26-9342-9A78-8FFA120B3635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2">
                <a:shade val="80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LH!$AB$26:$AL$26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7-1E26-9342-9A78-8FFA120B3635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2">
                <a:shade val="87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LH!$AB$27:$AL$27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8-1E26-9342-9A78-8FFA120B3635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2">
                <a:shade val="93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LH!$AB$28:$AL$28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9-1E26-9342-9A78-8FFA120B3635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LH!$AB$29:$AL$29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A-1E26-9342-9A78-8FFA120B3635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2">
                <a:tint val="94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LH!$AB$30:$AL$30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C-1E26-9342-9A78-8FFA120B3635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2">
                <a:tint val="88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LH!$AB$31:$AL$31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D-1E26-9342-9A78-8FFA120B3635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2">
                <a:tint val="81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LH!$AB$32:$AL$32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E-1E26-9342-9A78-8FFA120B3635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2">
                <a:tint val="75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LH!$AB$33:$AL$33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F-1E26-9342-9A78-8FFA120B3635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2">
                <a:tint val="69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LH!$AB$34:$AL$34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10-1E26-9342-9A78-8FFA120B3635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2">
                <a:tint val="62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LH!$AB$35:$AL$35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11-1E26-9342-9A78-8FFA120B3635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2">
                <a:tint val="56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LH!$AB$36:$AL$36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12-1E26-9342-9A78-8FFA120B3635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2">
                <a:tint val="50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LH!$AB$37:$AL$37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13-1E26-9342-9A78-8FFA120B3635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2">
                <a:tint val="43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LH!$AB$38:$AL$38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14-1E26-9342-9A78-8FFA120B3635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2">
                <a:tint val="37000"/>
              </a:schemeClr>
            </a:solidFill>
            <a:ln>
              <a:noFill/>
            </a:ln>
            <a:effectLst/>
            <a:sp3d/>
          </c:spPr>
          <c:cat>
            <c:numRef>
              <c:f>LH!$AB$19:$AL$19</c:f>
              <c:numCache>
                <c:formatCode>General</c:formatCode>
                <c:ptCount val="11"/>
              </c:numCache>
            </c:numRef>
          </c:cat>
          <c:val>
            <c:numRef>
              <c:f>LH!$AB$39:$AL$39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15-1E26-9342-9A78-8FFA120B3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LH!$J$19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LH!$I$20:$I$39</c:f>
              <c:numCache>
                <c:formatCode>General</c:formatCode>
                <c:ptCount val="20"/>
              </c:numCache>
            </c:numRef>
          </c:xVal>
          <c:yVal>
            <c:numRef>
              <c:f>LH!$J$20:$J$39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EC-3146-A259-9FDB62ABF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219856"/>
        <c:axId val="2094318688"/>
      </c:scatterChart>
      <c:valAx>
        <c:axId val="20942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N/Nmsy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318688"/>
        <c:crosses val="autoZero"/>
        <c:crossBetween val="midCat"/>
      </c:valAx>
      <c:valAx>
        <c:axId val="20943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F/Fmsy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1985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Data!$G$4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Data!$H$4:$R$4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63-8843-8041-E9854D0E2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Data!$G$5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Data!$H$5:$R$5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63-8843-8041-E9854D0E22DF}"/>
            </c:ext>
          </c:extLst>
        </c:ser>
        <c:ser>
          <c:idx val="2"/>
          <c:order val="2"/>
          <c:tx>
            <c:strRef>
              <c:f>Data!$G$6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Data!$H$6:$R$6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63-8843-8041-E9854D0E2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Data!$G$7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Data!$H$7:$R$7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E3-844A-85A5-0E71960F3CFF}"/>
            </c:ext>
          </c:extLst>
        </c:ser>
        <c:ser>
          <c:idx val="1"/>
          <c:order val="1"/>
          <c:tx>
            <c:strRef>
              <c:f>Data!$G$8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Data!$H$8:$R$8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E3-844A-85A5-0E71960F3CFF}"/>
            </c:ext>
          </c:extLst>
        </c:ser>
        <c:ser>
          <c:idx val="2"/>
          <c:order val="2"/>
          <c:tx>
            <c:strRef>
              <c:f>Data!$G$9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Data!$H$9:$R$9</c:f>
              <c:numCache>
                <c:formatCode>General</c:formatCode>
                <c:ptCount val="11"/>
                <c:pt idx="0">
                  <c:v>1</c:v>
                </c:pt>
                <c:pt idx="1">
                  <c:v>0.63762815162177333</c:v>
                </c:pt>
                <c:pt idx="2">
                  <c:v>0.40656965974059917</c:v>
                </c:pt>
                <c:pt idx="3">
                  <c:v>0.25924026064589156</c:v>
                </c:pt>
                <c:pt idx="4">
                  <c:v>0.16529888822158659</c:v>
                </c:pt>
                <c:pt idx="5">
                  <c:v>0.10539922456186437</c:v>
                </c:pt>
                <c:pt idx="6">
                  <c:v>6.7205512739749798E-2</c:v>
                </c:pt>
                <c:pt idx="7">
                  <c:v>4.2852126867040201E-2</c:v>
                </c:pt>
                <c:pt idx="8">
                  <c:v>2.7323722447292576E-2</c:v>
                </c:pt>
                <c:pt idx="9">
                  <c:v>1.7422374639493522E-2</c:v>
                </c:pt>
                <c:pt idx="10">
                  <c:v>1.1108996538242313E-2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E3-844A-85A5-0E71960F3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6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Data!$K$20:$U$20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106</c:v>
                </c:pt>
                <c:pt idx="3">
                  <c:v>681</c:v>
                </c:pt>
                <c:pt idx="4">
                  <c:v>541</c:v>
                </c:pt>
                <c:pt idx="5">
                  <c:v>421</c:v>
                </c:pt>
                <c:pt idx="6">
                  <c:v>328</c:v>
                </c:pt>
                <c:pt idx="7">
                  <c:v>255</c:v>
                </c:pt>
                <c:pt idx="8">
                  <c:v>199</c:v>
                </c:pt>
                <c:pt idx="9">
                  <c:v>155</c:v>
                </c:pt>
                <c:pt idx="1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A8-9744-992B-2D09D651D015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6">
                <a:shade val="49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Data!$K$21:$U$21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660</c:v>
                </c:pt>
                <c:pt idx="4">
                  <c:v>314</c:v>
                </c:pt>
                <c:pt idx="5">
                  <c:v>241</c:v>
                </c:pt>
                <c:pt idx="6">
                  <c:v>188</c:v>
                </c:pt>
                <c:pt idx="7">
                  <c:v>146</c:v>
                </c:pt>
                <c:pt idx="8">
                  <c:v>114</c:v>
                </c:pt>
                <c:pt idx="9">
                  <c:v>88</c:v>
                </c:pt>
                <c:pt idx="1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A8-9744-992B-2D09D651D015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6">
                <a:shade val="55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Data!$K$22:$U$22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482</c:v>
                </c:pt>
                <c:pt idx="4">
                  <c:v>248</c:v>
                </c:pt>
                <c:pt idx="5">
                  <c:v>123</c:v>
                </c:pt>
                <c:pt idx="6">
                  <c:v>95</c:v>
                </c:pt>
                <c:pt idx="7">
                  <c:v>74</c:v>
                </c:pt>
                <c:pt idx="8">
                  <c:v>57</c:v>
                </c:pt>
                <c:pt idx="9">
                  <c:v>44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A8-9744-992B-2D09D651D015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6">
                <a:shade val="61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Data!$K$23:$U$23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83</c:v>
                </c:pt>
                <c:pt idx="3">
                  <c:v>628</c:v>
                </c:pt>
                <c:pt idx="4">
                  <c:v>339</c:v>
                </c:pt>
                <c:pt idx="5">
                  <c:v>151</c:v>
                </c:pt>
                <c:pt idx="6">
                  <c:v>75</c:v>
                </c:pt>
                <c:pt idx="7">
                  <c:v>57</c:v>
                </c:pt>
                <c:pt idx="8">
                  <c:v>45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A8-9744-992B-2D09D651D015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6">
                <a:shade val="68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Data!$K$24:$U$24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540</c:v>
                </c:pt>
                <c:pt idx="4">
                  <c:v>287</c:v>
                </c:pt>
                <c:pt idx="5">
                  <c:v>144</c:v>
                </c:pt>
                <c:pt idx="6">
                  <c:v>64</c:v>
                </c:pt>
                <c:pt idx="7">
                  <c:v>32</c:v>
                </c:pt>
                <c:pt idx="8">
                  <c:v>24</c:v>
                </c:pt>
                <c:pt idx="9">
                  <c:v>19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A8-9744-992B-2D09D651D015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6">
                <a:shade val="74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Data!$K$25:$U$25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478</c:v>
                </c:pt>
                <c:pt idx="4">
                  <c:v>327</c:v>
                </c:pt>
                <c:pt idx="5">
                  <c:v>153</c:v>
                </c:pt>
                <c:pt idx="6">
                  <c:v>76</c:v>
                </c:pt>
                <c:pt idx="7">
                  <c:v>34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A8-9744-992B-2D09D651D015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6">
                <a:shade val="80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Data!$K$26:$U$26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351</c:v>
                </c:pt>
                <c:pt idx="4">
                  <c:v>240</c:v>
                </c:pt>
                <c:pt idx="5">
                  <c:v>149</c:v>
                </c:pt>
                <c:pt idx="6">
                  <c:v>70</c:v>
                </c:pt>
                <c:pt idx="7">
                  <c:v>35</c:v>
                </c:pt>
                <c:pt idx="8">
                  <c:v>15</c:v>
                </c:pt>
                <c:pt idx="9">
                  <c:v>7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A8-9744-992B-2D09D651D015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6">
                <a:shade val="87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Data!$K$27:$U$27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351</c:v>
                </c:pt>
                <c:pt idx="4">
                  <c:v>212</c:v>
                </c:pt>
                <c:pt idx="5">
                  <c:v>129</c:v>
                </c:pt>
                <c:pt idx="6">
                  <c:v>80</c:v>
                </c:pt>
                <c:pt idx="7">
                  <c:v>37</c:v>
                </c:pt>
                <c:pt idx="8">
                  <c:v>18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A8-9744-992B-2D09D651D015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6">
                <a:shade val="93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Data!$K$28:$U$28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261</c:v>
                </c:pt>
                <c:pt idx="4">
                  <c:v>155</c:v>
                </c:pt>
                <c:pt idx="5">
                  <c:v>88</c:v>
                </c:pt>
                <c:pt idx="6">
                  <c:v>53</c:v>
                </c:pt>
                <c:pt idx="7">
                  <c:v>33</c:v>
                </c:pt>
                <c:pt idx="8">
                  <c:v>15</c:v>
                </c:pt>
                <c:pt idx="9">
                  <c:v>8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8A8-9744-992B-2D09D651D015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Data!$K$29:$U$29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160</c:v>
                </c:pt>
                <c:pt idx="4">
                  <c:v>97</c:v>
                </c:pt>
                <c:pt idx="5">
                  <c:v>51</c:v>
                </c:pt>
                <c:pt idx="6">
                  <c:v>29</c:v>
                </c:pt>
                <c:pt idx="7">
                  <c:v>18</c:v>
                </c:pt>
                <c:pt idx="8">
                  <c:v>11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A8-9744-992B-2D09D651D015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6">
                <a:tint val="94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Data!$K$30:$U$30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258</c:v>
                </c:pt>
                <c:pt idx="4">
                  <c:v>179</c:v>
                </c:pt>
                <c:pt idx="5">
                  <c:v>91</c:v>
                </c:pt>
                <c:pt idx="6">
                  <c:v>48</c:v>
                </c:pt>
                <c:pt idx="7">
                  <c:v>27</c:v>
                </c:pt>
                <c:pt idx="8">
                  <c:v>16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8A8-9744-992B-2D09D651D015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6">
                <a:tint val="88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Data!$K$31:$U$31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247</c:v>
                </c:pt>
                <c:pt idx="4">
                  <c:v>139</c:v>
                </c:pt>
                <c:pt idx="5">
                  <c:v>88</c:v>
                </c:pt>
                <c:pt idx="6">
                  <c:v>45</c:v>
                </c:pt>
                <c:pt idx="7">
                  <c:v>23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8A8-9744-992B-2D09D651D015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6">
                <a:tint val="81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Data!$K$32:$U$32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209</c:v>
                </c:pt>
                <c:pt idx="4">
                  <c:v>118</c:v>
                </c:pt>
                <c:pt idx="5">
                  <c:v>63</c:v>
                </c:pt>
                <c:pt idx="6">
                  <c:v>40</c:v>
                </c:pt>
                <c:pt idx="7">
                  <c:v>20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A8-9744-992B-2D09D651D015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6">
                <a:tint val="75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Data!$K$33:$U$33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200</c:v>
                </c:pt>
                <c:pt idx="4">
                  <c:v>101</c:v>
                </c:pt>
                <c:pt idx="5">
                  <c:v>54</c:v>
                </c:pt>
                <c:pt idx="6">
                  <c:v>29</c:v>
                </c:pt>
                <c:pt idx="7">
                  <c:v>18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8A8-9744-992B-2D09D651D015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6">
                <a:tint val="69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Data!$K$34:$U$34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206</c:v>
                </c:pt>
                <c:pt idx="4">
                  <c:v>90</c:v>
                </c:pt>
                <c:pt idx="5">
                  <c:v>47</c:v>
                </c:pt>
                <c:pt idx="6">
                  <c:v>25</c:v>
                </c:pt>
                <c:pt idx="7">
                  <c:v>13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8A8-9744-992B-2D09D651D015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6">
                <a:tint val="62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Data!$K$35:$U$35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180</c:v>
                </c:pt>
                <c:pt idx="4">
                  <c:v>93</c:v>
                </c:pt>
                <c:pt idx="5">
                  <c:v>42</c:v>
                </c:pt>
                <c:pt idx="6">
                  <c:v>22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8A8-9744-992B-2D09D651D015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6">
                <a:tint val="56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Data!$K$36:$U$36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149</c:v>
                </c:pt>
                <c:pt idx="4">
                  <c:v>76</c:v>
                </c:pt>
                <c:pt idx="5">
                  <c:v>40</c:v>
                </c:pt>
                <c:pt idx="6">
                  <c:v>18</c:v>
                </c:pt>
                <c:pt idx="7">
                  <c:v>9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8A8-9744-992B-2D09D651D015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6">
                <a:tint val="50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Data!$K$37:$U$37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121</c:v>
                </c:pt>
                <c:pt idx="4">
                  <c:v>62</c:v>
                </c:pt>
                <c:pt idx="5">
                  <c:v>34</c:v>
                </c:pt>
                <c:pt idx="6">
                  <c:v>18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8A8-9744-992B-2D09D651D015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6">
                <a:tint val="43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Data!$K$38:$U$38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109</c:v>
                </c:pt>
                <c:pt idx="4">
                  <c:v>56</c:v>
                </c:pt>
                <c:pt idx="5">
                  <c:v>32</c:v>
                </c:pt>
                <c:pt idx="6">
                  <c:v>18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8A8-9744-992B-2D09D651D015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6">
                <a:tint val="37000"/>
              </a:schemeClr>
            </a:solidFill>
            <a:ln>
              <a:noFill/>
            </a:ln>
            <a:effectLst/>
            <a:sp3d/>
          </c:spPr>
          <c:cat>
            <c:numRef>
              <c:f>Data!$K$19:$U$19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Data!$K$39:$U$39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102</c:v>
                </c:pt>
                <c:pt idx="4">
                  <c:v>49</c:v>
                </c:pt>
                <c:pt idx="5">
                  <c:v>28</c:v>
                </c:pt>
                <c:pt idx="6">
                  <c:v>16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8A8-9744-992B-2D09D651D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Mortality!$H$4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Mortality!$I$3:$S$3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Mortality!$I$4:$S$4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DF-2E43-BB50-178CC9FC7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Mortality!$H$5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Mortality!$I$3:$S$3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Mortality!$I$5:$S$5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DF-2E43-BB50-178CC9FC7E59}"/>
            </c:ext>
          </c:extLst>
        </c:ser>
        <c:ser>
          <c:idx val="2"/>
          <c:order val="2"/>
          <c:tx>
            <c:strRef>
              <c:f>Mortality!$H$6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Mortality!$I$3:$S$3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Mortality!$I$6:$S$6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DF-2E43-BB50-178CC9FC7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Mortality!$H$7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Mortality!$I$3:$S$3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Mortality!$I$7:$S$7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C1-1746-B706-A1A05ADED487}"/>
            </c:ext>
          </c:extLst>
        </c:ser>
        <c:ser>
          <c:idx val="1"/>
          <c:order val="1"/>
          <c:tx>
            <c:strRef>
              <c:f>Mortality!$H$8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Mortality!$I$3:$S$3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Mortality!$I$8:$S$8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C1-1746-B706-A1A05ADED487}"/>
            </c:ext>
          </c:extLst>
        </c:ser>
        <c:ser>
          <c:idx val="2"/>
          <c:order val="2"/>
          <c:tx>
            <c:strRef>
              <c:f>Mortality!$H$9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Mortality!$I$3:$S$3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Mortality!$I$9:$S$9</c:f>
              <c:numCache>
                <c:formatCode>General</c:formatCode>
                <c:ptCount val="11"/>
                <c:pt idx="0">
                  <c:v>1</c:v>
                </c:pt>
                <c:pt idx="1">
                  <c:v>0.68986409972569029</c:v>
                </c:pt>
                <c:pt idx="2">
                  <c:v>0.47591247609033716</c:v>
                </c:pt>
                <c:pt idx="3">
                  <c:v>0.32831493186628458</c:v>
                </c:pt>
                <c:pt idx="4">
                  <c:v>0.22649268489843577</c:v>
                </c:pt>
                <c:pt idx="5">
                  <c:v>0.15624917216191384</c:v>
                </c:pt>
                <c:pt idx="6">
                  <c:v>0.10779069448636308</c:v>
                </c:pt>
                <c:pt idx="7">
                  <c:v>7.436093041064179E-2</c:v>
                </c:pt>
                <c:pt idx="8">
                  <c:v>5.1298936312502104E-2</c:v>
                </c:pt>
                <c:pt idx="9">
                  <c:v>3.5389294516109789E-2</c:v>
                </c:pt>
                <c:pt idx="10">
                  <c:v>2.4413803801283388E-2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C1-1746-B706-A1A05ADED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6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Mortality!$L$20:$V$20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106</c:v>
                </c:pt>
                <c:pt idx="3">
                  <c:v>681</c:v>
                </c:pt>
                <c:pt idx="4">
                  <c:v>541</c:v>
                </c:pt>
                <c:pt idx="5">
                  <c:v>421</c:v>
                </c:pt>
                <c:pt idx="6">
                  <c:v>328</c:v>
                </c:pt>
                <c:pt idx="7">
                  <c:v>255</c:v>
                </c:pt>
                <c:pt idx="8">
                  <c:v>199</c:v>
                </c:pt>
                <c:pt idx="9">
                  <c:v>155</c:v>
                </c:pt>
                <c:pt idx="1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B-1141-AEC1-35E04CED4943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6">
                <a:shade val="49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Mortality!$L$21:$V$21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660</c:v>
                </c:pt>
                <c:pt idx="4">
                  <c:v>314</c:v>
                </c:pt>
                <c:pt idx="5">
                  <c:v>241</c:v>
                </c:pt>
                <c:pt idx="6">
                  <c:v>188</c:v>
                </c:pt>
                <c:pt idx="7">
                  <c:v>146</c:v>
                </c:pt>
                <c:pt idx="8">
                  <c:v>114</c:v>
                </c:pt>
                <c:pt idx="9">
                  <c:v>88</c:v>
                </c:pt>
                <c:pt idx="1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2B-1141-AEC1-35E04CED4943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6">
                <a:shade val="55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Mortality!$L$22:$V$22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482</c:v>
                </c:pt>
                <c:pt idx="4">
                  <c:v>248</c:v>
                </c:pt>
                <c:pt idx="5">
                  <c:v>123</c:v>
                </c:pt>
                <c:pt idx="6">
                  <c:v>95</c:v>
                </c:pt>
                <c:pt idx="7">
                  <c:v>74</c:v>
                </c:pt>
                <c:pt idx="8">
                  <c:v>57</c:v>
                </c:pt>
                <c:pt idx="9">
                  <c:v>44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2B-1141-AEC1-35E04CED4943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6">
                <a:shade val="61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Mortality!$L$23:$V$23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83</c:v>
                </c:pt>
                <c:pt idx="3">
                  <c:v>628</c:v>
                </c:pt>
                <c:pt idx="4">
                  <c:v>339</c:v>
                </c:pt>
                <c:pt idx="5">
                  <c:v>151</c:v>
                </c:pt>
                <c:pt idx="6">
                  <c:v>75</c:v>
                </c:pt>
                <c:pt idx="7">
                  <c:v>57</c:v>
                </c:pt>
                <c:pt idx="8">
                  <c:v>45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2B-1141-AEC1-35E04CED4943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6">
                <a:shade val="68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Mortality!$L$24:$V$24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540</c:v>
                </c:pt>
                <c:pt idx="4">
                  <c:v>287</c:v>
                </c:pt>
                <c:pt idx="5">
                  <c:v>144</c:v>
                </c:pt>
                <c:pt idx="6">
                  <c:v>64</c:v>
                </c:pt>
                <c:pt idx="7">
                  <c:v>32</c:v>
                </c:pt>
                <c:pt idx="8">
                  <c:v>24</c:v>
                </c:pt>
                <c:pt idx="9">
                  <c:v>19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2B-1141-AEC1-35E04CED4943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6">
                <a:shade val="74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Mortality!$L$25:$V$25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478</c:v>
                </c:pt>
                <c:pt idx="4">
                  <c:v>327</c:v>
                </c:pt>
                <c:pt idx="5">
                  <c:v>153</c:v>
                </c:pt>
                <c:pt idx="6">
                  <c:v>76</c:v>
                </c:pt>
                <c:pt idx="7">
                  <c:v>34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2B-1141-AEC1-35E04CED4943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6">
                <a:shade val="80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Mortality!$L$26:$V$26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351</c:v>
                </c:pt>
                <c:pt idx="4">
                  <c:v>240</c:v>
                </c:pt>
                <c:pt idx="5">
                  <c:v>149</c:v>
                </c:pt>
                <c:pt idx="6">
                  <c:v>70</c:v>
                </c:pt>
                <c:pt idx="7">
                  <c:v>35</c:v>
                </c:pt>
                <c:pt idx="8">
                  <c:v>15</c:v>
                </c:pt>
                <c:pt idx="9">
                  <c:v>7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2B-1141-AEC1-35E04CED4943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6">
                <a:shade val="87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Mortality!$L$27:$V$27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351</c:v>
                </c:pt>
                <c:pt idx="4">
                  <c:v>212</c:v>
                </c:pt>
                <c:pt idx="5">
                  <c:v>129</c:v>
                </c:pt>
                <c:pt idx="6">
                  <c:v>80</c:v>
                </c:pt>
                <c:pt idx="7">
                  <c:v>37</c:v>
                </c:pt>
                <c:pt idx="8">
                  <c:v>18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C2B-1141-AEC1-35E04CED4943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6">
                <a:shade val="93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Mortality!$L$28:$V$28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261</c:v>
                </c:pt>
                <c:pt idx="4">
                  <c:v>155</c:v>
                </c:pt>
                <c:pt idx="5">
                  <c:v>88</c:v>
                </c:pt>
                <c:pt idx="6">
                  <c:v>53</c:v>
                </c:pt>
                <c:pt idx="7">
                  <c:v>33</c:v>
                </c:pt>
                <c:pt idx="8">
                  <c:v>15</c:v>
                </c:pt>
                <c:pt idx="9">
                  <c:v>8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C2B-1141-AEC1-35E04CED4943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6"/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Mortality!$L$29:$V$29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160</c:v>
                </c:pt>
                <c:pt idx="4">
                  <c:v>97</c:v>
                </c:pt>
                <c:pt idx="5">
                  <c:v>51</c:v>
                </c:pt>
                <c:pt idx="6">
                  <c:v>29</c:v>
                </c:pt>
                <c:pt idx="7">
                  <c:v>18</c:v>
                </c:pt>
                <c:pt idx="8">
                  <c:v>11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C2B-1141-AEC1-35E04CED4943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6">
                <a:tint val="94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Mortality!$L$30:$V$30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258</c:v>
                </c:pt>
                <c:pt idx="4">
                  <c:v>179</c:v>
                </c:pt>
                <c:pt idx="5">
                  <c:v>91</c:v>
                </c:pt>
                <c:pt idx="6">
                  <c:v>48</c:v>
                </c:pt>
                <c:pt idx="7">
                  <c:v>27</c:v>
                </c:pt>
                <c:pt idx="8">
                  <c:v>16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C2B-1141-AEC1-35E04CED4943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6">
                <a:tint val="88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Mortality!$L$31:$V$31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247</c:v>
                </c:pt>
                <c:pt idx="4">
                  <c:v>139</c:v>
                </c:pt>
                <c:pt idx="5">
                  <c:v>88</c:v>
                </c:pt>
                <c:pt idx="6">
                  <c:v>45</c:v>
                </c:pt>
                <c:pt idx="7">
                  <c:v>23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C2B-1141-AEC1-35E04CED4943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6">
                <a:tint val="81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Mortality!$L$32:$V$32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209</c:v>
                </c:pt>
                <c:pt idx="4">
                  <c:v>118</c:v>
                </c:pt>
                <c:pt idx="5">
                  <c:v>63</c:v>
                </c:pt>
                <c:pt idx="6">
                  <c:v>40</c:v>
                </c:pt>
                <c:pt idx="7">
                  <c:v>20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C2B-1141-AEC1-35E04CED4943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6">
                <a:tint val="75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Mortality!$L$33:$V$33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200</c:v>
                </c:pt>
                <c:pt idx="4">
                  <c:v>101</c:v>
                </c:pt>
                <c:pt idx="5">
                  <c:v>54</c:v>
                </c:pt>
                <c:pt idx="6">
                  <c:v>29</c:v>
                </c:pt>
                <c:pt idx="7">
                  <c:v>18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C2B-1141-AEC1-35E04CED4943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6">
                <a:tint val="69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Mortality!$L$34:$V$34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206</c:v>
                </c:pt>
                <c:pt idx="4">
                  <c:v>90</c:v>
                </c:pt>
                <c:pt idx="5">
                  <c:v>47</c:v>
                </c:pt>
                <c:pt idx="6">
                  <c:v>25</c:v>
                </c:pt>
                <c:pt idx="7">
                  <c:v>13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C2B-1141-AEC1-35E04CED4943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6">
                <a:tint val="62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Mortality!$L$35:$V$35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180</c:v>
                </c:pt>
                <c:pt idx="4">
                  <c:v>93</c:v>
                </c:pt>
                <c:pt idx="5">
                  <c:v>42</c:v>
                </c:pt>
                <c:pt idx="6">
                  <c:v>22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C2B-1141-AEC1-35E04CED4943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6">
                <a:tint val="56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Mortality!$L$36:$V$36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149</c:v>
                </c:pt>
                <c:pt idx="4">
                  <c:v>76</c:v>
                </c:pt>
                <c:pt idx="5">
                  <c:v>40</c:v>
                </c:pt>
                <c:pt idx="6">
                  <c:v>18</c:v>
                </c:pt>
                <c:pt idx="7">
                  <c:v>9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C2B-1141-AEC1-35E04CED4943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6">
                <a:tint val="50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Mortality!$L$37:$V$37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121</c:v>
                </c:pt>
                <c:pt idx="4">
                  <c:v>62</c:v>
                </c:pt>
                <c:pt idx="5">
                  <c:v>34</c:v>
                </c:pt>
                <c:pt idx="6">
                  <c:v>18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C2B-1141-AEC1-35E04CED4943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6">
                <a:tint val="43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Mortality!$L$38:$V$38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109</c:v>
                </c:pt>
                <c:pt idx="4">
                  <c:v>56</c:v>
                </c:pt>
                <c:pt idx="5">
                  <c:v>32</c:v>
                </c:pt>
                <c:pt idx="6">
                  <c:v>18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C2B-1141-AEC1-35E04CED4943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6">
                <a:tint val="37000"/>
              </a:schemeClr>
            </a:solidFill>
            <a:ln w="25400">
              <a:noFill/>
            </a:ln>
            <a:effectLst/>
            <a:sp3d/>
          </c:spPr>
          <c:cat>
            <c:numRef>
              <c:f>Mortality!$L$19:$V$19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Mortality!$L$39:$V$39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102</c:v>
                </c:pt>
                <c:pt idx="4">
                  <c:v>49</c:v>
                </c:pt>
                <c:pt idx="5">
                  <c:v>28</c:v>
                </c:pt>
                <c:pt idx="6">
                  <c:v>16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C2B-1141-AEC1-35E04CED4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view3D>
      <c:rotX val="40"/>
      <c:rotY val="220"/>
      <c:depthPercent val="100"/>
      <c:rAngAx val="0"/>
      <c:perspective val="5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4.185776037632092E-2"/>
          <c:w val="0.89200885623516624"/>
          <c:h val="0.91724170342688427"/>
        </c:manualLayout>
      </c:layout>
      <c:area3DChart>
        <c:grouping val="standard"/>
        <c:varyColors val="0"/>
        <c:ser>
          <c:idx val="1"/>
          <c:order val="0"/>
          <c:spPr>
            <a:solidFill>
              <a:schemeClr val="accent4">
                <a:shade val="42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Mortality!$Y$44:$AI$44</c:f>
              <c:numCache>
                <c:formatCode>General</c:formatCode>
                <c:ptCount val="11"/>
                <c:pt idx="0">
                  <c:v>0.25000000383079374</c:v>
                </c:pt>
                <c:pt idx="1">
                  <c:v>0.25001141233666441</c:v>
                </c:pt>
                <c:pt idx="2">
                  <c:v>0.25524777801923609</c:v>
                </c:pt>
                <c:pt idx="3">
                  <c:v>0.36710602550955096</c:v>
                </c:pt>
                <c:pt idx="4">
                  <c:v>0.39284791539701863</c:v>
                </c:pt>
                <c:pt idx="5">
                  <c:v>0.39362683921228747</c:v>
                </c:pt>
                <c:pt idx="6">
                  <c:v>0.39367053502835059</c:v>
                </c:pt>
                <c:pt idx="7">
                  <c:v>0.39367506807280217</c:v>
                </c:pt>
                <c:pt idx="8">
                  <c:v>0.39367582147518476</c:v>
                </c:pt>
                <c:pt idx="9">
                  <c:v>0.39367600078072612</c:v>
                </c:pt>
                <c:pt idx="10">
                  <c:v>0.39367605689933038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0-1D46-961C-1022E7ECBB25}"/>
            </c:ext>
          </c:extLst>
        </c:ser>
        <c:ser>
          <c:idx val="2"/>
          <c:order val="1"/>
          <c:spPr>
            <a:solidFill>
              <a:schemeClr val="accent4">
                <a:shade val="49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Mortality!$Y$45:$AI$45</c:f>
              <c:numCache>
                <c:formatCode>General</c:formatCode>
                <c:ptCount val="11"/>
                <c:pt idx="0">
                  <c:v>0.25000000196985678</c:v>
                </c:pt>
                <c:pt idx="1">
                  <c:v>0.25000586841007888</c:v>
                </c:pt>
                <c:pt idx="2">
                  <c:v>0.25269849324686261</c:v>
                </c:pt>
                <c:pt idx="3">
                  <c:v>0.31021783273722398</c:v>
                </c:pt>
                <c:pt idx="4">
                  <c:v>0.3234547333393808</c:v>
                </c:pt>
                <c:pt idx="5">
                  <c:v>0.32385526869884501</c:v>
                </c:pt>
                <c:pt idx="6">
                  <c:v>0.32387773780179302</c:v>
                </c:pt>
                <c:pt idx="7">
                  <c:v>0.32388006876735509</c:v>
                </c:pt>
                <c:pt idx="8">
                  <c:v>0.32388045617917671</c:v>
                </c:pt>
                <c:pt idx="9">
                  <c:v>0.32388054838101732</c:v>
                </c:pt>
                <c:pt idx="10">
                  <c:v>0.32388057723812103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90-1D46-961C-1022E7ECBB25}"/>
            </c:ext>
          </c:extLst>
        </c:ser>
        <c:ser>
          <c:idx val="3"/>
          <c:order val="2"/>
          <c:spPr>
            <a:solidFill>
              <a:schemeClr val="accent4">
                <a:shade val="55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Mortality!$Y$46:$AI$46</c:f>
              <c:numCache>
                <c:formatCode>General</c:formatCode>
                <c:ptCount val="11"/>
                <c:pt idx="0">
                  <c:v>0.25000000738800376</c:v>
                </c:pt>
                <c:pt idx="1">
                  <c:v>0.25002200963865195</c:v>
                </c:pt>
                <c:pt idx="2">
                  <c:v>0.26012077555417401</c:v>
                </c:pt>
                <c:pt idx="3">
                  <c:v>0.47584869174707589</c:v>
                </c:pt>
                <c:pt idx="4">
                  <c:v>0.52549406335699111</c:v>
                </c:pt>
                <c:pt idx="5">
                  <c:v>0.52699628259706555</c:v>
                </c:pt>
                <c:pt idx="6">
                  <c:v>0.52708055360574968</c:v>
                </c:pt>
                <c:pt idx="7">
                  <c:v>0.52708929595828502</c:v>
                </c:pt>
                <c:pt idx="8">
                  <c:v>0.52709074895732355</c:v>
                </c:pt>
                <c:pt idx="9">
                  <c:v>0.52709109476294524</c:v>
                </c:pt>
                <c:pt idx="10">
                  <c:v>0.52709120299233214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90-1D46-961C-1022E7ECBB25}"/>
            </c:ext>
          </c:extLst>
        </c:ser>
        <c:ser>
          <c:idx val="4"/>
          <c:order val="3"/>
          <c:spPr>
            <a:solidFill>
              <a:schemeClr val="accent4">
                <a:shade val="61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Mortality!$Y$47:$AI$47</c:f>
              <c:numCache>
                <c:formatCode>General</c:formatCode>
                <c:ptCount val="11"/>
                <c:pt idx="0">
                  <c:v>0.25000000588677218</c:v>
                </c:pt>
                <c:pt idx="1">
                  <c:v>0.25001753731214615</c:v>
                </c:pt>
                <c:pt idx="2">
                  <c:v>0.25806424870764272</c:v>
                </c:pt>
                <c:pt idx="3">
                  <c:v>0.42995656664799964</c:v>
                </c:pt>
                <c:pt idx="4">
                  <c:v>0.46951407108061094</c:v>
                </c:pt>
                <c:pt idx="5">
                  <c:v>0.47071104155985155</c:v>
                </c:pt>
                <c:pt idx="6">
                  <c:v>0.47077818882235478</c:v>
                </c:pt>
                <c:pt idx="7">
                  <c:v>0.47078515474159266</c:v>
                </c:pt>
                <c:pt idx="8">
                  <c:v>0.47078631249334363</c:v>
                </c:pt>
                <c:pt idx="9">
                  <c:v>0.47078658803176676</c:v>
                </c:pt>
                <c:pt idx="10">
                  <c:v>0.47078667426909993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90-1D46-961C-1022E7ECBB25}"/>
            </c:ext>
          </c:extLst>
        </c:ser>
        <c:ser>
          <c:idx val="5"/>
          <c:order val="4"/>
          <c:spPr>
            <a:solidFill>
              <a:schemeClr val="accent4">
                <a:shade val="68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Mortality!$Y$48:$AI$48</c:f>
              <c:numCache>
                <c:formatCode>General</c:formatCode>
                <c:ptCount val="11"/>
                <c:pt idx="0">
                  <c:v>0.25000000494749014</c:v>
                </c:pt>
                <c:pt idx="1">
                  <c:v>0.25001473909238359</c:v>
                </c:pt>
                <c:pt idx="2">
                  <c:v>0.2567775327094422</c:v>
                </c:pt>
                <c:pt idx="3">
                  <c:v>0.40124304333270649</c:v>
                </c:pt>
                <c:pt idx="4">
                  <c:v>0.43448882851562615</c:v>
                </c:pt>
                <c:pt idx="5">
                  <c:v>0.43549481268965112</c:v>
                </c:pt>
                <c:pt idx="6">
                  <c:v>0.4355512460642238</c:v>
                </c:pt>
                <c:pt idx="7">
                  <c:v>0.43555710051479907</c:v>
                </c:pt>
                <c:pt idx="8">
                  <c:v>0.43555807353790965</c:v>
                </c:pt>
                <c:pt idx="9">
                  <c:v>0.43555830511195237</c:v>
                </c:pt>
                <c:pt idx="10">
                  <c:v>0.43555837758942273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90-1D46-961C-1022E7ECBB25}"/>
            </c:ext>
          </c:extLst>
        </c:ser>
        <c:ser>
          <c:idx val="6"/>
          <c:order val="5"/>
          <c:spPr>
            <a:solidFill>
              <a:schemeClr val="accent4">
                <a:shade val="74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Mortality!$Y$49:$AI$49</c:f>
              <c:numCache>
                <c:formatCode>General</c:formatCode>
                <c:ptCount val="11"/>
                <c:pt idx="0">
                  <c:v>0.25000000084247398</c:v>
                </c:pt>
                <c:pt idx="1">
                  <c:v>0.25000250981843264</c:v>
                </c:pt>
                <c:pt idx="2">
                  <c:v>0.25115409932168209</c:v>
                </c:pt>
                <c:pt idx="3">
                  <c:v>0.27575413519970754</c:v>
                </c:pt>
                <c:pt idx="4">
                  <c:v>0.28141533076648695</c:v>
                </c:pt>
                <c:pt idx="5">
                  <c:v>0.28158663287636065</c:v>
                </c:pt>
                <c:pt idx="6">
                  <c:v>0.28159624252667242</c:v>
                </c:pt>
                <c:pt idx="7">
                  <c:v>0.28159723944070109</c:v>
                </c:pt>
                <c:pt idx="8">
                  <c:v>0.28159740513009868</c:v>
                </c:pt>
                <c:pt idx="9">
                  <c:v>0.28159744456324598</c:v>
                </c:pt>
                <c:pt idx="10">
                  <c:v>0.28159745690493476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90-1D46-961C-1022E7ECBB25}"/>
            </c:ext>
          </c:extLst>
        </c:ser>
        <c:ser>
          <c:idx val="7"/>
          <c:order val="6"/>
          <c:spPr>
            <a:solidFill>
              <a:schemeClr val="accent4">
                <a:shade val="80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Mortality!$Y$50:$AI$50</c:f>
              <c:numCache>
                <c:formatCode>General</c:formatCode>
                <c:ptCount val="11"/>
                <c:pt idx="0">
                  <c:v>0.25000000100305908</c:v>
                </c:pt>
                <c:pt idx="1">
                  <c:v>0.25000298821824873</c:v>
                </c:pt>
                <c:pt idx="2">
                  <c:v>0.25137408372215037</c:v>
                </c:pt>
                <c:pt idx="3">
                  <c:v>0.28066316502499888</c:v>
                </c:pt>
                <c:pt idx="4">
                  <c:v>0.28740344857779004</c:v>
                </c:pt>
                <c:pt idx="5">
                  <c:v>0.28760740280973979</c:v>
                </c:pt>
                <c:pt idx="6">
                  <c:v>0.28761884416822681</c:v>
                </c:pt>
                <c:pt idx="7">
                  <c:v>0.28762003110535905</c:v>
                </c:pt>
                <c:pt idx="8">
                  <c:v>0.28762022837703222</c:v>
                </c:pt>
                <c:pt idx="9">
                  <c:v>0.28762027532658396</c:v>
                </c:pt>
                <c:pt idx="10">
                  <c:v>0.28762029002073836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90-1D46-961C-1022E7ECBB25}"/>
            </c:ext>
          </c:extLst>
        </c:ser>
        <c:ser>
          <c:idx val="8"/>
          <c:order val="7"/>
          <c:spPr>
            <a:solidFill>
              <a:schemeClr val="accent4">
                <a:shade val="87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Mortality!$Y$51:$AI$51</c:f>
              <c:numCache>
                <c:formatCode>General</c:formatCode>
                <c:ptCount val="11"/>
                <c:pt idx="0">
                  <c:v>0.25000000984352716</c:v>
                </c:pt>
                <c:pt idx="1">
                  <c:v>0.2500293249005629</c:v>
                </c:pt>
                <c:pt idx="2">
                  <c:v>0.26348458016231452</c:v>
                </c:pt>
                <c:pt idx="3">
                  <c:v>0.55091318319585669</c:v>
                </c:pt>
                <c:pt idx="4">
                  <c:v>0.61705900271121017</c:v>
                </c:pt>
                <c:pt idx="5">
                  <c:v>0.61906050898468945</c:v>
                </c:pt>
                <c:pt idx="6">
                  <c:v>0.61917278883576188</c:v>
                </c:pt>
                <c:pt idx="7">
                  <c:v>0.61918443685156255</c:v>
                </c:pt>
                <c:pt idx="8">
                  <c:v>0.61918637277849886</c:v>
                </c:pt>
                <c:pt idx="9">
                  <c:v>0.61918683351825143</c:v>
                </c:pt>
                <c:pt idx="10">
                  <c:v>0.61918697771943809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90-1D46-961C-1022E7ECBB25}"/>
            </c:ext>
          </c:extLst>
        </c:ser>
        <c:ser>
          <c:idx val="9"/>
          <c:order val="8"/>
          <c:spPr>
            <a:solidFill>
              <a:schemeClr val="accent4">
                <a:shade val="93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Mortality!$Y$52:$AI$52</c:f>
              <c:numCache>
                <c:formatCode>General</c:formatCode>
                <c:ptCount val="11"/>
                <c:pt idx="0">
                  <c:v>0.25000000188591248</c:v>
                </c:pt>
                <c:pt idx="1">
                  <c:v>0.2500056183311587</c:v>
                </c:pt>
                <c:pt idx="2">
                  <c:v>0.25258349850923523</c:v>
                </c:pt>
                <c:pt idx="3">
                  <c:v>0.30765168443051377</c:v>
                </c:pt>
                <c:pt idx="4">
                  <c:v>0.32032450212695485</c:v>
                </c:pt>
                <c:pt idx="5">
                  <c:v>0.32070796890245079</c:v>
                </c:pt>
                <c:pt idx="6">
                  <c:v>0.32072948049750016</c:v>
                </c:pt>
                <c:pt idx="7">
                  <c:v>0.32073171213030549</c:v>
                </c:pt>
                <c:pt idx="8">
                  <c:v>0.32073208303279516</c:v>
                </c:pt>
                <c:pt idx="9">
                  <c:v>0.32073217130550735</c:v>
                </c:pt>
                <c:pt idx="10">
                  <c:v>0.32073219893288218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90-1D46-961C-1022E7ECBB25}"/>
            </c:ext>
          </c:extLst>
        </c:ser>
        <c:ser>
          <c:idx val="10"/>
          <c:order val="9"/>
          <c:spPr>
            <a:solidFill>
              <a:schemeClr val="accent4"/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Mortality!$Y$53:$AI$53</c:f>
              <c:numCache>
                <c:formatCode>General</c:formatCode>
                <c:ptCount val="11"/>
                <c:pt idx="0">
                  <c:v>0.25000000157848373</c:v>
                </c:pt>
                <c:pt idx="1">
                  <c:v>0.25000470246864265</c:v>
                </c:pt>
                <c:pt idx="2">
                  <c:v>0.25216235397751935</c:v>
                </c:pt>
                <c:pt idx="3">
                  <c:v>0.29825369501603327</c:v>
                </c:pt>
                <c:pt idx="4">
                  <c:v>0.30886067530044975</c:v>
                </c:pt>
                <c:pt idx="5">
                  <c:v>0.30918163190416986</c:v>
                </c:pt>
                <c:pt idx="6">
                  <c:v>0.30919963682383655</c:v>
                </c:pt>
                <c:pt idx="7">
                  <c:v>0.30920150467088803</c:v>
                </c:pt>
                <c:pt idx="8">
                  <c:v>0.3092018151113512</c:v>
                </c:pt>
                <c:pt idx="9">
                  <c:v>0.30920188899444023</c:v>
                </c:pt>
                <c:pt idx="10">
                  <c:v>0.30920191211818643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A90-1D46-961C-1022E7ECBB25}"/>
            </c:ext>
          </c:extLst>
        </c:ser>
        <c:ser>
          <c:idx val="11"/>
          <c:order val="10"/>
          <c:spPr>
            <a:solidFill>
              <a:schemeClr val="accent4">
                <a:tint val="94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Mortality!$Y$54:$AI$54</c:f>
              <c:numCache>
                <c:formatCode>General</c:formatCode>
                <c:ptCount val="11"/>
                <c:pt idx="0">
                  <c:v>0.25000000000002665</c:v>
                </c:pt>
                <c:pt idx="1">
                  <c:v>0.25000000007943102</c:v>
                </c:pt>
                <c:pt idx="2">
                  <c:v>0.25000003652505759</c:v>
                </c:pt>
                <c:pt idx="3">
                  <c:v>0.2500008150695992</c:v>
                </c:pt>
                <c:pt idx="4">
                  <c:v>0.25000099423571626</c:v>
                </c:pt>
                <c:pt idx="5">
                  <c:v>0.2500009996571036</c:v>
                </c:pt>
                <c:pt idx="6">
                  <c:v>0.25000099996123082</c:v>
                </c:pt>
                <c:pt idx="7">
                  <c:v>0.25000099999278125</c:v>
                </c:pt>
                <c:pt idx="8">
                  <c:v>0.250000999998025</c:v>
                </c:pt>
                <c:pt idx="9">
                  <c:v>0.250000999999273</c:v>
                </c:pt>
                <c:pt idx="10">
                  <c:v>0.25000099999966358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A90-1D46-961C-1022E7ECBB25}"/>
            </c:ext>
          </c:extLst>
        </c:ser>
        <c:ser>
          <c:idx val="12"/>
          <c:order val="11"/>
          <c:spPr>
            <a:solidFill>
              <a:schemeClr val="accent4">
                <a:tint val="88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Mortality!$Y$55:$AI$55</c:f>
              <c:numCache>
                <c:formatCode>General</c:formatCode>
                <c:ptCount val="11"/>
                <c:pt idx="0">
                  <c:v>0.25000000679187551</c:v>
                </c:pt>
                <c:pt idx="1">
                  <c:v>0.25002023370999171</c:v>
                </c:pt>
                <c:pt idx="2">
                  <c:v>0.25930414354787068</c:v>
                </c:pt>
                <c:pt idx="3">
                  <c:v>0.45762525923687369</c:v>
                </c:pt>
                <c:pt idx="4">
                  <c:v>0.50326481141087043</c:v>
                </c:pt>
                <c:pt idx="5">
                  <c:v>0.50464581856543189</c:v>
                </c:pt>
                <c:pt idx="6">
                  <c:v>0.50472328985777748</c:v>
                </c:pt>
                <c:pt idx="7">
                  <c:v>0.50473132680143851</c:v>
                </c:pt>
                <c:pt idx="8">
                  <c:v>0.50473266255990468</c:v>
                </c:pt>
                <c:pt idx="9">
                  <c:v>0.50473298046292747</c:v>
                </c:pt>
                <c:pt idx="10">
                  <c:v>0.50473307995942829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A90-1D46-961C-1022E7ECBB25}"/>
            </c:ext>
          </c:extLst>
        </c:ser>
        <c:ser>
          <c:idx val="13"/>
          <c:order val="12"/>
          <c:spPr>
            <a:solidFill>
              <a:schemeClr val="accent4">
                <a:tint val="81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Mortality!$Y$56:$AI$56</c:f>
              <c:numCache>
                <c:formatCode>General</c:formatCode>
                <c:ptCount val="11"/>
                <c:pt idx="0">
                  <c:v>0.25000000000002665</c:v>
                </c:pt>
                <c:pt idx="1">
                  <c:v>0.25000000007943102</c:v>
                </c:pt>
                <c:pt idx="2">
                  <c:v>0.25000003652505759</c:v>
                </c:pt>
                <c:pt idx="3">
                  <c:v>0.2500008150695992</c:v>
                </c:pt>
                <c:pt idx="4">
                  <c:v>0.25000099423571626</c:v>
                </c:pt>
                <c:pt idx="5">
                  <c:v>0.2500009996571036</c:v>
                </c:pt>
                <c:pt idx="6">
                  <c:v>0.25000099996123082</c:v>
                </c:pt>
                <c:pt idx="7">
                  <c:v>0.25000099999278125</c:v>
                </c:pt>
                <c:pt idx="8">
                  <c:v>0.250000999998025</c:v>
                </c:pt>
                <c:pt idx="9">
                  <c:v>0.250000999999273</c:v>
                </c:pt>
                <c:pt idx="10">
                  <c:v>0.25000099999966358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A90-1D46-961C-1022E7ECBB25}"/>
            </c:ext>
          </c:extLst>
        </c:ser>
        <c:ser>
          <c:idx val="14"/>
          <c:order val="13"/>
          <c:spPr>
            <a:solidFill>
              <a:schemeClr val="accent4">
                <a:tint val="75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Mortality!$Y$57:$AI$57</c:f>
              <c:numCache>
                <c:formatCode>General</c:formatCode>
                <c:ptCount val="11"/>
                <c:pt idx="0">
                  <c:v>0.25000000276908274</c:v>
                </c:pt>
                <c:pt idx="1">
                  <c:v>0.25000824938820065</c:v>
                </c:pt>
                <c:pt idx="2">
                  <c:v>0.25379334744010273</c:v>
                </c:pt>
                <c:pt idx="3">
                  <c:v>0.33464989190833283</c:v>
                </c:pt>
                <c:pt idx="4">
                  <c:v>0.35325737335097324</c:v>
                </c:pt>
                <c:pt idx="5">
                  <c:v>0.35382041710965628</c:v>
                </c:pt>
                <c:pt idx="6">
                  <c:v>0.35385200255618221</c:v>
                </c:pt>
                <c:pt idx="7">
                  <c:v>0.35385527925967519</c:v>
                </c:pt>
                <c:pt idx="8">
                  <c:v>0.35385582385530956</c:v>
                </c:pt>
                <c:pt idx="9">
                  <c:v>0.353855953466016</c:v>
                </c:pt>
                <c:pt idx="10">
                  <c:v>0.3538559940312539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A90-1D46-961C-1022E7ECBB25}"/>
            </c:ext>
          </c:extLst>
        </c:ser>
        <c:ser>
          <c:idx val="15"/>
          <c:order val="14"/>
          <c:spPr>
            <a:solidFill>
              <a:schemeClr val="accent4">
                <a:tint val="69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Mortality!$Y$58:$AI$58</c:f>
              <c:numCache>
                <c:formatCode>General</c:formatCode>
                <c:ptCount val="11"/>
                <c:pt idx="0">
                  <c:v>0.25000000630731267</c:v>
                </c:pt>
                <c:pt idx="1">
                  <c:v>0.25001879014640221</c:v>
                </c:pt>
                <c:pt idx="2">
                  <c:v>0.25864034423162963</c:v>
                </c:pt>
                <c:pt idx="3">
                  <c:v>0.44281234234595224</c:v>
                </c:pt>
                <c:pt idx="4">
                  <c:v>0.4851957642409207</c:v>
                </c:pt>
                <c:pt idx="5">
                  <c:v>0.48647824415326962</c:v>
                </c:pt>
                <c:pt idx="6">
                  <c:v>0.48655018829627328</c:v>
                </c:pt>
                <c:pt idx="7">
                  <c:v>0.48655765184833955</c:v>
                </c:pt>
                <c:pt idx="8">
                  <c:v>0.48655889230780769</c:v>
                </c:pt>
                <c:pt idx="9">
                  <c:v>0.48655918753020366</c:v>
                </c:pt>
                <c:pt idx="10">
                  <c:v>0.48655927992817793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A90-1D46-961C-1022E7ECBB25}"/>
            </c:ext>
          </c:extLst>
        </c:ser>
        <c:ser>
          <c:idx val="16"/>
          <c:order val="15"/>
          <c:spPr>
            <a:solidFill>
              <a:schemeClr val="accent4">
                <a:tint val="62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Mortality!$Y$59:$AI$59</c:f>
              <c:numCache>
                <c:formatCode>General</c:formatCode>
                <c:ptCount val="11"/>
                <c:pt idx="0">
                  <c:v>0.25000000000002665</c:v>
                </c:pt>
                <c:pt idx="1">
                  <c:v>0.25000000007943102</c:v>
                </c:pt>
                <c:pt idx="2">
                  <c:v>0.25000003652505759</c:v>
                </c:pt>
                <c:pt idx="3">
                  <c:v>0.2500008150695992</c:v>
                </c:pt>
                <c:pt idx="4">
                  <c:v>0.25000099423571626</c:v>
                </c:pt>
                <c:pt idx="5">
                  <c:v>0.2500009996571036</c:v>
                </c:pt>
                <c:pt idx="6">
                  <c:v>0.25000099996123082</c:v>
                </c:pt>
                <c:pt idx="7">
                  <c:v>0.25000099999278125</c:v>
                </c:pt>
                <c:pt idx="8">
                  <c:v>0.250000999998025</c:v>
                </c:pt>
                <c:pt idx="9">
                  <c:v>0.250000999999273</c:v>
                </c:pt>
                <c:pt idx="10">
                  <c:v>0.25000099999966358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A90-1D46-961C-1022E7ECBB25}"/>
            </c:ext>
          </c:extLst>
        </c:ser>
        <c:ser>
          <c:idx val="17"/>
          <c:order val="16"/>
          <c:spPr>
            <a:solidFill>
              <a:schemeClr val="accent4">
                <a:tint val="56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Mortality!$Y$60:$AI$60</c:f>
              <c:numCache>
                <c:formatCode>General</c:formatCode>
                <c:ptCount val="11"/>
                <c:pt idx="0">
                  <c:v>0.25000000120342575</c:v>
                </c:pt>
                <c:pt idx="1">
                  <c:v>0.25000358513156612</c:v>
                </c:pt>
                <c:pt idx="2">
                  <c:v>0.25164856463510027</c:v>
                </c:pt>
                <c:pt idx="3">
                  <c:v>0.28678830383155102</c:v>
                </c:pt>
                <c:pt idx="4">
                  <c:v>0.29487499674302087</c:v>
                </c:pt>
                <c:pt idx="5">
                  <c:v>0.29511969197414201</c:v>
                </c:pt>
                <c:pt idx="6">
                  <c:v>0.29513341880801336</c:v>
                </c:pt>
                <c:pt idx="7">
                  <c:v>0.29513484284247987</c:v>
                </c:pt>
                <c:pt idx="8">
                  <c:v>0.29513507952027368</c:v>
                </c:pt>
                <c:pt idx="9">
                  <c:v>0.29513513584826112</c:v>
                </c:pt>
                <c:pt idx="10">
                  <c:v>0.29513515347765512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A90-1D46-961C-1022E7ECBB25}"/>
            </c:ext>
          </c:extLst>
        </c:ser>
        <c:ser>
          <c:idx val="18"/>
          <c:order val="17"/>
          <c:spPr>
            <a:solidFill>
              <a:schemeClr val="accent4">
                <a:tint val="50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Mortality!$Y$61:$AI$61</c:f>
              <c:numCache>
                <c:formatCode>General</c:formatCode>
                <c:ptCount val="11"/>
                <c:pt idx="0">
                  <c:v>0.25000000254882954</c:v>
                </c:pt>
                <c:pt idx="1">
                  <c:v>0.25000759323063043</c:v>
                </c:pt>
                <c:pt idx="2">
                  <c:v>0.2534916240178734</c:v>
                </c:pt>
                <c:pt idx="3">
                  <c:v>0.32791682685662926</c:v>
                </c:pt>
                <c:pt idx="4">
                  <c:v>0.34504426644478819</c:v>
                </c:pt>
                <c:pt idx="5">
                  <c:v>0.34556252561876943</c:v>
                </c:pt>
                <c:pt idx="6">
                  <c:v>0.34559159875415879</c:v>
                </c:pt>
                <c:pt idx="7">
                  <c:v>0.34559461482816634</c:v>
                </c:pt>
                <c:pt idx="8">
                  <c:v>0.34559511610658261</c:v>
                </c:pt>
                <c:pt idx="9">
                  <c:v>0.34559523540803405</c:v>
                </c:pt>
                <c:pt idx="10">
                  <c:v>0.34559527274670687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A90-1D46-961C-1022E7ECBB25}"/>
            </c:ext>
          </c:extLst>
        </c:ser>
        <c:ser>
          <c:idx val="19"/>
          <c:order val="18"/>
          <c:spPr>
            <a:solidFill>
              <a:schemeClr val="accent4">
                <a:tint val="43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Mortality!$Y$62:$AI$62</c:f>
              <c:numCache>
                <c:formatCode>General</c:formatCode>
                <c:ptCount val="11"/>
                <c:pt idx="0">
                  <c:v>0.25000000469840999</c:v>
                </c:pt>
                <c:pt idx="1">
                  <c:v>0.25001399705647576</c:v>
                </c:pt>
                <c:pt idx="2">
                  <c:v>0.25643631952575557</c:v>
                </c:pt>
                <c:pt idx="3">
                  <c:v>0.39362875026494915</c:v>
                </c:pt>
                <c:pt idx="4">
                  <c:v>0.42520078473463047</c:v>
                </c:pt>
                <c:pt idx="5">
                  <c:v>0.42615612288782856</c:v>
                </c:pt>
                <c:pt idx="6">
                  <c:v>0.42620971513831823</c:v>
                </c:pt>
                <c:pt idx="7">
                  <c:v>0.42621527484804828</c:v>
                </c:pt>
                <c:pt idx="8">
                  <c:v>0.42621619888455442</c:v>
                </c:pt>
                <c:pt idx="9">
                  <c:v>0.42621641880006017</c:v>
                </c:pt>
                <c:pt idx="10">
                  <c:v>0.42621648762867048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A90-1D46-961C-1022E7ECBB25}"/>
            </c:ext>
          </c:extLst>
        </c:ser>
        <c:ser>
          <c:idx val="20"/>
          <c:order val="19"/>
          <c:spPr>
            <a:solidFill>
              <a:schemeClr val="accent4">
                <a:tint val="37000"/>
              </a:schemeClr>
            </a:solidFill>
            <a:ln w="25400">
              <a:noFill/>
            </a:ln>
            <a:effectLst/>
            <a:sp3d/>
          </c:spPr>
          <c:cat>
            <c:numRef>
              <c:f>Mortality!$Y$19:$AI$19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Mortality!$Y$63:$AI$63</c:f>
              <c:numCache>
                <c:formatCode>General</c:formatCode>
                <c:ptCount val="11"/>
                <c:pt idx="0">
                  <c:v>0.25000000116735621</c:v>
                </c:pt>
                <c:pt idx="1">
                  <c:v>0.25000347767666448</c:v>
                </c:pt>
                <c:pt idx="2">
                  <c:v>0.25159915324044307</c:v>
                </c:pt>
                <c:pt idx="3">
                  <c:v>0.2856856710559314</c:v>
                </c:pt>
                <c:pt idx="4">
                  <c:v>0.2935299865886728</c:v>
                </c:pt>
                <c:pt idx="5">
                  <c:v>0.29376734772298135</c:v>
                </c:pt>
                <c:pt idx="6">
                  <c:v>0.2937806631310636</c:v>
                </c:pt>
                <c:pt idx="7">
                  <c:v>0.29378204448383749</c:v>
                </c:pt>
                <c:pt idx="8">
                  <c:v>0.29378227406783614</c:v>
                </c:pt>
                <c:pt idx="9">
                  <c:v>0.29378232870754012</c:v>
                </c:pt>
                <c:pt idx="10">
                  <c:v>0.29378234580853935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A90-1D46-961C-1022E7ECB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1807380220679472"/>
              <c:y val="0.893341941391765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69776781809583532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</a:t>
                </a:r>
              </a:p>
            </c:rich>
          </c:tx>
          <c:layout>
            <c:manualLayout>
              <c:xMode val="edge"/>
              <c:yMode val="edge"/>
              <c:x val="0.886189076321653"/>
              <c:y val="0.338478683395401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Mortality!$F$19</c:f>
              <c:strCache>
                <c:ptCount val="1"/>
                <c:pt idx="0">
                  <c:v>F_t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Mortality!$E$20:$E$39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Mortality!$F$20:$F$39</c:f>
              <c:numCache>
                <c:formatCode>0.000</c:formatCode>
                <c:ptCount val="20"/>
                <c:pt idx="0">
                  <c:v>0.14367610523600305</c:v>
                </c:pt>
                <c:pt idx="1">
                  <c:v>7.3880602093628303E-2</c:v>
                </c:pt>
                <c:pt idx="2">
                  <c:v>0.27709129621361805</c:v>
                </c:pt>
                <c:pt idx="3">
                  <c:v>0.22078674854795641</c:v>
                </c:pt>
                <c:pt idx="4">
                  <c:v>0.18555844001648789</c:v>
                </c:pt>
                <c:pt idx="5">
                  <c:v>3.1597467535209339E-2</c:v>
                </c:pt>
                <c:pt idx="6">
                  <c:v>3.7620302677263642E-2</c:v>
                </c:pt>
                <c:pt idx="7">
                  <c:v>0.36918710192433679</c:v>
                </c:pt>
                <c:pt idx="8">
                  <c:v>7.073222272918632E-2</c:v>
                </c:pt>
                <c:pt idx="9">
                  <c:v>5.9201932035377297E-2</c:v>
                </c:pt>
                <c:pt idx="10">
                  <c:v>9.9999999999999995E-7</c:v>
                </c:pt>
                <c:pt idx="11">
                  <c:v>0.25473316565881177</c:v>
                </c:pt>
                <c:pt idx="12">
                  <c:v>9.9999999999999995E-7</c:v>
                </c:pt>
                <c:pt idx="13">
                  <c:v>0.10385602897133576</c:v>
                </c:pt>
                <c:pt idx="14">
                  <c:v>0.23655935951338319</c:v>
                </c:pt>
                <c:pt idx="15">
                  <c:v>9.9999999999999995E-7</c:v>
                </c:pt>
                <c:pt idx="16">
                  <c:v>4.5135168662392158E-2</c:v>
                </c:pt>
                <c:pt idx="17">
                  <c:v>9.5595304907649406E-2</c:v>
                </c:pt>
                <c:pt idx="18">
                  <c:v>0.17621654691286065</c:v>
                </c:pt>
                <c:pt idx="19">
                  <c:v>4.3782360538153736E-2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1-9D42-9EDE-780DD2893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157503"/>
        <c:axId val="1226061775"/>
      </c:scatterChart>
      <c:valAx>
        <c:axId val="1285157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61775"/>
        <c:crosses val="autoZero"/>
        <c:crossBetween val="midCat"/>
      </c:valAx>
      <c:valAx>
        <c:axId val="122606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Fishing Mortality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259795494313210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15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Abundance!$G$4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Abundance!$H$3:$R$3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Abundance!$H$4:$R$4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8B-0E41-B098-E9D002B72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Abundance!$G$5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Abundance!$H$3:$R$3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Abundance!$H$5:$R$5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8B-0E41-B098-E9D002B72FDA}"/>
            </c:ext>
          </c:extLst>
        </c:ser>
        <c:ser>
          <c:idx val="2"/>
          <c:order val="2"/>
          <c:tx>
            <c:strRef>
              <c:f>Abundance!$G$6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Abundance!$H$3:$R$3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Abundance!$H$6:$R$6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8B-0E41-B098-E9D002B72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Abundance!$G$7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Abundance!$H$3:$R$3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Abundance!$H$7:$R$7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29-DF4F-888B-E65F8B3BBCA8}"/>
            </c:ext>
          </c:extLst>
        </c:ser>
        <c:ser>
          <c:idx val="1"/>
          <c:order val="1"/>
          <c:tx>
            <c:strRef>
              <c:f>Abundance!$G$8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Abundance!$H$3:$R$3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Abundance!$H$8:$R$8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29-DF4F-888B-E65F8B3BBCA8}"/>
            </c:ext>
          </c:extLst>
        </c:ser>
        <c:ser>
          <c:idx val="2"/>
          <c:order val="2"/>
          <c:tx>
            <c:strRef>
              <c:f>Abundance!$G$9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Abundance!$H$3:$R$3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Abundance!$H$9:$R$9</c:f>
              <c:numCache>
                <c:formatCode>General</c:formatCode>
                <c:ptCount val="11"/>
                <c:pt idx="0">
                  <c:v>1</c:v>
                </c:pt>
                <c:pt idx="1">
                  <c:v>0.70468808971871344</c:v>
                </c:pt>
                <c:pt idx="2">
                  <c:v>0.49658530379140953</c:v>
                </c:pt>
                <c:pt idx="3">
                  <c:v>0.34993774911115538</c:v>
                </c:pt>
                <c:pt idx="4">
                  <c:v>0.24659696394160649</c:v>
                </c:pt>
                <c:pt idx="5">
                  <c:v>0.17377394345044514</c:v>
                </c:pt>
                <c:pt idx="6">
                  <c:v>0.12245642825298192</c:v>
                </c:pt>
                <c:pt idx="7">
                  <c:v>8.6293586499370523E-2</c:v>
                </c:pt>
                <c:pt idx="8">
                  <c:v>6.0810062625217973E-2</c:v>
                </c:pt>
                <c:pt idx="9">
                  <c:v>4.2852126867040187E-2</c:v>
                </c:pt>
                <c:pt idx="10">
                  <c:v>3.0197383422318504E-2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29-DF4F-888B-E65F8B3BB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spPr>
            <a:solidFill>
              <a:schemeClr val="accent1">
                <a:shade val="42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Abundance!$O$20:$Y$20</c:f>
              <c:numCache>
                <c:formatCode>General</c:formatCode>
                <c:ptCount val="11"/>
                <c:pt idx="0">
                  <c:v>4000</c:v>
                </c:pt>
                <c:pt idx="1">
                  <c:v>3115.2031239796447</c:v>
                </c:pt>
                <c:pt idx="2">
                  <c:v>2426.1033679924217</c:v>
                </c:pt>
                <c:pt idx="3">
                  <c:v>1882.5775129085746</c:v>
                </c:pt>
                <c:pt idx="4">
                  <c:v>1356.3366168145396</c:v>
                </c:pt>
                <c:pt idx="5">
                  <c:v>1037.5589486609626</c:v>
                </c:pt>
                <c:pt idx="6">
                  <c:v>807.61376429158508</c:v>
                </c:pt>
                <c:pt idx="7">
                  <c:v>628.95110364289349</c:v>
                </c:pt>
                <c:pt idx="8">
                  <c:v>489.82606660544064</c:v>
                </c:pt>
                <c:pt idx="9">
                  <c:v>381.47672420397953</c:v>
                </c:pt>
                <c:pt idx="10">
                  <c:v>297.09433445666116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87-0E4D-8A73-2C0FC689799F}"/>
            </c:ext>
          </c:extLst>
        </c:ser>
        <c:ser>
          <c:idx val="2"/>
          <c:order val="1"/>
          <c:spPr>
            <a:solidFill>
              <a:schemeClr val="accent1">
                <a:shade val="49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Abundance!$O$21:$Y$21</c:f>
              <c:numCache>
                <c:formatCode>General</c:formatCode>
                <c:ptCount val="11"/>
                <c:pt idx="0">
                  <c:v>3982.2998238530126</c:v>
                </c:pt>
                <c:pt idx="1">
                  <c:v>3115.2031239796447</c:v>
                </c:pt>
                <c:pt idx="2">
                  <c:v>2426.1033615237734</c:v>
                </c:pt>
                <c:pt idx="3">
                  <c:v>1882.5625594665864</c:v>
                </c:pt>
                <c:pt idx="4">
                  <c:v>1351.3916258109348</c:v>
                </c:pt>
                <c:pt idx="5">
                  <c:v>956.34536527187231</c:v>
                </c:pt>
                <c:pt idx="6">
                  <c:v>731.18050499116475</c:v>
                </c:pt>
                <c:pt idx="7">
                  <c:v>569.11800720988117</c:v>
                </c:pt>
                <c:pt idx="8">
                  <c:v>443.21467169846886</c:v>
                </c:pt>
                <c:pt idx="9">
                  <c:v>345.17466334273115</c:v>
                </c:pt>
                <c:pt idx="10">
                  <c:v>478.18096965327265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87-0E4D-8A73-2C0FC689799F}"/>
            </c:ext>
          </c:extLst>
        </c:ser>
        <c:ser>
          <c:idx val="3"/>
          <c:order val="2"/>
          <c:spPr>
            <a:solidFill>
              <a:schemeClr val="accent1">
                <a:shade val="55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Abundance!$O$22:$Y$22</c:f>
              <c:numCache>
                <c:formatCode>General</c:formatCode>
                <c:ptCount val="11"/>
                <c:pt idx="0">
                  <c:v>3982.1064298297383</c:v>
                </c:pt>
                <c:pt idx="1">
                  <c:v>3101.4182129726237</c:v>
                </c:pt>
                <c:pt idx="2">
                  <c:v>2426.1033615237734</c:v>
                </c:pt>
                <c:pt idx="3">
                  <c:v>1882.562554447165</c:v>
                </c:pt>
                <c:pt idx="4">
                  <c:v>1351.3808916147907</c:v>
                </c:pt>
                <c:pt idx="5">
                  <c:v>952.85867976255133</c:v>
                </c:pt>
                <c:pt idx="6">
                  <c:v>673.94829761517599</c:v>
                </c:pt>
                <c:pt idx="7">
                  <c:v>515.25619090494502</c:v>
                </c:pt>
                <c:pt idx="8">
                  <c:v>401.05097083418462</c:v>
                </c:pt>
                <c:pt idx="9">
                  <c:v>312.32816201941762</c:v>
                </c:pt>
                <c:pt idx="10">
                  <c:v>580.20893719570813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87-0E4D-8A73-2C0FC689799F}"/>
            </c:ext>
          </c:extLst>
        </c:ser>
        <c:ser>
          <c:idx val="4"/>
          <c:order val="3"/>
          <c:spPr>
            <a:solidFill>
              <a:schemeClr val="accent1">
                <a:shade val="61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Abundance!$O$23:$Y$23</c:f>
              <c:numCache>
                <c:formatCode>General</c:formatCode>
                <c:ptCount val="11"/>
                <c:pt idx="0">
                  <c:v>3979.8085502059075</c:v>
                </c:pt>
                <c:pt idx="1">
                  <c:v>3101.2675975562579</c:v>
                </c:pt>
                <c:pt idx="2">
                  <c:v>2415.3677473113316</c:v>
                </c:pt>
                <c:pt idx="3">
                  <c:v>1882.562554447165</c:v>
                </c:pt>
                <c:pt idx="4">
                  <c:v>1351.3808880116435</c:v>
                </c:pt>
                <c:pt idx="5">
                  <c:v>952.85111114086476</c:v>
                </c:pt>
                <c:pt idx="6">
                  <c:v>671.49118761218199</c:v>
                </c:pt>
                <c:pt idx="7">
                  <c:v>474.92517965897343</c:v>
                </c:pt>
                <c:pt idx="8">
                  <c:v>363.09516299410524</c:v>
                </c:pt>
                <c:pt idx="9">
                  <c:v>282.61589833371181</c:v>
                </c:pt>
                <c:pt idx="10">
                  <c:v>628.96029320565003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87-0E4D-8A73-2C0FC689799F}"/>
            </c:ext>
          </c:extLst>
        </c:ser>
        <c:ser>
          <c:idx val="5"/>
          <c:order val="4"/>
          <c:spPr>
            <a:solidFill>
              <a:schemeClr val="accent1">
                <a:shade val="68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Abundance!$O$24:$Y$24</c:f>
              <c:numCache>
                <c:formatCode>General</c:formatCode>
                <c:ptCount val="11"/>
                <c:pt idx="0">
                  <c:v>3976.9036679865399</c:v>
                </c:pt>
                <c:pt idx="1">
                  <c:v>3099.4780071105861</c:v>
                </c:pt>
                <c:pt idx="2">
                  <c:v>2415.2504488388404</c:v>
                </c:pt>
                <c:pt idx="3">
                  <c:v>1874.2321322418061</c:v>
                </c:pt>
                <c:pt idx="4">
                  <c:v>1351.3808880116435</c:v>
                </c:pt>
                <c:pt idx="5">
                  <c:v>952.85110860030591</c:v>
                </c:pt>
                <c:pt idx="6">
                  <c:v>671.4858539117364</c:v>
                </c:pt>
                <c:pt idx="7">
                  <c:v>473.19367679184978</c:v>
                </c:pt>
                <c:pt idx="8">
                  <c:v>334.67435920647125</c:v>
                </c:pt>
                <c:pt idx="9">
                  <c:v>255.86888733061207</c:v>
                </c:pt>
                <c:pt idx="10">
                  <c:v>642.37691443915219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87-0E4D-8A73-2C0FC689799F}"/>
            </c:ext>
          </c:extLst>
        </c:ser>
        <c:ser>
          <c:idx val="6"/>
          <c:order val="5"/>
          <c:spPr>
            <a:solidFill>
              <a:schemeClr val="accent1">
                <a:shade val="74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Abundance!$O$25:$Y$25</c:f>
              <c:numCache>
                <c:formatCode>General</c:formatCode>
                <c:ptCount val="11"/>
                <c:pt idx="0">
                  <c:v>3974.1137910055745</c:v>
                </c:pt>
                <c:pt idx="1">
                  <c:v>3097.2156825694442</c:v>
                </c:pt>
                <c:pt idx="2">
                  <c:v>2413.8567254689019</c:v>
                </c:pt>
                <c:pt idx="3">
                  <c:v>1874.1411131551883</c:v>
                </c:pt>
                <c:pt idx="4">
                  <c:v>1345.4009680717743</c:v>
                </c:pt>
                <c:pt idx="5">
                  <c:v>952.85110860030591</c:v>
                </c:pt>
                <c:pt idx="6">
                  <c:v>671.48585212137345</c:v>
                </c:pt>
                <c:pt idx="7">
                  <c:v>473.18991818209986</c:v>
                </c:pt>
                <c:pt idx="8">
                  <c:v>333.45418887788412</c:v>
                </c:pt>
                <c:pt idx="9">
                  <c:v>235.84108144573551</c:v>
                </c:pt>
                <c:pt idx="10">
                  <c:v>632.98314648497808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87-0E4D-8A73-2C0FC689799F}"/>
            </c:ext>
          </c:extLst>
        </c:ser>
        <c:ser>
          <c:idx val="7"/>
          <c:order val="6"/>
          <c:spPr>
            <a:solidFill>
              <a:schemeClr val="accent1">
                <a:shade val="80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Abundance!$O$26:$Y$26</c:f>
              <c:numCache>
                <c:formatCode>General</c:formatCode>
                <c:ptCount val="11"/>
                <c:pt idx="0">
                  <c:v>3971.704443996432</c:v>
                </c:pt>
                <c:pt idx="1">
                  <c:v>3095.042924197789</c:v>
                </c:pt>
                <c:pt idx="2">
                  <c:v>2412.0948393395925</c:v>
                </c:pt>
                <c:pt idx="3">
                  <c:v>1873.0596376215756</c:v>
                </c:pt>
                <c:pt idx="4">
                  <c:v>1345.335630825047</c:v>
                </c:pt>
                <c:pt idx="5">
                  <c:v>948.63470048428667</c:v>
                </c:pt>
                <c:pt idx="6">
                  <c:v>671.48585212137345</c:v>
                </c:pt>
                <c:pt idx="7">
                  <c:v>473.1899169204475</c:v>
                </c:pt>
                <c:pt idx="8">
                  <c:v>333.45154022844747</c:v>
                </c:pt>
                <c:pt idx="9">
                  <c:v>234.98124177793338</c:v>
                </c:pt>
                <c:pt idx="10">
                  <c:v>612.25011257104688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87-0E4D-8A73-2C0FC689799F}"/>
            </c:ext>
          </c:extLst>
        </c:ser>
        <c:ser>
          <c:idx val="8"/>
          <c:order val="7"/>
          <c:spPr>
            <a:solidFill>
              <a:schemeClr val="accent1">
                <a:shade val="87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Abundance!$O$27:$Y$27</c:f>
              <c:numCache>
                <c:formatCode>General</c:formatCode>
                <c:ptCount val="11"/>
                <c:pt idx="0">
                  <c:v>3969.8003934361195</c:v>
                </c:pt>
                <c:pt idx="1">
                  <c:v>3093.166522865381</c:v>
                </c:pt>
                <c:pt idx="2">
                  <c:v>2410.4027068591531</c:v>
                </c:pt>
                <c:pt idx="3">
                  <c:v>1871.6924819987605</c:v>
                </c:pt>
                <c:pt idx="4">
                  <c:v>1344.5593031733979</c:v>
                </c:pt>
                <c:pt idx="5">
                  <c:v>948.58863155691824</c:v>
                </c:pt>
                <c:pt idx="6">
                  <c:v>668.51449765568395</c:v>
                </c:pt>
                <c:pt idx="7">
                  <c:v>473.1899169204475</c:v>
                </c:pt>
                <c:pt idx="8">
                  <c:v>333.45153933937542</c:v>
                </c:pt>
                <c:pt idx="9">
                  <c:v>234.9793753058529</c:v>
                </c:pt>
                <c:pt idx="10">
                  <c:v>597.03387119961371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87-0E4D-8A73-2C0FC689799F}"/>
            </c:ext>
          </c:extLst>
        </c:ser>
        <c:ser>
          <c:idx val="9"/>
          <c:order val="8"/>
          <c:spPr>
            <a:solidFill>
              <a:schemeClr val="accent1">
                <a:shade val="93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Abundance!$O$28:$Y$28</c:f>
              <c:numCache>
                <c:formatCode>General</c:formatCode>
                <c:ptCount val="11"/>
                <c:pt idx="0">
                  <c:v>3968.3773557525924</c:v>
                </c:pt>
                <c:pt idx="1">
                  <c:v>3091.6836468019555</c:v>
                </c:pt>
                <c:pt idx="2">
                  <c:v>2408.9413756396639</c:v>
                </c:pt>
                <c:pt idx="3">
                  <c:v>1870.3794525147907</c:v>
                </c:pt>
                <c:pt idx="4">
                  <c:v>1343.5779025951033</c:v>
                </c:pt>
                <c:pt idx="5">
                  <c:v>948.04124727016892</c:v>
                </c:pt>
                <c:pt idx="6">
                  <c:v>668.48203231805553</c:v>
                </c:pt>
                <c:pt idx="7">
                  <c:v>471.09603070033</c:v>
                </c:pt>
                <c:pt idx="8">
                  <c:v>333.45153933937542</c:v>
                </c:pt>
                <c:pt idx="9">
                  <c:v>234.97937467933428</c:v>
                </c:pt>
                <c:pt idx="10">
                  <c:v>586.30985149339733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E87-0E4D-8A73-2C0FC689799F}"/>
            </c:ext>
          </c:extLst>
        </c:ser>
        <c:ser>
          <c:idx val="10"/>
          <c:order val="9"/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Abundance!$O$29:$Y$29</c:f>
              <c:numCache>
                <c:formatCode>General</c:formatCode>
                <c:ptCount val="11"/>
                <c:pt idx="0">
                  <c:v>3967.3111165003852</c:v>
                </c:pt>
                <c:pt idx="1">
                  <c:v>3090.5753839426397</c:v>
                </c:pt>
                <c:pt idx="2">
                  <c:v>2407.7865197734423</c:v>
                </c:pt>
                <c:pt idx="3">
                  <c:v>1869.2455158997707</c:v>
                </c:pt>
                <c:pt idx="4">
                  <c:v>1342.6353559871084</c:v>
                </c:pt>
                <c:pt idx="5">
                  <c:v>947.34926720939939</c:v>
                </c:pt>
                <c:pt idx="6">
                  <c:v>668.09628390373553</c:v>
                </c:pt>
                <c:pt idx="7">
                  <c:v>471.07315267487843</c:v>
                </c:pt>
                <c:pt idx="8">
                  <c:v>331.97600159367772</c:v>
                </c:pt>
                <c:pt idx="9">
                  <c:v>234.97937467933428</c:v>
                </c:pt>
                <c:pt idx="10">
                  <c:v>578.7527618367759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E87-0E4D-8A73-2C0FC689799F}"/>
            </c:ext>
          </c:extLst>
        </c:ser>
        <c:ser>
          <c:idx val="11"/>
          <c:order val="10"/>
          <c:spPr>
            <a:solidFill>
              <a:schemeClr val="accent1">
                <a:tint val="94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Abundance!$O$30:$Y$30</c:f>
              <c:numCache>
                <c:formatCode>General</c:formatCode>
                <c:ptCount val="11"/>
                <c:pt idx="0">
                  <c:v>3966.5050034873775</c:v>
                </c:pt>
                <c:pt idx="1">
                  <c:v>3089.7449959802934</c:v>
                </c:pt>
                <c:pt idx="2">
                  <c:v>2406.9234106465474</c:v>
                </c:pt>
                <c:pt idx="3">
                  <c:v>1868.3493923281158</c:v>
                </c:pt>
                <c:pt idx="4">
                  <c:v>1341.8213696119228</c:v>
                </c:pt>
                <c:pt idx="5">
                  <c:v>946.68468286585664</c:v>
                </c:pt>
                <c:pt idx="6">
                  <c:v>667.60863707563931</c:v>
                </c:pt>
                <c:pt idx="7">
                  <c:v>470.8013193078051</c:v>
                </c:pt>
                <c:pt idx="8">
                  <c:v>331.95987970998772</c:v>
                </c:pt>
                <c:pt idx="9">
                  <c:v>233.93958059865105</c:v>
                </c:pt>
                <c:pt idx="10">
                  <c:v>573.42737058365719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87-0E4D-8A73-2C0FC689799F}"/>
            </c:ext>
          </c:extLst>
        </c:ser>
        <c:ser>
          <c:idx val="12"/>
          <c:order val="11"/>
          <c:spPr>
            <a:solidFill>
              <a:schemeClr val="accent1">
                <a:tint val="88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Abundance!$O$31:$Y$31</c:f>
              <c:numCache>
                <c:formatCode>General</c:formatCode>
                <c:ptCount val="11"/>
                <c:pt idx="0">
                  <c:v>3965.8893803285373</c:v>
                </c:pt>
                <c:pt idx="1">
                  <c:v>3089.1171945361925</c:v>
                </c:pt>
                <c:pt idx="2">
                  <c:v>2406.2767089880554</c:v>
                </c:pt>
                <c:pt idx="3">
                  <c:v>1867.6796529639721</c:v>
                </c:pt>
                <c:pt idx="4">
                  <c:v>1341.178095227669</c:v>
                </c:pt>
                <c:pt idx="5">
                  <c:v>946.11074562369083</c:v>
                </c:pt>
                <c:pt idx="6">
                  <c:v>667.1402963451701</c:v>
                </c:pt>
                <c:pt idx="7">
                  <c:v>470.45767906379342</c:v>
                </c:pt>
                <c:pt idx="8">
                  <c:v>331.76832183554205</c:v>
                </c:pt>
                <c:pt idx="9">
                  <c:v>233.92821969698707</c:v>
                </c:pt>
                <c:pt idx="10">
                  <c:v>568.94190011055116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E87-0E4D-8A73-2C0FC689799F}"/>
            </c:ext>
          </c:extLst>
        </c:ser>
        <c:ser>
          <c:idx val="13"/>
          <c:order val="12"/>
          <c:spPr>
            <a:solidFill>
              <a:schemeClr val="accent1">
                <a:tint val="81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Abundance!$O$32:$Y$32</c:f>
              <c:numCache>
                <c:formatCode>General</c:formatCode>
                <c:ptCount val="11"/>
                <c:pt idx="0">
                  <c:v>3965.4150936105962</c:v>
                </c:pt>
                <c:pt idx="1">
                  <c:v>3088.6377467392895</c:v>
                </c:pt>
                <c:pt idx="2">
                  <c:v>2405.7877806153983</c:v>
                </c:pt>
                <c:pt idx="3">
                  <c:v>1867.1778374414002</c:v>
                </c:pt>
                <c:pt idx="4">
                  <c:v>1340.6973287455594</c:v>
                </c:pt>
                <c:pt idx="5">
                  <c:v>945.65717645188442</c:v>
                </c:pt>
                <c:pt idx="6">
                  <c:v>666.73583573779774</c:v>
                </c:pt>
                <c:pt idx="7">
                  <c:v>470.12764364958321</c:v>
                </c:pt>
                <c:pt idx="8">
                  <c:v>331.52616247363005</c:v>
                </c:pt>
                <c:pt idx="9">
                  <c:v>233.79323111771311</c:v>
                </c:pt>
                <c:pt idx="10">
                  <c:v>565.77303649235512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E87-0E4D-8A73-2C0FC689799F}"/>
            </c:ext>
          </c:extLst>
        </c:ser>
        <c:ser>
          <c:idx val="14"/>
          <c:order val="13"/>
          <c:spPr>
            <a:solidFill>
              <a:schemeClr val="accent1">
                <a:tint val="75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Abundance!$O$33:$Y$33</c:f>
              <c:numCache>
                <c:formatCode>General</c:formatCode>
                <c:ptCount val="11"/>
                <c:pt idx="0">
                  <c:v>3965.0505612246502</c:v>
                </c:pt>
                <c:pt idx="1">
                  <c:v>3088.2683718729413</c:v>
                </c:pt>
                <c:pt idx="2">
                  <c:v>2405.4143892616253</c:v>
                </c:pt>
                <c:pt idx="3">
                  <c:v>1866.7984478981648</c:v>
                </c:pt>
                <c:pt idx="4">
                  <c:v>1340.3371049086891</c:v>
                </c:pt>
                <c:pt idx="5">
                  <c:v>945.31819069330231</c:v>
                </c:pt>
                <c:pt idx="6">
                  <c:v>666.41619998455417</c:v>
                </c:pt>
                <c:pt idx="7">
                  <c:v>469.84262397181112</c:v>
                </c:pt>
                <c:pt idx="8">
                  <c:v>331.2935902801625</c:v>
                </c:pt>
                <c:pt idx="9">
                  <c:v>233.62258426585703</c:v>
                </c:pt>
                <c:pt idx="10">
                  <c:v>563.44485111656491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E87-0E4D-8A73-2C0FC689799F}"/>
            </c:ext>
          </c:extLst>
        </c:ser>
        <c:ser>
          <c:idx val="15"/>
          <c:order val="14"/>
          <c:spPr>
            <a:solidFill>
              <a:schemeClr val="accent1">
                <a:tint val="69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Abundance!$O$34:$Y$34</c:f>
              <c:numCache>
                <c:formatCode>General</c:formatCode>
                <c:ptCount val="11"/>
                <c:pt idx="0">
                  <c:v>3964.7685308275559</c:v>
                </c:pt>
                <c:pt idx="1">
                  <c:v>3087.9844737660687</c:v>
                </c:pt>
                <c:pt idx="2">
                  <c:v>2405.1267221114445</c:v>
                </c:pt>
                <c:pt idx="3">
                  <c:v>1866.5087106215444</c:v>
                </c:pt>
                <c:pt idx="4">
                  <c:v>1340.06476347885</c:v>
                </c:pt>
                <c:pt idx="5">
                  <c:v>945.06419887992752</c:v>
                </c:pt>
                <c:pt idx="6">
                  <c:v>666.17731256667321</c:v>
                </c:pt>
                <c:pt idx="7">
                  <c:v>469.61737959019939</c:v>
                </c:pt>
                <c:pt idx="8">
                  <c:v>331.09274016291226</c:v>
                </c:pt>
                <c:pt idx="9">
                  <c:v>233.45869337875217</c:v>
                </c:pt>
                <c:pt idx="10">
                  <c:v>561.68395374359875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E87-0E4D-8A73-2C0FC689799F}"/>
            </c:ext>
          </c:extLst>
        </c:ser>
        <c:ser>
          <c:idx val="16"/>
          <c:order val="15"/>
          <c:spPr>
            <a:solidFill>
              <a:schemeClr val="accent1">
                <a:tint val="62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Abundance!$O$35:$Y$35</c:f>
              <c:numCache>
                <c:formatCode>General</c:formatCode>
                <c:ptCount val="11"/>
                <c:pt idx="0">
                  <c:v>3964.5498363134043</c:v>
                </c:pt>
                <c:pt idx="1">
                  <c:v>3087.7648282725472</c:v>
                </c:pt>
                <c:pt idx="2">
                  <c:v>2404.9056237997124</c:v>
                </c:pt>
                <c:pt idx="3">
                  <c:v>1866.2854920177274</c:v>
                </c:pt>
                <c:pt idx="4">
                  <c:v>1339.8567781360816</c:v>
                </c:pt>
                <c:pt idx="5">
                  <c:v>944.872172460402</c:v>
                </c:pt>
                <c:pt idx="6">
                  <c:v>665.99832142346474</c:v>
                </c:pt>
                <c:pt idx="7">
                  <c:v>469.44903781938871</c:v>
                </c:pt>
                <c:pt idx="8">
                  <c:v>330.93401301533316</c:v>
                </c:pt>
                <c:pt idx="9">
                  <c:v>233.31715666535376</c:v>
                </c:pt>
                <c:pt idx="10">
                  <c:v>560.32757833135304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E87-0E4D-8A73-2C0FC689799F}"/>
            </c:ext>
          </c:extLst>
        </c:ser>
        <c:ser>
          <c:idx val="17"/>
          <c:order val="16"/>
          <c:spPr>
            <a:solidFill>
              <a:schemeClr val="accent1">
                <a:tint val="56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Abundance!$O$36:$Y$36</c:f>
              <c:numCache>
                <c:formatCode>General</c:formatCode>
                <c:ptCount val="11"/>
                <c:pt idx="0">
                  <c:v>3964.380270223548</c:v>
                </c:pt>
                <c:pt idx="1">
                  <c:v>3087.5945088141266</c:v>
                </c:pt>
                <c:pt idx="2">
                  <c:v>2404.7345650761017</c:v>
                </c:pt>
                <c:pt idx="3">
                  <c:v>1866.113928262811</c:v>
                </c:pt>
                <c:pt idx="4">
                  <c:v>1339.6965426345657</c:v>
                </c:pt>
                <c:pt idx="5">
                  <c:v>944.72552315805694</c:v>
                </c:pt>
                <c:pt idx="6">
                  <c:v>665.86299805260319</c:v>
                </c:pt>
                <c:pt idx="7">
                  <c:v>469.32290440359634</c:v>
                </c:pt>
                <c:pt idx="8">
                  <c:v>330.81538448880565</c:v>
                </c:pt>
                <c:pt idx="9">
                  <c:v>233.20530351284873</c:v>
                </c:pt>
                <c:pt idx="10">
                  <c:v>559.2720174575586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E87-0E4D-8A73-2C0FC689799F}"/>
            </c:ext>
          </c:extLst>
        </c:ser>
        <c:ser>
          <c:idx val="18"/>
          <c:order val="17"/>
          <c:spPr>
            <a:solidFill>
              <a:schemeClr val="accent1">
                <a:tint val="50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Abundance!$O$37:$Y$37</c:f>
              <c:numCache>
                <c:formatCode>General</c:formatCode>
                <c:ptCount val="11"/>
                <c:pt idx="0">
                  <c:v>3964.2489397852119</c:v>
                </c:pt>
                <c:pt idx="1">
                  <c:v>3087.4624506109162</c:v>
                </c:pt>
                <c:pt idx="2">
                  <c:v>2404.6019212021192</c:v>
                </c:pt>
                <c:pt idx="3">
                  <c:v>1865.9811932966145</c:v>
                </c:pt>
                <c:pt idx="4">
                  <c:v>1339.5733871097086</c:v>
                </c:pt>
                <c:pt idx="5">
                  <c:v>944.61254200181077</c:v>
                </c:pt>
                <c:pt idx="6">
                  <c:v>665.75965249225351</c:v>
                </c:pt>
                <c:pt idx="7">
                  <c:v>469.22754326618281</c:v>
                </c:pt>
                <c:pt idx="8">
                  <c:v>330.72649970881747</c:v>
                </c:pt>
                <c:pt idx="9">
                  <c:v>233.12170738659364</c:v>
                </c:pt>
                <c:pt idx="10">
                  <c:v>558.44935466669938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E87-0E4D-8A73-2C0FC689799F}"/>
            </c:ext>
          </c:extLst>
        </c:ser>
        <c:ser>
          <c:idx val="19"/>
          <c:order val="18"/>
          <c:spPr>
            <a:solidFill>
              <a:schemeClr val="accent1">
                <a:tint val="43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Abundance!$O$38:$Y$38</c:f>
              <c:numCache>
                <c:formatCode>General</c:formatCode>
                <c:ptCount val="11"/>
                <c:pt idx="0">
                  <c:v>3964.1473658223608</c:v>
                </c:pt>
                <c:pt idx="1">
                  <c:v>3087.360170362972</c:v>
                </c:pt>
                <c:pt idx="2">
                  <c:v>2404.4990749869689</c:v>
                </c:pt>
                <c:pt idx="3">
                  <c:v>1865.8782667708133</c:v>
                </c:pt>
                <c:pt idx="4">
                  <c:v>1339.4781044875906</c:v>
                </c:pt>
                <c:pt idx="5">
                  <c:v>944.52570572979346</c:v>
                </c:pt>
                <c:pt idx="6">
                  <c:v>665.68003328701684</c:v>
                </c:pt>
                <c:pt idx="7">
                  <c:v>469.15471659833651</c:v>
                </c:pt>
                <c:pt idx="8">
                  <c:v>330.65929980255015</c:v>
                </c:pt>
                <c:pt idx="9">
                  <c:v>233.05907132840807</c:v>
                </c:pt>
                <c:pt idx="10">
                  <c:v>557.81072477782129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E87-0E4D-8A73-2C0FC689799F}"/>
            </c:ext>
          </c:extLst>
        </c:ser>
        <c:ser>
          <c:idx val="20"/>
          <c:order val="19"/>
          <c:spPr>
            <a:solidFill>
              <a:schemeClr val="accent1">
                <a:tint val="37000"/>
              </a:schemeClr>
            </a:solidFill>
            <a:ln>
              <a:noFill/>
            </a:ln>
            <a:effectLst/>
            <a:sp3d/>
          </c:spPr>
          <c:cat>
            <c:strRef>
              <c:f>Abundance!$O$19:$Y$19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10+</c:v>
                </c:pt>
              </c:strCache>
            </c:strRef>
          </c:cat>
          <c:val>
            <c:numRef>
              <c:f>Abundance!$O$39:$Y$39</c:f>
              <c:numCache>
                <c:formatCode>General</c:formatCode>
                <c:ptCount val="11"/>
                <c:pt idx="0">
                  <c:v>3934.3706661967012</c:v>
                </c:pt>
                <c:pt idx="1">
                  <c:v>3087.2810644813749</c:v>
                </c:pt>
                <c:pt idx="2">
                  <c:v>2404.4194196824897</c:v>
                </c:pt>
                <c:pt idx="3">
                  <c:v>1865.7984620779964</c:v>
                </c:pt>
                <c:pt idx="4">
                  <c:v>1339.4042195909062</c:v>
                </c:pt>
                <c:pt idx="5">
                  <c:v>944.45852248566075</c:v>
                </c:pt>
                <c:pt idx="6">
                  <c:v>665.61883870206611</c:v>
                </c:pt>
                <c:pt idx="7">
                  <c:v>469.0986096751717</c:v>
                </c:pt>
                <c:pt idx="8">
                  <c:v>330.60797968005824</c:v>
                </c:pt>
                <c:pt idx="9">
                  <c:v>233.01171634547865</c:v>
                </c:pt>
                <c:pt idx="10">
                  <c:v>557.31655099885086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E87-0E4D-8A73-2C0FC6897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'CC Likelihood'!$G$4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'CC Likelihood'!$H$3:$R$3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'CC Likelihood'!$H$4:$R$4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50-B344-B0A1-BB1FB362E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'CC Likelihood'!$G$5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'CC Likelihood'!$H$3:$R$3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'CC Likelihood'!$H$5:$R$5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50-B344-B0A1-BB1FB362E18C}"/>
            </c:ext>
          </c:extLst>
        </c:ser>
        <c:ser>
          <c:idx val="2"/>
          <c:order val="2"/>
          <c:tx>
            <c:strRef>
              <c:f>'CC Likelihood'!$G$6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'CC Likelihood'!$H$3:$R$3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'CC Likelihood'!$H$6:$R$6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50-B344-B0A1-BB1FB362E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'CC Likelihood'!$G$7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'CC Likelihood'!$H$3:$R$3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'CC Likelihood'!$H$7:$R$7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7E-9846-8D6A-C479332D5E28}"/>
            </c:ext>
          </c:extLst>
        </c:ser>
        <c:ser>
          <c:idx val="1"/>
          <c:order val="1"/>
          <c:tx>
            <c:strRef>
              <c:f>'CC Likelihood'!$G$8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'CC Likelihood'!$H$3:$R$3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'CC Likelihood'!$H$8:$R$8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7E-9846-8D6A-C479332D5E28}"/>
            </c:ext>
          </c:extLst>
        </c:ser>
        <c:ser>
          <c:idx val="2"/>
          <c:order val="2"/>
          <c:tx>
            <c:strRef>
              <c:f>'CC Likelihood'!$G$9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'CC Likelihood'!$H$3:$R$3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'CC Likelihood'!$H$9:$R$9</c:f>
              <c:numCache>
                <c:formatCode>General</c:formatCode>
                <c:ptCount val="11"/>
                <c:pt idx="0">
                  <c:v>1</c:v>
                </c:pt>
                <c:pt idx="1">
                  <c:v>0.70468808971871344</c:v>
                </c:pt>
                <c:pt idx="2">
                  <c:v>0.49658530379140953</c:v>
                </c:pt>
                <c:pt idx="3">
                  <c:v>0.34993774911115538</c:v>
                </c:pt>
                <c:pt idx="4">
                  <c:v>0.24659696394160649</c:v>
                </c:pt>
                <c:pt idx="5">
                  <c:v>0.17377394345044514</c:v>
                </c:pt>
                <c:pt idx="6">
                  <c:v>0.12245642825298192</c:v>
                </c:pt>
                <c:pt idx="7">
                  <c:v>8.6293586499370523E-2</c:v>
                </c:pt>
                <c:pt idx="8">
                  <c:v>6.0810062625217973E-2</c:v>
                </c:pt>
                <c:pt idx="9">
                  <c:v>4.2852126867040187E-2</c:v>
                </c:pt>
                <c:pt idx="10">
                  <c:v>3.0197383422318504E-2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7E-9846-8D6A-C479332D5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6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Likelihood'!$AB$20:$AL$20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106</c:v>
                </c:pt>
                <c:pt idx="3">
                  <c:v>681</c:v>
                </c:pt>
                <c:pt idx="4">
                  <c:v>541</c:v>
                </c:pt>
                <c:pt idx="5">
                  <c:v>421</c:v>
                </c:pt>
                <c:pt idx="6">
                  <c:v>328</c:v>
                </c:pt>
                <c:pt idx="7">
                  <c:v>255</c:v>
                </c:pt>
                <c:pt idx="8">
                  <c:v>199</c:v>
                </c:pt>
                <c:pt idx="9">
                  <c:v>155</c:v>
                </c:pt>
                <c:pt idx="1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9-2D46-B43C-B5125DC685D5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6">
                <a:shade val="49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Likelihood'!$AB$21:$AL$21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660</c:v>
                </c:pt>
                <c:pt idx="4">
                  <c:v>314</c:v>
                </c:pt>
                <c:pt idx="5">
                  <c:v>241</c:v>
                </c:pt>
                <c:pt idx="6">
                  <c:v>188</c:v>
                </c:pt>
                <c:pt idx="7">
                  <c:v>146</c:v>
                </c:pt>
                <c:pt idx="8">
                  <c:v>114</c:v>
                </c:pt>
                <c:pt idx="9">
                  <c:v>88</c:v>
                </c:pt>
                <c:pt idx="1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9-2D46-B43C-B5125DC685D5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6">
                <a:shade val="55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Likelihood'!$AB$22:$AL$22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482</c:v>
                </c:pt>
                <c:pt idx="4">
                  <c:v>248</c:v>
                </c:pt>
                <c:pt idx="5">
                  <c:v>123</c:v>
                </c:pt>
                <c:pt idx="6">
                  <c:v>95</c:v>
                </c:pt>
                <c:pt idx="7">
                  <c:v>74</c:v>
                </c:pt>
                <c:pt idx="8">
                  <c:v>57</c:v>
                </c:pt>
                <c:pt idx="9">
                  <c:v>44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C9-2D46-B43C-B5125DC685D5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6">
                <a:shade val="61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Likelihood'!$AB$23:$AL$23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83</c:v>
                </c:pt>
                <c:pt idx="3">
                  <c:v>628</c:v>
                </c:pt>
                <c:pt idx="4">
                  <c:v>339</c:v>
                </c:pt>
                <c:pt idx="5">
                  <c:v>151</c:v>
                </c:pt>
                <c:pt idx="6">
                  <c:v>75</c:v>
                </c:pt>
                <c:pt idx="7">
                  <c:v>57</c:v>
                </c:pt>
                <c:pt idx="8">
                  <c:v>45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C9-2D46-B43C-B5125DC685D5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6">
                <a:shade val="68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Likelihood'!$AB$24:$AL$24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540</c:v>
                </c:pt>
                <c:pt idx="4">
                  <c:v>287</c:v>
                </c:pt>
                <c:pt idx="5">
                  <c:v>144</c:v>
                </c:pt>
                <c:pt idx="6">
                  <c:v>64</c:v>
                </c:pt>
                <c:pt idx="7">
                  <c:v>32</c:v>
                </c:pt>
                <c:pt idx="8">
                  <c:v>24</c:v>
                </c:pt>
                <c:pt idx="9">
                  <c:v>19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C9-2D46-B43C-B5125DC685D5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6">
                <a:shade val="74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Likelihood'!$AB$25:$AL$25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478</c:v>
                </c:pt>
                <c:pt idx="4">
                  <c:v>327</c:v>
                </c:pt>
                <c:pt idx="5">
                  <c:v>153</c:v>
                </c:pt>
                <c:pt idx="6">
                  <c:v>76</c:v>
                </c:pt>
                <c:pt idx="7">
                  <c:v>34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C9-2D46-B43C-B5125DC685D5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6">
                <a:shade val="80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Likelihood'!$AB$26:$AL$26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351</c:v>
                </c:pt>
                <c:pt idx="4">
                  <c:v>240</c:v>
                </c:pt>
                <c:pt idx="5">
                  <c:v>149</c:v>
                </c:pt>
                <c:pt idx="6">
                  <c:v>70</c:v>
                </c:pt>
                <c:pt idx="7">
                  <c:v>35</c:v>
                </c:pt>
                <c:pt idx="8">
                  <c:v>15</c:v>
                </c:pt>
                <c:pt idx="9">
                  <c:v>7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C9-2D46-B43C-B5125DC685D5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6">
                <a:shade val="87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Likelihood'!$AB$27:$AL$27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351</c:v>
                </c:pt>
                <c:pt idx="4">
                  <c:v>212</c:v>
                </c:pt>
                <c:pt idx="5">
                  <c:v>129</c:v>
                </c:pt>
                <c:pt idx="6">
                  <c:v>80</c:v>
                </c:pt>
                <c:pt idx="7">
                  <c:v>37</c:v>
                </c:pt>
                <c:pt idx="8">
                  <c:v>18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1C9-2D46-B43C-B5125DC685D5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6">
                <a:shade val="93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Likelihood'!$AB$28:$AL$28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261</c:v>
                </c:pt>
                <c:pt idx="4">
                  <c:v>155</c:v>
                </c:pt>
                <c:pt idx="5">
                  <c:v>88</c:v>
                </c:pt>
                <c:pt idx="6">
                  <c:v>53</c:v>
                </c:pt>
                <c:pt idx="7">
                  <c:v>33</c:v>
                </c:pt>
                <c:pt idx="8">
                  <c:v>15</c:v>
                </c:pt>
                <c:pt idx="9">
                  <c:v>8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1C9-2D46-B43C-B5125DC685D5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Likelihood'!$AB$29:$AL$29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160</c:v>
                </c:pt>
                <c:pt idx="4">
                  <c:v>97</c:v>
                </c:pt>
                <c:pt idx="5">
                  <c:v>51</c:v>
                </c:pt>
                <c:pt idx="6">
                  <c:v>29</c:v>
                </c:pt>
                <c:pt idx="7">
                  <c:v>18</c:v>
                </c:pt>
                <c:pt idx="8">
                  <c:v>11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1C9-2D46-B43C-B5125DC685D5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6">
                <a:tint val="94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Likelihood'!$AB$30:$AL$30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258</c:v>
                </c:pt>
                <c:pt idx="4">
                  <c:v>179</c:v>
                </c:pt>
                <c:pt idx="5">
                  <c:v>91</c:v>
                </c:pt>
                <c:pt idx="6">
                  <c:v>48</c:v>
                </c:pt>
                <c:pt idx="7">
                  <c:v>27</c:v>
                </c:pt>
                <c:pt idx="8">
                  <c:v>16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1C9-2D46-B43C-B5125DC685D5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6">
                <a:tint val="88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Likelihood'!$AB$31:$AL$31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247</c:v>
                </c:pt>
                <c:pt idx="4">
                  <c:v>139</c:v>
                </c:pt>
                <c:pt idx="5">
                  <c:v>88</c:v>
                </c:pt>
                <c:pt idx="6">
                  <c:v>45</c:v>
                </c:pt>
                <c:pt idx="7">
                  <c:v>23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1C9-2D46-B43C-B5125DC685D5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6">
                <a:tint val="81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Likelihood'!$AB$32:$AL$32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209</c:v>
                </c:pt>
                <c:pt idx="4">
                  <c:v>118</c:v>
                </c:pt>
                <c:pt idx="5">
                  <c:v>63</c:v>
                </c:pt>
                <c:pt idx="6">
                  <c:v>40</c:v>
                </c:pt>
                <c:pt idx="7">
                  <c:v>20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1C9-2D46-B43C-B5125DC685D5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6">
                <a:tint val="75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Likelihood'!$AB$33:$AL$33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200</c:v>
                </c:pt>
                <c:pt idx="4">
                  <c:v>101</c:v>
                </c:pt>
                <c:pt idx="5">
                  <c:v>54</c:v>
                </c:pt>
                <c:pt idx="6">
                  <c:v>29</c:v>
                </c:pt>
                <c:pt idx="7">
                  <c:v>18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1C9-2D46-B43C-B5125DC685D5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6">
                <a:tint val="69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Likelihood'!$AB$34:$AL$34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206</c:v>
                </c:pt>
                <c:pt idx="4">
                  <c:v>90</c:v>
                </c:pt>
                <c:pt idx="5">
                  <c:v>47</c:v>
                </c:pt>
                <c:pt idx="6">
                  <c:v>25</c:v>
                </c:pt>
                <c:pt idx="7">
                  <c:v>13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1C9-2D46-B43C-B5125DC685D5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6">
                <a:tint val="62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Likelihood'!$AB$35:$AL$35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180</c:v>
                </c:pt>
                <c:pt idx="4">
                  <c:v>93</c:v>
                </c:pt>
                <c:pt idx="5">
                  <c:v>42</c:v>
                </c:pt>
                <c:pt idx="6">
                  <c:v>22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1C9-2D46-B43C-B5125DC685D5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6">
                <a:tint val="56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Likelihood'!$AB$36:$AL$36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149</c:v>
                </c:pt>
                <c:pt idx="4">
                  <c:v>76</c:v>
                </c:pt>
                <c:pt idx="5">
                  <c:v>40</c:v>
                </c:pt>
                <c:pt idx="6">
                  <c:v>18</c:v>
                </c:pt>
                <c:pt idx="7">
                  <c:v>9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1C9-2D46-B43C-B5125DC685D5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6">
                <a:tint val="50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Likelihood'!$AB$37:$AL$37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121</c:v>
                </c:pt>
                <c:pt idx="4">
                  <c:v>62</c:v>
                </c:pt>
                <c:pt idx="5">
                  <c:v>34</c:v>
                </c:pt>
                <c:pt idx="6">
                  <c:v>18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1C9-2D46-B43C-B5125DC685D5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6">
                <a:tint val="43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Likelihood'!$AB$38:$AL$38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109</c:v>
                </c:pt>
                <c:pt idx="4">
                  <c:v>56</c:v>
                </c:pt>
                <c:pt idx="5">
                  <c:v>32</c:v>
                </c:pt>
                <c:pt idx="6">
                  <c:v>18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1C9-2D46-B43C-B5125DC685D5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6">
                <a:tint val="37000"/>
              </a:schemeClr>
            </a:solidFill>
            <a:ln>
              <a:noFill/>
            </a:ln>
            <a:effectLst/>
            <a:sp3d/>
          </c:spPr>
          <c:cat>
            <c:numRef>
              <c:f>'CC Likelihood'!$AB$19:$AL$19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'CC Likelihood'!$AB$39:$AL$39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102</c:v>
                </c:pt>
                <c:pt idx="4">
                  <c:v>49</c:v>
                </c:pt>
                <c:pt idx="5">
                  <c:v>28</c:v>
                </c:pt>
                <c:pt idx="6">
                  <c:v>16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1C9-2D46-B43C-B5125DC68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 Likelihood'!$H$4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 Likelihood'!$I$3:$S$3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'F Likelihood'!$I$4:$S$4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52-1645-9B97-618DCF7B4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'F Likelihood'!$H$5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 Likelihood'!$I$3:$S$3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'F Likelihood'!$I$5:$S$5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52-1645-9B97-618DCF7B47C3}"/>
            </c:ext>
          </c:extLst>
        </c:ser>
        <c:ser>
          <c:idx val="2"/>
          <c:order val="2"/>
          <c:tx>
            <c:strRef>
              <c:f>'F Likelihood'!$H$6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 Likelihood'!$I$3:$S$3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'F Likelihood'!$I$6:$S$6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52-1645-9B97-618DCF7B4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 Likelihood'!$H$7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 Likelihood'!$I$3:$S$3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'F Likelihood'!$I$7:$S$7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D9-6845-ABC6-B7B59DA30B75}"/>
            </c:ext>
          </c:extLst>
        </c:ser>
        <c:ser>
          <c:idx val="1"/>
          <c:order val="1"/>
          <c:tx>
            <c:strRef>
              <c:f>'F Likelihood'!$H$8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 Likelihood'!$I$3:$S$3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'F Likelihood'!$I$8:$S$8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D9-6845-ABC6-B7B59DA30B75}"/>
            </c:ext>
          </c:extLst>
        </c:ser>
        <c:ser>
          <c:idx val="2"/>
          <c:order val="2"/>
          <c:tx>
            <c:strRef>
              <c:f>'F Likelihood'!$H$9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 Likelihood'!$I$3:$S$3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'F Likelihood'!$I$9:$S$9</c:f>
              <c:numCache>
                <c:formatCode>General</c:formatCode>
                <c:ptCount val="11"/>
                <c:pt idx="0">
                  <c:v>1</c:v>
                </c:pt>
                <c:pt idx="1">
                  <c:v>0.70468808971871344</c:v>
                </c:pt>
                <c:pt idx="2">
                  <c:v>0.49658530379140953</c:v>
                </c:pt>
                <c:pt idx="3">
                  <c:v>0.34993774911115538</c:v>
                </c:pt>
                <c:pt idx="4">
                  <c:v>0.24659696394160649</c:v>
                </c:pt>
                <c:pt idx="5">
                  <c:v>0.17377394345044514</c:v>
                </c:pt>
                <c:pt idx="6">
                  <c:v>0.12245642825298192</c:v>
                </c:pt>
                <c:pt idx="7">
                  <c:v>8.6293586499370523E-2</c:v>
                </c:pt>
                <c:pt idx="8">
                  <c:v>6.0810062625217973E-2</c:v>
                </c:pt>
                <c:pt idx="9">
                  <c:v>4.2852126867040187E-2</c:v>
                </c:pt>
                <c:pt idx="10">
                  <c:v>3.0197383422318504E-2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D9-6845-ABC6-B7B59DA30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6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Likelihood'!$AC$20:$AM$20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106</c:v>
                </c:pt>
                <c:pt idx="3">
                  <c:v>681</c:v>
                </c:pt>
                <c:pt idx="4">
                  <c:v>541</c:v>
                </c:pt>
                <c:pt idx="5">
                  <c:v>421</c:v>
                </c:pt>
                <c:pt idx="6">
                  <c:v>328</c:v>
                </c:pt>
                <c:pt idx="7">
                  <c:v>255</c:v>
                </c:pt>
                <c:pt idx="8">
                  <c:v>199</c:v>
                </c:pt>
                <c:pt idx="9">
                  <c:v>155</c:v>
                </c:pt>
                <c:pt idx="1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68-2C42-93D5-D78684892CE7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6">
                <a:shade val="49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Likelihood'!$AC$21:$AM$21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660</c:v>
                </c:pt>
                <c:pt idx="4">
                  <c:v>314</c:v>
                </c:pt>
                <c:pt idx="5">
                  <c:v>241</c:v>
                </c:pt>
                <c:pt idx="6">
                  <c:v>188</c:v>
                </c:pt>
                <c:pt idx="7">
                  <c:v>146</c:v>
                </c:pt>
                <c:pt idx="8">
                  <c:v>114</c:v>
                </c:pt>
                <c:pt idx="9">
                  <c:v>88</c:v>
                </c:pt>
                <c:pt idx="1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68-2C42-93D5-D78684892CE7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6">
                <a:shade val="55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Likelihood'!$AC$22:$AM$22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482</c:v>
                </c:pt>
                <c:pt idx="4">
                  <c:v>248</c:v>
                </c:pt>
                <c:pt idx="5">
                  <c:v>123</c:v>
                </c:pt>
                <c:pt idx="6">
                  <c:v>95</c:v>
                </c:pt>
                <c:pt idx="7">
                  <c:v>74</c:v>
                </c:pt>
                <c:pt idx="8">
                  <c:v>57</c:v>
                </c:pt>
                <c:pt idx="9">
                  <c:v>44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68-2C42-93D5-D78684892CE7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6">
                <a:shade val="61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Likelihood'!$AC$23:$AM$23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83</c:v>
                </c:pt>
                <c:pt idx="3">
                  <c:v>628</c:v>
                </c:pt>
                <c:pt idx="4">
                  <c:v>339</c:v>
                </c:pt>
                <c:pt idx="5">
                  <c:v>151</c:v>
                </c:pt>
                <c:pt idx="6">
                  <c:v>75</c:v>
                </c:pt>
                <c:pt idx="7">
                  <c:v>57</c:v>
                </c:pt>
                <c:pt idx="8">
                  <c:v>45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68-2C42-93D5-D78684892CE7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6">
                <a:shade val="68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Likelihood'!$AC$24:$AM$24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540</c:v>
                </c:pt>
                <c:pt idx="4">
                  <c:v>287</c:v>
                </c:pt>
                <c:pt idx="5">
                  <c:v>144</c:v>
                </c:pt>
                <c:pt idx="6">
                  <c:v>64</c:v>
                </c:pt>
                <c:pt idx="7">
                  <c:v>32</c:v>
                </c:pt>
                <c:pt idx="8">
                  <c:v>24</c:v>
                </c:pt>
                <c:pt idx="9">
                  <c:v>19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68-2C42-93D5-D78684892CE7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6">
                <a:shade val="74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Likelihood'!$AC$25:$AM$25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478</c:v>
                </c:pt>
                <c:pt idx="4">
                  <c:v>327</c:v>
                </c:pt>
                <c:pt idx="5">
                  <c:v>153</c:v>
                </c:pt>
                <c:pt idx="6">
                  <c:v>76</c:v>
                </c:pt>
                <c:pt idx="7">
                  <c:v>34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68-2C42-93D5-D78684892CE7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6">
                <a:shade val="80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Likelihood'!$AC$26:$AM$26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351</c:v>
                </c:pt>
                <c:pt idx="4">
                  <c:v>240</c:v>
                </c:pt>
                <c:pt idx="5">
                  <c:v>149</c:v>
                </c:pt>
                <c:pt idx="6">
                  <c:v>70</c:v>
                </c:pt>
                <c:pt idx="7">
                  <c:v>35</c:v>
                </c:pt>
                <c:pt idx="8">
                  <c:v>15</c:v>
                </c:pt>
                <c:pt idx="9">
                  <c:v>7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68-2C42-93D5-D78684892CE7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6">
                <a:shade val="87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Likelihood'!$AC$27:$AM$27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351</c:v>
                </c:pt>
                <c:pt idx="4">
                  <c:v>212</c:v>
                </c:pt>
                <c:pt idx="5">
                  <c:v>129</c:v>
                </c:pt>
                <c:pt idx="6">
                  <c:v>80</c:v>
                </c:pt>
                <c:pt idx="7">
                  <c:v>37</c:v>
                </c:pt>
                <c:pt idx="8">
                  <c:v>18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68-2C42-93D5-D78684892CE7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6">
                <a:shade val="93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Likelihood'!$AC$28:$AM$28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261</c:v>
                </c:pt>
                <c:pt idx="4">
                  <c:v>155</c:v>
                </c:pt>
                <c:pt idx="5">
                  <c:v>88</c:v>
                </c:pt>
                <c:pt idx="6">
                  <c:v>53</c:v>
                </c:pt>
                <c:pt idx="7">
                  <c:v>33</c:v>
                </c:pt>
                <c:pt idx="8">
                  <c:v>15</c:v>
                </c:pt>
                <c:pt idx="9">
                  <c:v>8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68-2C42-93D5-D78684892CE7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Likelihood'!$AC$29:$AM$29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160</c:v>
                </c:pt>
                <c:pt idx="4">
                  <c:v>97</c:v>
                </c:pt>
                <c:pt idx="5">
                  <c:v>51</c:v>
                </c:pt>
                <c:pt idx="6">
                  <c:v>29</c:v>
                </c:pt>
                <c:pt idx="7">
                  <c:v>18</c:v>
                </c:pt>
                <c:pt idx="8">
                  <c:v>11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68-2C42-93D5-D78684892CE7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6">
                <a:tint val="94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Likelihood'!$AC$30:$AM$30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258</c:v>
                </c:pt>
                <c:pt idx="4">
                  <c:v>179</c:v>
                </c:pt>
                <c:pt idx="5">
                  <c:v>91</c:v>
                </c:pt>
                <c:pt idx="6">
                  <c:v>48</c:v>
                </c:pt>
                <c:pt idx="7">
                  <c:v>27</c:v>
                </c:pt>
                <c:pt idx="8">
                  <c:v>16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68-2C42-93D5-D78684892CE7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6">
                <a:tint val="88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Likelihood'!$AC$31:$AM$31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247</c:v>
                </c:pt>
                <c:pt idx="4">
                  <c:v>139</c:v>
                </c:pt>
                <c:pt idx="5">
                  <c:v>88</c:v>
                </c:pt>
                <c:pt idx="6">
                  <c:v>45</c:v>
                </c:pt>
                <c:pt idx="7">
                  <c:v>23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668-2C42-93D5-D78684892CE7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6">
                <a:tint val="81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Likelihood'!$AC$32:$AM$32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209</c:v>
                </c:pt>
                <c:pt idx="4">
                  <c:v>118</c:v>
                </c:pt>
                <c:pt idx="5">
                  <c:v>63</c:v>
                </c:pt>
                <c:pt idx="6">
                  <c:v>40</c:v>
                </c:pt>
                <c:pt idx="7">
                  <c:v>20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668-2C42-93D5-D78684892CE7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6">
                <a:tint val="75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Likelihood'!$AC$33:$AM$33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200</c:v>
                </c:pt>
                <c:pt idx="4">
                  <c:v>101</c:v>
                </c:pt>
                <c:pt idx="5">
                  <c:v>54</c:v>
                </c:pt>
                <c:pt idx="6">
                  <c:v>29</c:v>
                </c:pt>
                <c:pt idx="7">
                  <c:v>18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668-2C42-93D5-D78684892CE7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6">
                <a:tint val="69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Likelihood'!$AC$34:$AM$34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206</c:v>
                </c:pt>
                <c:pt idx="4">
                  <c:v>90</c:v>
                </c:pt>
                <c:pt idx="5">
                  <c:v>47</c:v>
                </c:pt>
                <c:pt idx="6">
                  <c:v>25</c:v>
                </c:pt>
                <c:pt idx="7">
                  <c:v>13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668-2C42-93D5-D78684892CE7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6">
                <a:tint val="62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Likelihood'!$AC$35:$AM$35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180</c:v>
                </c:pt>
                <c:pt idx="4">
                  <c:v>93</c:v>
                </c:pt>
                <c:pt idx="5">
                  <c:v>42</c:v>
                </c:pt>
                <c:pt idx="6">
                  <c:v>22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668-2C42-93D5-D78684892CE7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6">
                <a:tint val="56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Likelihood'!$AC$36:$AM$36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149</c:v>
                </c:pt>
                <c:pt idx="4">
                  <c:v>76</c:v>
                </c:pt>
                <c:pt idx="5">
                  <c:v>40</c:v>
                </c:pt>
                <c:pt idx="6">
                  <c:v>18</c:v>
                </c:pt>
                <c:pt idx="7">
                  <c:v>9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668-2C42-93D5-D78684892CE7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6">
                <a:tint val="50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Likelihood'!$AC$37:$AM$37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121</c:v>
                </c:pt>
                <c:pt idx="4">
                  <c:v>62</c:v>
                </c:pt>
                <c:pt idx="5">
                  <c:v>34</c:v>
                </c:pt>
                <c:pt idx="6">
                  <c:v>18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668-2C42-93D5-D78684892CE7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6">
                <a:tint val="43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Likelihood'!$AC$38:$AM$38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109</c:v>
                </c:pt>
                <c:pt idx="4">
                  <c:v>56</c:v>
                </c:pt>
                <c:pt idx="5">
                  <c:v>32</c:v>
                </c:pt>
                <c:pt idx="6">
                  <c:v>18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668-2C42-93D5-D78684892CE7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6">
                <a:tint val="37000"/>
              </a:schemeClr>
            </a:solidFill>
            <a:ln>
              <a:noFill/>
            </a:ln>
            <a:effectLst/>
            <a:sp3d/>
          </c:spPr>
          <c:cat>
            <c:numRef>
              <c:f>'F Likelihood'!$AC$19:$AM$19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 Likelihood'!$AC$39:$AM$39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102</c:v>
                </c:pt>
                <c:pt idx="4">
                  <c:v>49</c:v>
                </c:pt>
                <c:pt idx="5">
                  <c:v>28</c:v>
                </c:pt>
                <c:pt idx="6">
                  <c:v>16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668-2C42-93D5-D78684892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'CPUE Likelihood'!$I$4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'CPUE Likelihood'!$J$3:$T$3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'CPUE Likelihood'!$J$4:$T$4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E0-AA4B-9071-204857F9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'CPUE Likelihood'!$I$5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'CPUE Likelihood'!$J$3:$T$3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'CPUE Likelihood'!$J$5:$T$5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E0-AA4B-9071-204857F90E47}"/>
            </c:ext>
          </c:extLst>
        </c:ser>
        <c:ser>
          <c:idx val="2"/>
          <c:order val="2"/>
          <c:tx>
            <c:strRef>
              <c:f>'CPUE Likelihood'!$I$6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'CPUE Likelihood'!$J$3:$T$3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'CPUE Likelihood'!$J$6:$T$6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E0-AA4B-9071-204857F9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'CPUE Likelihood'!$I$7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'CPUE Likelihood'!$J$3:$T$3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'CPUE Likelihood'!$J$7:$T$7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AA-5942-8BB7-9448AFC3D9F0}"/>
            </c:ext>
          </c:extLst>
        </c:ser>
        <c:ser>
          <c:idx val="1"/>
          <c:order val="1"/>
          <c:tx>
            <c:strRef>
              <c:f>'CPUE Likelihood'!$I$8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'CPUE Likelihood'!$J$3:$T$3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'CPUE Likelihood'!$J$8:$T$8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AA-5942-8BB7-9448AFC3D9F0}"/>
            </c:ext>
          </c:extLst>
        </c:ser>
        <c:ser>
          <c:idx val="2"/>
          <c:order val="2"/>
          <c:tx>
            <c:strRef>
              <c:f>'CPUE Likelihood'!$I$9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'CPUE Likelihood'!$J$3:$T$3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'CPUE Likelihood'!$J$9:$T$9</c:f>
              <c:numCache>
                <c:formatCode>General</c:formatCode>
                <c:ptCount val="11"/>
                <c:pt idx="0">
                  <c:v>1</c:v>
                </c:pt>
                <c:pt idx="1">
                  <c:v>0.70468808971871344</c:v>
                </c:pt>
                <c:pt idx="2">
                  <c:v>0.49658530379140953</c:v>
                </c:pt>
                <c:pt idx="3">
                  <c:v>0.34993774911115538</c:v>
                </c:pt>
                <c:pt idx="4">
                  <c:v>0.24659696394160649</c:v>
                </c:pt>
                <c:pt idx="5">
                  <c:v>0.17377394345044514</c:v>
                </c:pt>
                <c:pt idx="6">
                  <c:v>0.12245642825298192</c:v>
                </c:pt>
                <c:pt idx="7">
                  <c:v>8.6293586499370523E-2</c:v>
                </c:pt>
                <c:pt idx="8">
                  <c:v>6.0810062625217973E-2</c:v>
                </c:pt>
                <c:pt idx="9">
                  <c:v>4.2852126867040187E-2</c:v>
                </c:pt>
                <c:pt idx="10">
                  <c:v>3.0197383422318504E-2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AA-5942-8BB7-9448AFC3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6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Likelihood'!$AD$20:$AN$20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106</c:v>
                </c:pt>
                <c:pt idx="3">
                  <c:v>681</c:v>
                </c:pt>
                <c:pt idx="4">
                  <c:v>541</c:v>
                </c:pt>
                <c:pt idx="5">
                  <c:v>421</c:v>
                </c:pt>
                <c:pt idx="6">
                  <c:v>328</c:v>
                </c:pt>
                <c:pt idx="7">
                  <c:v>255</c:v>
                </c:pt>
                <c:pt idx="8">
                  <c:v>199</c:v>
                </c:pt>
                <c:pt idx="9">
                  <c:v>155</c:v>
                </c:pt>
                <c:pt idx="1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3-7D4A-A0BF-9EFEF0F0E87D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6">
                <a:shade val="49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Likelihood'!$AD$21:$AN$21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660</c:v>
                </c:pt>
                <c:pt idx="4">
                  <c:v>314</c:v>
                </c:pt>
                <c:pt idx="5">
                  <c:v>241</c:v>
                </c:pt>
                <c:pt idx="6">
                  <c:v>188</c:v>
                </c:pt>
                <c:pt idx="7">
                  <c:v>146</c:v>
                </c:pt>
                <c:pt idx="8">
                  <c:v>114</c:v>
                </c:pt>
                <c:pt idx="9">
                  <c:v>88</c:v>
                </c:pt>
                <c:pt idx="1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43-7D4A-A0BF-9EFEF0F0E87D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6">
                <a:shade val="55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Likelihood'!$AD$22:$AN$22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482</c:v>
                </c:pt>
                <c:pt idx="4">
                  <c:v>248</c:v>
                </c:pt>
                <c:pt idx="5">
                  <c:v>123</c:v>
                </c:pt>
                <c:pt idx="6">
                  <c:v>95</c:v>
                </c:pt>
                <c:pt idx="7">
                  <c:v>74</c:v>
                </c:pt>
                <c:pt idx="8">
                  <c:v>57</c:v>
                </c:pt>
                <c:pt idx="9">
                  <c:v>44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43-7D4A-A0BF-9EFEF0F0E87D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6">
                <a:shade val="61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Likelihood'!$AD$23:$AN$23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83</c:v>
                </c:pt>
                <c:pt idx="3">
                  <c:v>628</c:v>
                </c:pt>
                <c:pt idx="4">
                  <c:v>339</c:v>
                </c:pt>
                <c:pt idx="5">
                  <c:v>151</c:v>
                </c:pt>
                <c:pt idx="6">
                  <c:v>75</c:v>
                </c:pt>
                <c:pt idx="7">
                  <c:v>57</c:v>
                </c:pt>
                <c:pt idx="8">
                  <c:v>45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43-7D4A-A0BF-9EFEF0F0E87D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6">
                <a:shade val="68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Likelihood'!$AD$24:$AN$24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540</c:v>
                </c:pt>
                <c:pt idx="4">
                  <c:v>287</c:v>
                </c:pt>
                <c:pt idx="5">
                  <c:v>144</c:v>
                </c:pt>
                <c:pt idx="6">
                  <c:v>64</c:v>
                </c:pt>
                <c:pt idx="7">
                  <c:v>32</c:v>
                </c:pt>
                <c:pt idx="8">
                  <c:v>24</c:v>
                </c:pt>
                <c:pt idx="9">
                  <c:v>19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43-7D4A-A0BF-9EFEF0F0E87D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6">
                <a:shade val="74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Likelihood'!$AD$25:$AN$25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478</c:v>
                </c:pt>
                <c:pt idx="4">
                  <c:v>327</c:v>
                </c:pt>
                <c:pt idx="5">
                  <c:v>153</c:v>
                </c:pt>
                <c:pt idx="6">
                  <c:v>76</c:v>
                </c:pt>
                <c:pt idx="7">
                  <c:v>34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43-7D4A-A0BF-9EFEF0F0E87D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6">
                <a:shade val="80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Likelihood'!$AD$26:$AN$26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351</c:v>
                </c:pt>
                <c:pt idx="4">
                  <c:v>240</c:v>
                </c:pt>
                <c:pt idx="5">
                  <c:v>149</c:v>
                </c:pt>
                <c:pt idx="6">
                  <c:v>70</c:v>
                </c:pt>
                <c:pt idx="7">
                  <c:v>35</c:v>
                </c:pt>
                <c:pt idx="8">
                  <c:v>15</c:v>
                </c:pt>
                <c:pt idx="9">
                  <c:v>7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F43-7D4A-A0BF-9EFEF0F0E87D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6">
                <a:shade val="87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Likelihood'!$AD$27:$AN$27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351</c:v>
                </c:pt>
                <c:pt idx="4">
                  <c:v>212</c:v>
                </c:pt>
                <c:pt idx="5">
                  <c:v>129</c:v>
                </c:pt>
                <c:pt idx="6">
                  <c:v>80</c:v>
                </c:pt>
                <c:pt idx="7">
                  <c:v>37</c:v>
                </c:pt>
                <c:pt idx="8">
                  <c:v>18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F43-7D4A-A0BF-9EFEF0F0E87D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6">
                <a:shade val="93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Likelihood'!$AD$28:$AN$28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261</c:v>
                </c:pt>
                <c:pt idx="4">
                  <c:v>155</c:v>
                </c:pt>
                <c:pt idx="5">
                  <c:v>88</c:v>
                </c:pt>
                <c:pt idx="6">
                  <c:v>53</c:v>
                </c:pt>
                <c:pt idx="7">
                  <c:v>33</c:v>
                </c:pt>
                <c:pt idx="8">
                  <c:v>15</c:v>
                </c:pt>
                <c:pt idx="9">
                  <c:v>8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F43-7D4A-A0BF-9EFEF0F0E87D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Likelihood'!$AD$29:$AN$29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160</c:v>
                </c:pt>
                <c:pt idx="4">
                  <c:v>97</c:v>
                </c:pt>
                <c:pt idx="5">
                  <c:v>51</c:v>
                </c:pt>
                <c:pt idx="6">
                  <c:v>29</c:v>
                </c:pt>
                <c:pt idx="7">
                  <c:v>18</c:v>
                </c:pt>
                <c:pt idx="8">
                  <c:v>11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F43-7D4A-A0BF-9EFEF0F0E87D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6">
                <a:tint val="94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Likelihood'!$AD$30:$AN$30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258</c:v>
                </c:pt>
                <c:pt idx="4">
                  <c:v>179</c:v>
                </c:pt>
                <c:pt idx="5">
                  <c:v>91</c:v>
                </c:pt>
                <c:pt idx="6">
                  <c:v>48</c:v>
                </c:pt>
                <c:pt idx="7">
                  <c:v>27</c:v>
                </c:pt>
                <c:pt idx="8">
                  <c:v>16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F43-7D4A-A0BF-9EFEF0F0E87D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6">
                <a:tint val="88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Likelihood'!$AD$31:$AN$31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247</c:v>
                </c:pt>
                <c:pt idx="4">
                  <c:v>139</c:v>
                </c:pt>
                <c:pt idx="5">
                  <c:v>88</c:v>
                </c:pt>
                <c:pt idx="6">
                  <c:v>45</c:v>
                </c:pt>
                <c:pt idx="7">
                  <c:v>23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F43-7D4A-A0BF-9EFEF0F0E87D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6">
                <a:tint val="81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Likelihood'!$AD$32:$AN$32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209</c:v>
                </c:pt>
                <c:pt idx="4">
                  <c:v>118</c:v>
                </c:pt>
                <c:pt idx="5">
                  <c:v>63</c:v>
                </c:pt>
                <c:pt idx="6">
                  <c:v>40</c:v>
                </c:pt>
                <c:pt idx="7">
                  <c:v>20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F43-7D4A-A0BF-9EFEF0F0E87D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6">
                <a:tint val="75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Likelihood'!$AD$33:$AN$33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200</c:v>
                </c:pt>
                <c:pt idx="4">
                  <c:v>101</c:v>
                </c:pt>
                <c:pt idx="5">
                  <c:v>54</c:v>
                </c:pt>
                <c:pt idx="6">
                  <c:v>29</c:v>
                </c:pt>
                <c:pt idx="7">
                  <c:v>18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F43-7D4A-A0BF-9EFEF0F0E87D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6">
                <a:tint val="69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Likelihood'!$AD$34:$AN$34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206</c:v>
                </c:pt>
                <c:pt idx="4">
                  <c:v>90</c:v>
                </c:pt>
                <c:pt idx="5">
                  <c:v>47</c:v>
                </c:pt>
                <c:pt idx="6">
                  <c:v>25</c:v>
                </c:pt>
                <c:pt idx="7">
                  <c:v>13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F43-7D4A-A0BF-9EFEF0F0E87D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6">
                <a:tint val="62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Likelihood'!$AD$35:$AN$35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180</c:v>
                </c:pt>
                <c:pt idx="4">
                  <c:v>93</c:v>
                </c:pt>
                <c:pt idx="5">
                  <c:v>42</c:v>
                </c:pt>
                <c:pt idx="6">
                  <c:v>22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F43-7D4A-A0BF-9EFEF0F0E87D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6">
                <a:tint val="56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Likelihood'!$AD$36:$AN$36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149</c:v>
                </c:pt>
                <c:pt idx="4">
                  <c:v>76</c:v>
                </c:pt>
                <c:pt idx="5">
                  <c:v>40</c:v>
                </c:pt>
                <c:pt idx="6">
                  <c:v>18</c:v>
                </c:pt>
                <c:pt idx="7">
                  <c:v>9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F43-7D4A-A0BF-9EFEF0F0E87D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6">
                <a:tint val="50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Likelihood'!$AD$37:$AN$37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121</c:v>
                </c:pt>
                <c:pt idx="4">
                  <c:v>62</c:v>
                </c:pt>
                <c:pt idx="5">
                  <c:v>34</c:v>
                </c:pt>
                <c:pt idx="6">
                  <c:v>18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F43-7D4A-A0BF-9EFEF0F0E87D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6">
                <a:tint val="43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Likelihood'!$AD$38:$AN$38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109</c:v>
                </c:pt>
                <c:pt idx="4">
                  <c:v>56</c:v>
                </c:pt>
                <c:pt idx="5">
                  <c:v>32</c:v>
                </c:pt>
                <c:pt idx="6">
                  <c:v>18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F43-7D4A-A0BF-9EFEF0F0E87D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6">
                <a:tint val="37000"/>
              </a:schemeClr>
            </a:solidFill>
            <a:ln>
              <a:noFill/>
            </a:ln>
            <a:effectLst/>
            <a:sp3d/>
          </c:spPr>
          <c:cat>
            <c:numRef>
              <c:f>'CPUE Likelihood'!$AD$19:$AN$19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'CPUE Likelihood'!$AD$39:$AN$39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102</c:v>
                </c:pt>
                <c:pt idx="4">
                  <c:v>49</c:v>
                </c:pt>
                <c:pt idx="5">
                  <c:v>28</c:v>
                </c:pt>
                <c:pt idx="6">
                  <c:v>16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F43-7D4A-A0BF-9EFEF0F0E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Full!$I$4</c:f>
              <c:strCache>
                <c:ptCount val="1"/>
                <c:pt idx="0">
                  <c:v>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Full!$J$4:$T$4</c:f>
              <c:numCache>
                <c:formatCode>General</c:formatCode>
                <c:ptCount val="11"/>
                <c:pt idx="0">
                  <c:v>0.60000000000002274</c:v>
                </c:pt>
                <c:pt idx="1">
                  <c:v>80.594575920233979</c:v>
                </c:pt>
                <c:pt idx="2">
                  <c:v>142.27452053921411</c:v>
                </c:pt>
                <c:pt idx="3">
                  <c:v>189.83293964995491</c:v>
                </c:pt>
                <c:pt idx="4">
                  <c:v>226.50293412360222</c:v>
                </c:pt>
                <c:pt idx="5">
                  <c:v>254.777391513916</c:v>
                </c:pt>
                <c:pt idx="6">
                  <c:v>276.57845672245281</c:v>
                </c:pt>
                <c:pt idx="7">
                  <c:v>293.38820262370206</c:v>
                </c:pt>
                <c:pt idx="8">
                  <c:v>306.34938385781533</c:v>
                </c:pt>
                <c:pt idx="9">
                  <c:v>316.34312320226576</c:v>
                </c:pt>
                <c:pt idx="10">
                  <c:v>324.04881177191174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B8-3546-9E45-AB69F8FDE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82624"/>
        <c:axId val="2058278352"/>
      </c:scatterChart>
      <c:scatterChart>
        <c:scatterStyle val="lineMarker"/>
        <c:varyColors val="0"/>
        <c:ser>
          <c:idx val="1"/>
          <c:order val="1"/>
          <c:tx>
            <c:strRef>
              <c:f>Full!$I$5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Full!$J$5:$T$5</c:f>
              <c:numCache>
                <c:formatCode>General</c:formatCode>
                <c:ptCount val="11"/>
                <c:pt idx="0">
                  <c:v>3.0786487014787529E-8</c:v>
                </c:pt>
                <c:pt idx="1">
                  <c:v>0.12179775510938466</c:v>
                </c:pt>
                <c:pt idx="2">
                  <c:v>0.70922716923537987</c:v>
                </c:pt>
                <c:pt idx="3">
                  <c:v>1.7339762130984733</c:v>
                </c:pt>
                <c:pt idx="4">
                  <c:v>2.997920687322178</c:v>
                </c:pt>
                <c:pt idx="5">
                  <c:v>4.3170791220003428</c:v>
                </c:pt>
                <c:pt idx="6">
                  <c:v>5.5683707165183316</c:v>
                </c:pt>
                <c:pt idx="7">
                  <c:v>6.6859552163518652</c:v>
                </c:pt>
                <c:pt idx="8">
                  <c:v>7.6447624304444846</c:v>
                </c:pt>
                <c:pt idx="9">
                  <c:v>8.4446624168383195</c:v>
                </c:pt>
                <c:pt idx="10">
                  <c:v>9.0987891765031517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B8-3546-9E45-AB69F8FDEB84}"/>
            </c:ext>
          </c:extLst>
        </c:ser>
        <c:ser>
          <c:idx val="2"/>
          <c:order val="2"/>
          <c:tx>
            <c:strRef>
              <c:f>Full!$I$6</c:f>
              <c:strCache>
                <c:ptCount val="1"/>
                <c:pt idx="0">
                  <c:v>Fecundity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Full!$J$3:$T$3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Full!$J$6:$T$6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0.23397621309847327</c:v>
                </c:pt>
                <c:pt idx="4">
                  <c:v>1.497920687322178</c:v>
                </c:pt>
                <c:pt idx="5">
                  <c:v>2.8170791220003428</c:v>
                </c:pt>
                <c:pt idx="6">
                  <c:v>4.0683707165183316</c:v>
                </c:pt>
                <c:pt idx="7">
                  <c:v>5.1859552163518652</c:v>
                </c:pt>
                <c:pt idx="8">
                  <c:v>6.1447624304444846</c:v>
                </c:pt>
                <c:pt idx="9">
                  <c:v>6.9446624168383195</c:v>
                </c:pt>
                <c:pt idx="10">
                  <c:v>7.5987891765031517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B8-3546-9E45-AB69F8FDE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38575"/>
        <c:axId val="1221811391"/>
      </c:scatterChart>
      <c:valAx>
        <c:axId val="2058282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78352"/>
        <c:crosses val="autoZero"/>
        <c:crossBetween val="midCat"/>
      </c:valAx>
      <c:valAx>
        <c:axId val="2058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995734908136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2624"/>
        <c:crosses val="autoZero"/>
        <c:crossBetween val="midCat"/>
      </c:valAx>
      <c:valAx>
        <c:axId val="12218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Weight/Fecundity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38575"/>
        <c:crosses val="max"/>
        <c:crossBetween val="midCat"/>
      </c:valAx>
      <c:valAx>
        <c:axId val="122253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8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Full!$I$7</c:f>
              <c:strCache>
                <c:ptCount val="1"/>
                <c:pt idx="0">
                  <c:v>V_age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Full!$J$7:$T$7</c:f>
              <c:numCache>
                <c:formatCode>General</c:formatCode>
                <c:ptCount val="11"/>
                <c:pt idx="0">
                  <c:v>2.6662706008235179E-8</c:v>
                </c:pt>
                <c:pt idx="1">
                  <c:v>7.943099964778705E-5</c:v>
                </c:pt>
                <c:pt idx="2">
                  <c:v>3.6525057598242171E-2</c:v>
                </c:pt>
                <c:pt idx="3">
                  <c:v>0.81506959920156541</c:v>
                </c:pt>
                <c:pt idx="4">
                  <c:v>0.99423571624784779</c:v>
                </c:pt>
                <c:pt idx="5">
                  <c:v>0.99965710356892901</c:v>
                </c:pt>
                <c:pt idx="6">
                  <c:v>0.99996123080004629</c:v>
                </c:pt>
                <c:pt idx="7">
                  <c:v>0.99999278124083879</c:v>
                </c:pt>
                <c:pt idx="8">
                  <c:v>0.9999980249964473</c:v>
                </c:pt>
                <c:pt idx="9">
                  <c:v>0.99999927298087077</c:v>
                </c:pt>
                <c:pt idx="10">
                  <c:v>0.9999996635719447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A8-8D4C-84E6-94658E424ADE}"/>
            </c:ext>
          </c:extLst>
        </c:ser>
        <c:ser>
          <c:idx val="1"/>
          <c:order val="1"/>
          <c:tx>
            <c:strRef>
              <c:f>Full!$I$8</c:f>
              <c:strCache>
                <c:ptCount val="1"/>
                <c:pt idx="0">
                  <c:v>Sunf_age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Full!$J$8:$T$8</c:f>
              <c:numCache>
                <c:formatCode>General</c:formatCode>
                <c:ptCount val="11"/>
                <c:pt idx="0">
                  <c:v>1</c:v>
                </c:pt>
                <c:pt idx="1">
                  <c:v>0.77880078307140488</c:v>
                </c:pt>
                <c:pt idx="2">
                  <c:v>0.60653065971263342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0.17377394345044511</c:v>
                </c:pt>
                <c:pt idx="8">
                  <c:v>0.13533528323661267</c:v>
                </c:pt>
                <c:pt idx="9">
                  <c:v>0.10539922456186432</c:v>
                </c:pt>
                <c:pt idx="10">
                  <c:v>8.2084998623898786E-2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A8-8D4C-84E6-94658E424ADE}"/>
            </c:ext>
          </c:extLst>
        </c:ser>
        <c:ser>
          <c:idx val="2"/>
          <c:order val="2"/>
          <c:tx>
            <c:strRef>
              <c:f>Full!$I$9</c:f>
              <c:strCache>
                <c:ptCount val="1"/>
                <c:pt idx="0">
                  <c:v>Sfbar_age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Full!$J$3:$T$3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Full!$J$9:$T$9</c:f>
              <c:numCache>
                <c:formatCode>General</c:formatCode>
                <c:ptCount val="11"/>
                <c:pt idx="0">
                  <c:v>1</c:v>
                </c:pt>
                <c:pt idx="1">
                  <c:v>0.42013447819333527</c:v>
                </c:pt>
                <c:pt idx="2">
                  <c:v>0.17651297976678612</c:v>
                </c:pt>
                <c:pt idx="3">
                  <c:v>7.4159188648669438E-2</c:v>
                </c:pt>
                <c:pt idx="4">
                  <c:v>3.1156832026149845E-2</c:v>
                </c:pt>
                <c:pt idx="5">
                  <c:v>1.3090059365463862E-2</c:v>
                </c:pt>
                <c:pt idx="6">
                  <c:v>5.4995852610289411E-3</c:v>
                </c:pt>
                <c:pt idx="7">
                  <c:v>2.3105653839221515E-3</c:v>
                </c:pt>
                <c:pt idx="8">
                  <c:v>9.7074818190571652E-4</c:v>
                </c:pt>
                <c:pt idx="9">
                  <c:v>4.078447808620871E-4</c:v>
                </c:pt>
                <c:pt idx="10">
                  <c:v>1.7134965419136813E-4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A8-8D4C-84E6-94658E424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52336"/>
        <c:axId val="2089786768"/>
      </c:scatterChart>
      <c:valAx>
        <c:axId val="2058252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86768"/>
        <c:crosses val="autoZero"/>
        <c:crossBetween val="midCat"/>
      </c:valAx>
      <c:valAx>
        <c:axId val="208978676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tx>
            <c:v>1</c:v>
          </c:tx>
          <c:spPr>
            <a:solidFill>
              <a:schemeClr val="accent6">
                <a:shade val="42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Full!$AD$20:$AN$20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106</c:v>
                </c:pt>
                <c:pt idx="3">
                  <c:v>681</c:v>
                </c:pt>
                <c:pt idx="4">
                  <c:v>541</c:v>
                </c:pt>
                <c:pt idx="5">
                  <c:v>421</c:v>
                </c:pt>
                <c:pt idx="6">
                  <c:v>328</c:v>
                </c:pt>
                <c:pt idx="7">
                  <c:v>255</c:v>
                </c:pt>
                <c:pt idx="8">
                  <c:v>199</c:v>
                </c:pt>
                <c:pt idx="9">
                  <c:v>155</c:v>
                </c:pt>
                <c:pt idx="1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08-1443-ADD3-4BCC56EA8A63}"/>
            </c:ext>
          </c:extLst>
        </c:ser>
        <c:ser>
          <c:idx val="2"/>
          <c:order val="1"/>
          <c:tx>
            <c:v>2</c:v>
          </c:tx>
          <c:spPr>
            <a:solidFill>
              <a:schemeClr val="accent6">
                <a:shade val="49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Full!$AD$21:$AN$21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660</c:v>
                </c:pt>
                <c:pt idx="4">
                  <c:v>314</c:v>
                </c:pt>
                <c:pt idx="5">
                  <c:v>241</c:v>
                </c:pt>
                <c:pt idx="6">
                  <c:v>188</c:v>
                </c:pt>
                <c:pt idx="7">
                  <c:v>146</c:v>
                </c:pt>
                <c:pt idx="8">
                  <c:v>114</c:v>
                </c:pt>
                <c:pt idx="9">
                  <c:v>88</c:v>
                </c:pt>
                <c:pt idx="1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08-1443-ADD3-4BCC56EA8A63}"/>
            </c:ext>
          </c:extLst>
        </c:ser>
        <c:ser>
          <c:idx val="3"/>
          <c:order val="2"/>
          <c:tx>
            <c:v>3</c:v>
          </c:tx>
          <c:spPr>
            <a:solidFill>
              <a:schemeClr val="accent6">
                <a:shade val="55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Full!$AD$22:$AN$22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482</c:v>
                </c:pt>
                <c:pt idx="4">
                  <c:v>248</c:v>
                </c:pt>
                <c:pt idx="5">
                  <c:v>123</c:v>
                </c:pt>
                <c:pt idx="6">
                  <c:v>95</c:v>
                </c:pt>
                <c:pt idx="7">
                  <c:v>74</c:v>
                </c:pt>
                <c:pt idx="8">
                  <c:v>57</c:v>
                </c:pt>
                <c:pt idx="9">
                  <c:v>44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08-1443-ADD3-4BCC56EA8A63}"/>
            </c:ext>
          </c:extLst>
        </c:ser>
        <c:ser>
          <c:idx val="4"/>
          <c:order val="3"/>
          <c:tx>
            <c:v>4</c:v>
          </c:tx>
          <c:spPr>
            <a:solidFill>
              <a:schemeClr val="accent6">
                <a:shade val="61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Full!$AD$23:$AN$23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83</c:v>
                </c:pt>
                <c:pt idx="3">
                  <c:v>628</c:v>
                </c:pt>
                <c:pt idx="4">
                  <c:v>339</c:v>
                </c:pt>
                <c:pt idx="5">
                  <c:v>151</c:v>
                </c:pt>
                <c:pt idx="6">
                  <c:v>75</c:v>
                </c:pt>
                <c:pt idx="7">
                  <c:v>57</c:v>
                </c:pt>
                <c:pt idx="8">
                  <c:v>45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08-1443-ADD3-4BCC56EA8A63}"/>
            </c:ext>
          </c:extLst>
        </c:ser>
        <c:ser>
          <c:idx val="5"/>
          <c:order val="4"/>
          <c:tx>
            <c:v>5</c:v>
          </c:tx>
          <c:spPr>
            <a:solidFill>
              <a:schemeClr val="accent6">
                <a:shade val="68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Full!$AD$24:$AN$24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540</c:v>
                </c:pt>
                <c:pt idx="4">
                  <c:v>287</c:v>
                </c:pt>
                <c:pt idx="5">
                  <c:v>144</c:v>
                </c:pt>
                <c:pt idx="6">
                  <c:v>64</c:v>
                </c:pt>
                <c:pt idx="7">
                  <c:v>32</c:v>
                </c:pt>
                <c:pt idx="8">
                  <c:v>24</c:v>
                </c:pt>
                <c:pt idx="9">
                  <c:v>19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08-1443-ADD3-4BCC56EA8A63}"/>
            </c:ext>
          </c:extLst>
        </c:ser>
        <c:ser>
          <c:idx val="6"/>
          <c:order val="5"/>
          <c:tx>
            <c:v>6</c:v>
          </c:tx>
          <c:spPr>
            <a:solidFill>
              <a:schemeClr val="accent6">
                <a:shade val="74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Full!$AD$25:$AN$25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478</c:v>
                </c:pt>
                <c:pt idx="4">
                  <c:v>327</c:v>
                </c:pt>
                <c:pt idx="5">
                  <c:v>153</c:v>
                </c:pt>
                <c:pt idx="6">
                  <c:v>76</c:v>
                </c:pt>
                <c:pt idx="7">
                  <c:v>34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08-1443-ADD3-4BCC56EA8A63}"/>
            </c:ext>
          </c:extLst>
        </c:ser>
        <c:ser>
          <c:idx val="7"/>
          <c:order val="6"/>
          <c:tx>
            <c:v>7</c:v>
          </c:tx>
          <c:spPr>
            <a:solidFill>
              <a:schemeClr val="accent6">
                <a:shade val="80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Full!$AD$26:$AN$26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351</c:v>
                </c:pt>
                <c:pt idx="4">
                  <c:v>240</c:v>
                </c:pt>
                <c:pt idx="5">
                  <c:v>149</c:v>
                </c:pt>
                <c:pt idx="6">
                  <c:v>70</c:v>
                </c:pt>
                <c:pt idx="7">
                  <c:v>35</c:v>
                </c:pt>
                <c:pt idx="8">
                  <c:v>15</c:v>
                </c:pt>
                <c:pt idx="9">
                  <c:v>7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08-1443-ADD3-4BCC56EA8A63}"/>
            </c:ext>
          </c:extLst>
        </c:ser>
        <c:ser>
          <c:idx val="8"/>
          <c:order val="7"/>
          <c:tx>
            <c:v>8</c:v>
          </c:tx>
          <c:spPr>
            <a:solidFill>
              <a:schemeClr val="accent6">
                <a:shade val="87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Full!$AD$27:$AN$27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351</c:v>
                </c:pt>
                <c:pt idx="4">
                  <c:v>212</c:v>
                </c:pt>
                <c:pt idx="5">
                  <c:v>129</c:v>
                </c:pt>
                <c:pt idx="6">
                  <c:v>80</c:v>
                </c:pt>
                <c:pt idx="7">
                  <c:v>37</c:v>
                </c:pt>
                <c:pt idx="8">
                  <c:v>18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508-1443-ADD3-4BCC56EA8A63}"/>
            </c:ext>
          </c:extLst>
        </c:ser>
        <c:ser>
          <c:idx val="9"/>
          <c:order val="8"/>
          <c:tx>
            <c:v>9</c:v>
          </c:tx>
          <c:spPr>
            <a:solidFill>
              <a:schemeClr val="accent6">
                <a:shade val="93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Full!$AD$28:$AN$28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261</c:v>
                </c:pt>
                <c:pt idx="4">
                  <c:v>155</c:v>
                </c:pt>
                <c:pt idx="5">
                  <c:v>88</c:v>
                </c:pt>
                <c:pt idx="6">
                  <c:v>53</c:v>
                </c:pt>
                <c:pt idx="7">
                  <c:v>33</c:v>
                </c:pt>
                <c:pt idx="8">
                  <c:v>15</c:v>
                </c:pt>
                <c:pt idx="9">
                  <c:v>8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508-1443-ADD3-4BCC56EA8A63}"/>
            </c:ext>
          </c:extLst>
        </c:ser>
        <c:ser>
          <c:idx val="10"/>
          <c:order val="9"/>
          <c:tx>
            <c:v>10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Full!$AD$29:$AN$29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160</c:v>
                </c:pt>
                <c:pt idx="4">
                  <c:v>97</c:v>
                </c:pt>
                <c:pt idx="5">
                  <c:v>51</c:v>
                </c:pt>
                <c:pt idx="6">
                  <c:v>29</c:v>
                </c:pt>
                <c:pt idx="7">
                  <c:v>18</c:v>
                </c:pt>
                <c:pt idx="8">
                  <c:v>11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08-1443-ADD3-4BCC56EA8A63}"/>
            </c:ext>
          </c:extLst>
        </c:ser>
        <c:ser>
          <c:idx val="11"/>
          <c:order val="10"/>
          <c:tx>
            <c:v>11</c:v>
          </c:tx>
          <c:spPr>
            <a:solidFill>
              <a:schemeClr val="accent6">
                <a:tint val="94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Full!$AD$30:$AN$30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258</c:v>
                </c:pt>
                <c:pt idx="4">
                  <c:v>179</c:v>
                </c:pt>
                <c:pt idx="5">
                  <c:v>91</c:v>
                </c:pt>
                <c:pt idx="6">
                  <c:v>48</c:v>
                </c:pt>
                <c:pt idx="7">
                  <c:v>27</c:v>
                </c:pt>
                <c:pt idx="8">
                  <c:v>16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508-1443-ADD3-4BCC56EA8A63}"/>
            </c:ext>
          </c:extLst>
        </c:ser>
        <c:ser>
          <c:idx val="12"/>
          <c:order val="11"/>
          <c:tx>
            <c:v>12</c:v>
          </c:tx>
          <c:spPr>
            <a:solidFill>
              <a:schemeClr val="accent6">
                <a:tint val="88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Full!$AD$31:$AN$31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247</c:v>
                </c:pt>
                <c:pt idx="4">
                  <c:v>139</c:v>
                </c:pt>
                <c:pt idx="5">
                  <c:v>88</c:v>
                </c:pt>
                <c:pt idx="6">
                  <c:v>45</c:v>
                </c:pt>
                <c:pt idx="7">
                  <c:v>23</c:v>
                </c:pt>
                <c:pt idx="8">
                  <c:v>13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508-1443-ADD3-4BCC56EA8A63}"/>
            </c:ext>
          </c:extLst>
        </c:ser>
        <c:ser>
          <c:idx val="13"/>
          <c:order val="12"/>
          <c:tx>
            <c:v>13</c:v>
          </c:tx>
          <c:spPr>
            <a:solidFill>
              <a:schemeClr val="accent6">
                <a:tint val="81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Full!$AD$32:$AN$32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209</c:v>
                </c:pt>
                <c:pt idx="4">
                  <c:v>118</c:v>
                </c:pt>
                <c:pt idx="5">
                  <c:v>63</c:v>
                </c:pt>
                <c:pt idx="6">
                  <c:v>40</c:v>
                </c:pt>
                <c:pt idx="7">
                  <c:v>20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508-1443-ADD3-4BCC56EA8A63}"/>
            </c:ext>
          </c:extLst>
        </c:ser>
        <c:ser>
          <c:idx val="14"/>
          <c:order val="13"/>
          <c:tx>
            <c:v>14</c:v>
          </c:tx>
          <c:spPr>
            <a:solidFill>
              <a:schemeClr val="accent6">
                <a:tint val="75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Full!$AD$33:$AN$33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200</c:v>
                </c:pt>
                <c:pt idx="4">
                  <c:v>101</c:v>
                </c:pt>
                <c:pt idx="5">
                  <c:v>54</c:v>
                </c:pt>
                <c:pt idx="6">
                  <c:v>29</c:v>
                </c:pt>
                <c:pt idx="7">
                  <c:v>18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508-1443-ADD3-4BCC56EA8A63}"/>
            </c:ext>
          </c:extLst>
        </c:ser>
        <c:ser>
          <c:idx val="15"/>
          <c:order val="14"/>
          <c:tx>
            <c:v>15</c:v>
          </c:tx>
          <c:spPr>
            <a:solidFill>
              <a:schemeClr val="accent6">
                <a:tint val="69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Full!$AD$34:$AN$34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206</c:v>
                </c:pt>
                <c:pt idx="4">
                  <c:v>90</c:v>
                </c:pt>
                <c:pt idx="5">
                  <c:v>47</c:v>
                </c:pt>
                <c:pt idx="6">
                  <c:v>25</c:v>
                </c:pt>
                <c:pt idx="7">
                  <c:v>13</c:v>
                </c:pt>
                <c:pt idx="8">
                  <c:v>8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508-1443-ADD3-4BCC56EA8A63}"/>
            </c:ext>
          </c:extLst>
        </c:ser>
        <c:ser>
          <c:idx val="16"/>
          <c:order val="15"/>
          <c:tx>
            <c:v>16</c:v>
          </c:tx>
          <c:spPr>
            <a:solidFill>
              <a:schemeClr val="accent6">
                <a:tint val="62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Full!$AD$35:$AN$35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180</c:v>
                </c:pt>
                <c:pt idx="4">
                  <c:v>93</c:v>
                </c:pt>
                <c:pt idx="5">
                  <c:v>42</c:v>
                </c:pt>
                <c:pt idx="6">
                  <c:v>22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508-1443-ADD3-4BCC56EA8A63}"/>
            </c:ext>
          </c:extLst>
        </c:ser>
        <c:ser>
          <c:idx val="17"/>
          <c:order val="16"/>
          <c:tx>
            <c:v>17</c:v>
          </c:tx>
          <c:spPr>
            <a:solidFill>
              <a:schemeClr val="accent6">
                <a:tint val="56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Full!$AD$36:$AN$36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149</c:v>
                </c:pt>
                <c:pt idx="4">
                  <c:v>76</c:v>
                </c:pt>
                <c:pt idx="5">
                  <c:v>40</c:v>
                </c:pt>
                <c:pt idx="6">
                  <c:v>18</c:v>
                </c:pt>
                <c:pt idx="7">
                  <c:v>9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508-1443-ADD3-4BCC56EA8A63}"/>
            </c:ext>
          </c:extLst>
        </c:ser>
        <c:ser>
          <c:idx val="18"/>
          <c:order val="17"/>
          <c:tx>
            <c:v>18</c:v>
          </c:tx>
          <c:spPr>
            <a:solidFill>
              <a:schemeClr val="accent6">
                <a:tint val="50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Full!$AD$37:$AN$37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121</c:v>
                </c:pt>
                <c:pt idx="4">
                  <c:v>62</c:v>
                </c:pt>
                <c:pt idx="5">
                  <c:v>34</c:v>
                </c:pt>
                <c:pt idx="6">
                  <c:v>18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508-1443-ADD3-4BCC56EA8A63}"/>
            </c:ext>
          </c:extLst>
        </c:ser>
        <c:ser>
          <c:idx val="19"/>
          <c:order val="18"/>
          <c:tx>
            <c:v>19</c:v>
          </c:tx>
          <c:spPr>
            <a:solidFill>
              <a:schemeClr val="accent6">
                <a:tint val="43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Full!$AD$38:$AN$38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109</c:v>
                </c:pt>
                <c:pt idx="4">
                  <c:v>56</c:v>
                </c:pt>
                <c:pt idx="5">
                  <c:v>32</c:v>
                </c:pt>
                <c:pt idx="6">
                  <c:v>18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508-1443-ADD3-4BCC56EA8A63}"/>
            </c:ext>
          </c:extLst>
        </c:ser>
        <c:ser>
          <c:idx val="20"/>
          <c:order val="19"/>
          <c:tx>
            <c:v>20</c:v>
          </c:tx>
          <c:spPr>
            <a:solidFill>
              <a:schemeClr val="accent6">
                <a:tint val="37000"/>
              </a:schemeClr>
            </a:solidFill>
            <a:ln>
              <a:noFill/>
            </a:ln>
            <a:effectLst/>
            <a:sp3d/>
          </c:spPr>
          <c:cat>
            <c:numRef>
              <c:f>Full!$AD$19:$AN$19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Full!$AD$39:$AN$39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102</c:v>
                </c:pt>
                <c:pt idx="4">
                  <c:v>49</c:v>
                </c:pt>
                <c:pt idx="5">
                  <c:v>28</c:v>
                </c:pt>
                <c:pt idx="6">
                  <c:v>16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508-1443-ADD3-4BCC56EA8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Kobe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Full!$L$41</c:f>
              <c:strCache>
                <c:ptCount val="1"/>
                <c:pt idx="0">
                  <c:v>F/Fmsy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2"/>
              </a:solidFill>
              <a:ln w="9525">
                <a:solidFill>
                  <a:schemeClr val="tx2">
                    <a:lumMod val="20000"/>
                    <a:lumOff val="80000"/>
                  </a:schemeClr>
                </a:solidFill>
              </a:ln>
              <a:effectLst/>
            </c:spPr>
          </c:marker>
          <c:xVal>
            <c:numRef>
              <c:f>Full!$K$42:$K$61</c:f>
              <c:numCache>
                <c:formatCode>0.000</c:formatCode>
                <c:ptCount val="20"/>
                <c:pt idx="0">
                  <c:v>4.9225553516276461</c:v>
                </c:pt>
                <c:pt idx="1">
                  <c:v>4.3540691449183537</c:v>
                </c:pt>
                <c:pt idx="2">
                  <c:v>3.7519575967123062</c:v>
                </c:pt>
                <c:pt idx="3">
                  <c:v>3.2694756728664509</c:v>
                </c:pt>
                <c:pt idx="4">
                  <c:v>2.7725596041513243</c:v>
                </c:pt>
                <c:pt idx="5">
                  <c:v>2.4188304791866564</c:v>
                </c:pt>
                <c:pt idx="6">
                  <c:v>2.1312471512325777</c:v>
                </c:pt>
                <c:pt idx="7">
                  <c:v>1.9182557013463497</c:v>
                </c:pt>
                <c:pt idx="8">
                  <c:v>1.7099561109378223</c:v>
                </c:pt>
                <c:pt idx="9">
                  <c:v>1.5388425648533572</c:v>
                </c:pt>
                <c:pt idx="10">
                  <c:v>1.4484517525033158</c:v>
                </c:pt>
                <c:pt idx="11">
                  <c:v>1.3365362667001512</c:v>
                </c:pt>
                <c:pt idx="12">
                  <c:v>1.2131182145143171</c:v>
                </c:pt>
                <c:pt idx="13">
                  <c:v>1.0875428816012591</c:v>
                </c:pt>
                <c:pt idx="14">
                  <c:v>0.96022622349116327</c:v>
                </c:pt>
                <c:pt idx="15">
                  <c:v>0.8381212931555172</c:v>
                </c:pt>
                <c:pt idx="16">
                  <c:v>0.73710900524402079</c:v>
                </c:pt>
                <c:pt idx="17">
                  <c:v>0.65549626802252459</c:v>
                </c:pt>
                <c:pt idx="18">
                  <c:v>0.58542355338455643</c:v>
                </c:pt>
                <c:pt idx="19">
                  <c:v>0.66513833851118531</c:v>
                </c:pt>
              </c:numCache>
            </c:numRef>
          </c:xVal>
          <c:yVal>
            <c:numRef>
              <c:f>Full!$L$42:$L$61</c:f>
              <c:numCache>
                <c:formatCode>0.000</c:formatCode>
                <c:ptCount val="20"/>
                <c:pt idx="0">
                  <c:v>3.1465158347807556</c:v>
                </c:pt>
                <c:pt idx="1">
                  <c:v>3.7775417168098615</c:v>
                </c:pt>
                <c:pt idx="2">
                  <c:v>2.72193861731364</c:v>
                </c:pt>
                <c:pt idx="3">
                  <c:v>3.5199077949452895</c:v>
                </c:pt>
                <c:pt idx="4">
                  <c:v>3.0085745819036496</c:v>
                </c:pt>
                <c:pt idx="5">
                  <c:v>3.2622273117142022</c:v>
                </c:pt>
                <c:pt idx="6">
                  <c:v>2.9599029227491713</c:v>
                </c:pt>
                <c:pt idx="7">
                  <c:v>3.3862134539550457</c:v>
                </c:pt>
                <c:pt idx="8">
                  <c:v>2.909322965248081</c:v>
                </c:pt>
                <c:pt idx="9">
                  <c:v>1.7086364100024294</c:v>
                </c:pt>
                <c:pt idx="10">
                  <c:v>3.2693908447714004</c:v>
                </c:pt>
                <c:pt idx="11">
                  <c:v>3.5311232884647561</c:v>
                </c:pt>
                <c:pt idx="12">
                  <c:v>3.4459184858068057</c:v>
                </c:pt>
                <c:pt idx="13">
                  <c:v>3.5663779353604488</c:v>
                </c:pt>
                <c:pt idx="14">
                  <c:v>3.4517892584398639</c:v>
                </c:pt>
                <c:pt idx="15">
                  <c:v>3.58099452088307</c:v>
                </c:pt>
                <c:pt idx="16">
                  <c:v>3.5937934298934779</c:v>
                </c:pt>
                <c:pt idx="17">
                  <c:v>3.5661432577786898</c:v>
                </c:pt>
                <c:pt idx="18">
                  <c:v>3.8806075842188874</c:v>
                </c:pt>
                <c:pt idx="19">
                  <c:v>4.2192295360451073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95-7E49-A808-D38427B17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219856"/>
        <c:axId val="2094318688"/>
      </c:scatterChart>
      <c:valAx>
        <c:axId val="20942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N/Nmsy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318688"/>
        <c:crosses val="autoZero"/>
        <c:crossBetween val="midCat"/>
        <c:majorUnit val="1"/>
      </c:valAx>
      <c:valAx>
        <c:axId val="20943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F/Fmsy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1985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'CAA simulation'!$C$6</c:f>
              <c:strCache>
                <c:ptCount val="1"/>
                <c:pt idx="0">
                  <c:v>F_dev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'CAA simulation'!$A$7:$A$26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'CAA simulation'!$C$7:$C$26</c:f>
              <c:numCache>
                <c:formatCode>0.00</c:formatCode>
                <c:ptCount val="20"/>
                <c:pt idx="0">
                  <c:v>0.29314687912087517</c:v>
                </c:pt>
                <c:pt idx="1">
                  <c:v>8.5113306982351311E-2</c:v>
                </c:pt>
                <c:pt idx="2">
                  <c:v>4.3151095232740008E-2</c:v>
                </c:pt>
                <c:pt idx="3">
                  <c:v>5.430151793536328E-3</c:v>
                </c:pt>
                <c:pt idx="4">
                  <c:v>-1.0386461358043546E-2</c:v>
                </c:pt>
                <c:pt idx="5">
                  <c:v>-6.9631267659823179E-2</c:v>
                </c:pt>
                <c:pt idx="6">
                  <c:v>-4.4050662714451481E-2</c:v>
                </c:pt>
                <c:pt idx="7">
                  <c:v>8.3275822932976362E-2</c:v>
                </c:pt>
                <c:pt idx="8">
                  <c:v>0.15991808244752706</c:v>
                </c:pt>
                <c:pt idx="9">
                  <c:v>0.12008101545300932</c:v>
                </c:pt>
                <c:pt idx="10">
                  <c:v>0.16081804050121723</c:v>
                </c:pt>
                <c:pt idx="11">
                  <c:v>0.31345216056238068</c:v>
                </c:pt>
                <c:pt idx="12">
                  <c:v>0.4172329486817295</c:v>
                </c:pt>
                <c:pt idx="13">
                  <c:v>0.45199236514990765</c:v>
                </c:pt>
                <c:pt idx="14">
                  <c:v>0.57080803852935225</c:v>
                </c:pt>
                <c:pt idx="15">
                  <c:v>0.72892602018802499</c:v>
                </c:pt>
                <c:pt idx="16">
                  <c:v>0.65674516642298841</c:v>
                </c:pt>
                <c:pt idx="17">
                  <c:v>0.55358643957880316</c:v>
                </c:pt>
                <c:pt idx="18">
                  <c:v>0.6181545267638473</c:v>
                </c:pt>
                <c:pt idx="19">
                  <c:v>0.76318856076835362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66-E24B-B746-723538EEC3EC}"/>
            </c:ext>
          </c:extLst>
        </c:ser>
        <c:ser>
          <c:idx val="2"/>
          <c:order val="2"/>
          <c:tx>
            <c:strRef>
              <c:f>'CAA simulation'!$D$6</c:f>
              <c:strCache>
                <c:ptCount val="1"/>
                <c:pt idx="0">
                  <c:v>F_sim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'CAA simulation'!$A$7:$A$26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'CAA simulation'!$D$7:$D$26</c:f>
              <c:numCache>
                <c:formatCode>0.00</c:formatCode>
                <c:ptCount val="20"/>
                <c:pt idx="0">
                  <c:v>0.67614687912087512</c:v>
                </c:pt>
                <c:pt idx="1">
                  <c:v>0.46811330698235132</c:v>
                </c:pt>
                <c:pt idx="2">
                  <c:v>0.42615109523274003</c:v>
                </c:pt>
                <c:pt idx="3">
                  <c:v>0.38843015179353635</c:v>
                </c:pt>
                <c:pt idx="4">
                  <c:v>0.37261353864195645</c:v>
                </c:pt>
                <c:pt idx="5">
                  <c:v>0.31336873234017681</c:v>
                </c:pt>
                <c:pt idx="6">
                  <c:v>0.33894933728554855</c:v>
                </c:pt>
                <c:pt idx="7">
                  <c:v>0.46627582293297637</c:v>
                </c:pt>
                <c:pt idx="8">
                  <c:v>0.54291808244752704</c:v>
                </c:pt>
                <c:pt idx="9">
                  <c:v>0.50308101545300932</c:v>
                </c:pt>
                <c:pt idx="10">
                  <c:v>0.54381804050121718</c:v>
                </c:pt>
                <c:pt idx="11">
                  <c:v>0.69645216056238068</c:v>
                </c:pt>
                <c:pt idx="12">
                  <c:v>0.80023294868172945</c:v>
                </c:pt>
                <c:pt idx="13">
                  <c:v>0.8349923651499076</c:v>
                </c:pt>
                <c:pt idx="14">
                  <c:v>0.95380803852935225</c:v>
                </c:pt>
                <c:pt idx="15">
                  <c:v>1.111926020188025</c:v>
                </c:pt>
                <c:pt idx="16">
                  <c:v>1.0397451664229884</c:v>
                </c:pt>
                <c:pt idx="17">
                  <c:v>0.93658643957880316</c:v>
                </c:pt>
                <c:pt idx="18">
                  <c:v>1.0011545267638473</c:v>
                </c:pt>
                <c:pt idx="19">
                  <c:v>1.1461885607683535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66-E24B-B746-723538EEC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454047"/>
        <c:axId val="1265588287"/>
      </c:scatterChart>
      <c:scatterChart>
        <c:scatterStyle val="lineMarker"/>
        <c:varyColors val="0"/>
        <c:ser>
          <c:idx val="0"/>
          <c:order val="0"/>
          <c:tx>
            <c:strRef>
              <c:f>'CAA simulation'!$B$6</c:f>
              <c:strCache>
                <c:ptCount val="1"/>
                <c:pt idx="0">
                  <c:v>F_walk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'CAA simulation'!$A$7:$A$26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'CAA simulation'!$B$7:$B$26</c:f>
              <c:numCache>
                <c:formatCode>0.00</c:formatCode>
                <c:ptCount val="20"/>
                <c:pt idx="0">
                  <c:v>-9.05684627026353E-2</c:v>
                </c:pt>
                <c:pt idx="1">
                  <c:v>-0.17599961099924033</c:v>
                </c:pt>
                <c:pt idx="2">
                  <c:v>-0.25144753434025813</c:v>
                </c:pt>
                <c:pt idx="3">
                  <c:v>-0.31263260058974829</c:v>
                </c:pt>
                <c:pt idx="4">
                  <c:v>-0.3560842095752268</c:v>
                </c:pt>
                <c:pt idx="5">
                  <c:v>-0.37933765592194024</c:v>
                </c:pt>
                <c:pt idx="6">
                  <c:v>-0.38107393452212796</c:v>
                </c:pt>
                <c:pt idx="7">
                  <c:v>-0.3611945584544109</c:v>
                </c:pt>
                <c:pt idx="8">
                  <c:v>-0.3208271454568849</c:v>
                </c:pt>
                <c:pt idx="9">
                  <c:v>-0.26226145607243612</c:v>
                </c:pt>
                <c:pt idx="10">
                  <c:v>-0.18881951157420593</c:v>
                </c:pt>
                <c:pt idx="11">
                  <c:v>-0.10466715897139436</c:v>
                </c:pt>
                <c:pt idx="12">
                  <c:v>-1.4577771692533662E-2</c:v>
                </c:pt>
                <c:pt idx="13">
                  <c:v>7.6338510448943436E-2</c:v>
                </c:pt>
                <c:pt idx="14">
                  <c:v>0.1629246436869122</c:v>
                </c:pt>
                <c:pt idx="15">
                  <c:v>0.240269203267412</c:v>
                </c:pt>
                <c:pt idx="16">
                  <c:v>0.30398497416764209</c:v>
                </c:pt>
                <c:pt idx="17">
                  <c:v>0.35045780706929286</c:v>
                </c:pt>
                <c:pt idx="18">
                  <c:v>0.377051623730222</c:v>
                </c:pt>
                <c:pt idx="19">
                  <c:v>0.38225794323591861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66-E24B-B746-723538EEC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67535"/>
        <c:axId val="1751682879"/>
      </c:scatterChart>
      <c:valAx>
        <c:axId val="175145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588287"/>
        <c:crosses val="autoZero"/>
        <c:crossBetween val="midCat"/>
      </c:valAx>
      <c:valAx>
        <c:axId val="126558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Fishing Mortality/Deviation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54047"/>
        <c:crosses val="autoZero"/>
        <c:crossBetween val="midCat"/>
      </c:valAx>
      <c:valAx>
        <c:axId val="17516828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F walk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67535"/>
        <c:crosses val="max"/>
        <c:crossBetween val="midCat"/>
      </c:valAx>
      <c:valAx>
        <c:axId val="1412675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5168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40"/>
      <c:rotY val="13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858792415125274E-2"/>
          <c:y val="5.8818018748541027E-2"/>
          <c:w val="0.89200885623516624"/>
          <c:h val="0.9002813264200662"/>
        </c:manualLayout>
      </c:layout>
      <c:area3DChart>
        <c:grouping val="standard"/>
        <c:varyColors val="0"/>
        <c:ser>
          <c:idx val="1"/>
          <c:order val="0"/>
          <c:spPr>
            <a:solidFill>
              <a:schemeClr val="accent6">
                <a:shade val="42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simulation'!$L$32:$V$32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165</c:v>
                </c:pt>
                <c:pt idx="3">
                  <c:v>583</c:v>
                </c:pt>
                <c:pt idx="4">
                  <c:v>426</c:v>
                </c:pt>
                <c:pt idx="5">
                  <c:v>331</c:v>
                </c:pt>
                <c:pt idx="6">
                  <c:v>258</c:v>
                </c:pt>
                <c:pt idx="7">
                  <c:v>200</c:v>
                </c:pt>
                <c:pt idx="8">
                  <c:v>156</c:v>
                </c:pt>
                <c:pt idx="9">
                  <c:v>121</c:v>
                </c:pt>
                <c:pt idx="10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23-AD46-BEBC-1625C5D783BD}"/>
            </c:ext>
          </c:extLst>
        </c:ser>
        <c:ser>
          <c:idx val="2"/>
          <c:order val="1"/>
          <c:spPr>
            <a:solidFill>
              <a:schemeClr val="accent6">
                <a:shade val="49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simulation'!$L$33:$V$33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118</c:v>
                </c:pt>
                <c:pt idx="3">
                  <c:v>592</c:v>
                </c:pt>
                <c:pt idx="4">
                  <c:v>269</c:v>
                </c:pt>
                <c:pt idx="5">
                  <c:v>186</c:v>
                </c:pt>
                <c:pt idx="6">
                  <c:v>144</c:v>
                </c:pt>
                <c:pt idx="7">
                  <c:v>112</c:v>
                </c:pt>
                <c:pt idx="8">
                  <c:v>87</c:v>
                </c:pt>
                <c:pt idx="9">
                  <c:v>68</c:v>
                </c:pt>
                <c:pt idx="1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23-AD46-BEBC-1625C5D783BD}"/>
            </c:ext>
          </c:extLst>
        </c:ser>
        <c:ser>
          <c:idx val="3"/>
          <c:order val="2"/>
          <c:spPr>
            <a:solidFill>
              <a:schemeClr val="accent6">
                <a:shade val="55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simulation'!$L$34:$V$34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109</c:v>
                </c:pt>
                <c:pt idx="3">
                  <c:v>594</c:v>
                </c:pt>
                <c:pt idx="4">
                  <c:v>314</c:v>
                </c:pt>
                <c:pt idx="5">
                  <c:v>132</c:v>
                </c:pt>
                <c:pt idx="6">
                  <c:v>91</c:v>
                </c:pt>
                <c:pt idx="7">
                  <c:v>70</c:v>
                </c:pt>
                <c:pt idx="8">
                  <c:v>55</c:v>
                </c:pt>
                <c:pt idx="9">
                  <c:v>43</c:v>
                </c:pt>
                <c:pt idx="1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23-AD46-BEBC-1625C5D783BD}"/>
            </c:ext>
          </c:extLst>
        </c:ser>
        <c:ser>
          <c:idx val="4"/>
          <c:order val="3"/>
          <c:spPr>
            <a:solidFill>
              <a:schemeClr val="accent6">
                <a:shade val="61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simulation'!$L$35:$V$35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589</c:v>
                </c:pt>
                <c:pt idx="4">
                  <c:v>328</c:v>
                </c:pt>
                <c:pt idx="5">
                  <c:v>160</c:v>
                </c:pt>
                <c:pt idx="6">
                  <c:v>67</c:v>
                </c:pt>
                <c:pt idx="7">
                  <c:v>46</c:v>
                </c:pt>
                <c:pt idx="8">
                  <c:v>36</c:v>
                </c:pt>
                <c:pt idx="9">
                  <c:v>28</c:v>
                </c:pt>
                <c:pt idx="1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23-AD46-BEBC-1625C5D783BD}"/>
            </c:ext>
          </c:extLst>
        </c:ser>
        <c:ser>
          <c:idx val="5"/>
          <c:order val="4"/>
          <c:spPr>
            <a:solidFill>
              <a:schemeClr val="accent6">
                <a:shade val="68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simulation'!$L$36:$V$36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92</c:v>
                </c:pt>
                <c:pt idx="3">
                  <c:v>587</c:v>
                </c:pt>
                <c:pt idx="4">
                  <c:v>338</c:v>
                </c:pt>
                <c:pt idx="5">
                  <c:v>173</c:v>
                </c:pt>
                <c:pt idx="6">
                  <c:v>84</c:v>
                </c:pt>
                <c:pt idx="7">
                  <c:v>35</c:v>
                </c:pt>
                <c:pt idx="8">
                  <c:v>24</c:v>
                </c:pt>
                <c:pt idx="9">
                  <c:v>19</c:v>
                </c:pt>
                <c:pt idx="1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23-AD46-BEBC-1625C5D783BD}"/>
            </c:ext>
          </c:extLst>
        </c:ser>
        <c:ser>
          <c:idx val="6"/>
          <c:order val="5"/>
          <c:spPr>
            <a:solidFill>
              <a:schemeClr val="accent6">
                <a:shade val="74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simulation'!$L$37:$V$37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76</c:v>
                </c:pt>
                <c:pt idx="3">
                  <c:v>546</c:v>
                </c:pt>
                <c:pt idx="4">
                  <c:v>338</c:v>
                </c:pt>
                <c:pt idx="5">
                  <c:v>179</c:v>
                </c:pt>
                <c:pt idx="6">
                  <c:v>91</c:v>
                </c:pt>
                <c:pt idx="7">
                  <c:v>44</c:v>
                </c:pt>
                <c:pt idx="8">
                  <c:v>18</c:v>
                </c:pt>
                <c:pt idx="9">
                  <c:v>13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23-AD46-BEBC-1625C5D783BD}"/>
            </c:ext>
          </c:extLst>
        </c:ser>
        <c:ser>
          <c:idx val="7"/>
          <c:order val="6"/>
          <c:spPr>
            <a:solidFill>
              <a:schemeClr val="accent6">
                <a:shade val="80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simulation'!$L$38:$V$38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80</c:v>
                </c:pt>
                <c:pt idx="3">
                  <c:v>539</c:v>
                </c:pt>
                <c:pt idx="4">
                  <c:v>345</c:v>
                </c:pt>
                <c:pt idx="5">
                  <c:v>195</c:v>
                </c:pt>
                <c:pt idx="6">
                  <c:v>103</c:v>
                </c:pt>
                <c:pt idx="7">
                  <c:v>52</c:v>
                </c:pt>
                <c:pt idx="8">
                  <c:v>25</c:v>
                </c:pt>
                <c:pt idx="9">
                  <c:v>10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23-AD46-BEBC-1625C5D783BD}"/>
            </c:ext>
          </c:extLst>
        </c:ser>
        <c:ser>
          <c:idx val="8"/>
          <c:order val="7"/>
          <c:spPr>
            <a:solidFill>
              <a:schemeClr val="accent6">
                <a:shade val="87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simulation'!$L$39:$V$39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107</c:v>
                </c:pt>
                <c:pt idx="3">
                  <c:v>546</c:v>
                </c:pt>
                <c:pt idx="4">
                  <c:v>327</c:v>
                </c:pt>
                <c:pt idx="5">
                  <c:v>191</c:v>
                </c:pt>
                <c:pt idx="6">
                  <c:v>107</c:v>
                </c:pt>
                <c:pt idx="7">
                  <c:v>57</c:v>
                </c:pt>
                <c:pt idx="8">
                  <c:v>29</c:v>
                </c:pt>
                <c:pt idx="9">
                  <c:v>14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23-AD46-BEBC-1625C5D783BD}"/>
            </c:ext>
          </c:extLst>
        </c:ser>
        <c:ser>
          <c:idx val="9"/>
          <c:order val="8"/>
          <c:spPr>
            <a:solidFill>
              <a:schemeClr val="accent6">
                <a:shade val="93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simulation'!$L$40:$V$40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123</c:v>
                </c:pt>
                <c:pt idx="3">
                  <c:v>536</c:v>
                </c:pt>
                <c:pt idx="4">
                  <c:v>280</c:v>
                </c:pt>
                <c:pt idx="5">
                  <c:v>155</c:v>
                </c:pt>
                <c:pt idx="6">
                  <c:v>91</c:v>
                </c:pt>
                <c:pt idx="7">
                  <c:v>51</c:v>
                </c:pt>
                <c:pt idx="8">
                  <c:v>27</c:v>
                </c:pt>
                <c:pt idx="9">
                  <c:v>13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23-AD46-BEBC-1625C5D783BD}"/>
            </c:ext>
          </c:extLst>
        </c:ser>
        <c:ser>
          <c:idx val="10"/>
          <c:order val="9"/>
          <c:spPr>
            <a:solidFill>
              <a:schemeClr val="accent6"/>
            </a:solidFill>
            <a:ln w="25400">
              <a:noFill/>
            </a:ln>
            <a:effectLst/>
            <a:sp3d/>
          </c:spPr>
          <c:val>
            <c:numRef>
              <c:f>'CAA simulation'!$L$41:$V$41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115</c:v>
                </c:pt>
                <c:pt idx="3">
                  <c:v>537</c:v>
                </c:pt>
                <c:pt idx="4">
                  <c:v>264</c:v>
                </c:pt>
                <c:pt idx="5">
                  <c:v>129</c:v>
                </c:pt>
                <c:pt idx="6">
                  <c:v>71</c:v>
                </c:pt>
                <c:pt idx="7">
                  <c:v>41</c:v>
                </c:pt>
                <c:pt idx="8">
                  <c:v>23</c:v>
                </c:pt>
                <c:pt idx="9">
                  <c:v>12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23-AD46-BEBC-1625C5D783BD}"/>
            </c:ext>
          </c:extLst>
        </c:ser>
        <c:ser>
          <c:idx val="11"/>
          <c:order val="10"/>
          <c:spPr>
            <a:solidFill>
              <a:schemeClr val="accent6">
                <a:tint val="94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simulation'!$L$42:$V$42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124</c:v>
                </c:pt>
                <c:pt idx="3">
                  <c:v>540</c:v>
                </c:pt>
                <c:pt idx="4">
                  <c:v>268</c:v>
                </c:pt>
                <c:pt idx="5">
                  <c:v>122</c:v>
                </c:pt>
                <c:pt idx="6">
                  <c:v>59</c:v>
                </c:pt>
                <c:pt idx="7">
                  <c:v>33</c:v>
                </c:pt>
                <c:pt idx="8">
                  <c:v>19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23-AD46-BEBC-1625C5D783BD}"/>
            </c:ext>
          </c:extLst>
        </c:ser>
        <c:ser>
          <c:idx val="12"/>
          <c:order val="11"/>
          <c:spPr>
            <a:solidFill>
              <a:schemeClr val="accent6">
                <a:tint val="88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simulation'!$L$43:$V$43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153</c:v>
                </c:pt>
                <c:pt idx="3">
                  <c:v>518</c:v>
                </c:pt>
                <c:pt idx="4">
                  <c:v>242</c:v>
                </c:pt>
                <c:pt idx="5">
                  <c:v>112</c:v>
                </c:pt>
                <c:pt idx="6">
                  <c:v>51</c:v>
                </c:pt>
                <c:pt idx="7">
                  <c:v>24</c:v>
                </c:pt>
                <c:pt idx="8">
                  <c:v>13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E23-AD46-BEBC-1625C5D783BD}"/>
            </c:ext>
          </c:extLst>
        </c:ser>
        <c:ser>
          <c:idx val="13"/>
          <c:order val="12"/>
          <c:spPr>
            <a:solidFill>
              <a:schemeClr val="accent6">
                <a:tint val="81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simulation'!$L$44:$V$44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168</c:v>
                </c:pt>
                <c:pt idx="3">
                  <c:v>486</c:v>
                </c:pt>
                <c:pt idx="4">
                  <c:v>199</c:v>
                </c:pt>
                <c:pt idx="5">
                  <c:v>87</c:v>
                </c:pt>
                <c:pt idx="6">
                  <c:v>40</c:v>
                </c:pt>
                <c:pt idx="7">
                  <c:v>18</c:v>
                </c:pt>
                <c:pt idx="8">
                  <c:v>9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E23-AD46-BEBC-1625C5D783BD}"/>
            </c:ext>
          </c:extLst>
        </c:ser>
        <c:ser>
          <c:idx val="14"/>
          <c:order val="13"/>
          <c:spPr>
            <a:solidFill>
              <a:schemeClr val="accent6">
                <a:tint val="75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simulation'!$L$45:$V$45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173</c:v>
                </c:pt>
                <c:pt idx="3">
                  <c:v>465</c:v>
                </c:pt>
                <c:pt idx="4">
                  <c:v>175</c:v>
                </c:pt>
                <c:pt idx="5">
                  <c:v>68</c:v>
                </c:pt>
                <c:pt idx="6">
                  <c:v>29</c:v>
                </c:pt>
                <c:pt idx="7">
                  <c:v>13</c:v>
                </c:pt>
                <c:pt idx="8">
                  <c:v>6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E23-AD46-BEBC-1625C5D783BD}"/>
            </c:ext>
          </c:extLst>
        </c:ser>
        <c:ser>
          <c:idx val="15"/>
          <c:order val="14"/>
          <c:spPr>
            <a:solidFill>
              <a:schemeClr val="accent6">
                <a:tint val="69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simulation'!$L$46:$V$46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191</c:v>
                </c:pt>
                <c:pt idx="3">
                  <c:v>430</c:v>
                </c:pt>
                <c:pt idx="4">
                  <c:v>151</c:v>
                </c:pt>
                <c:pt idx="5">
                  <c:v>54</c:v>
                </c:pt>
                <c:pt idx="6">
                  <c:v>21</c:v>
                </c:pt>
                <c:pt idx="7">
                  <c:v>9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E23-AD46-BEBC-1625C5D783BD}"/>
            </c:ext>
          </c:extLst>
        </c:ser>
        <c:ser>
          <c:idx val="16"/>
          <c:order val="15"/>
          <c:spPr>
            <a:solidFill>
              <a:schemeClr val="accent6">
                <a:tint val="62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simulation'!$L$47:$V$47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210</c:v>
                </c:pt>
                <c:pt idx="3">
                  <c:v>385</c:v>
                </c:pt>
                <c:pt idx="4">
                  <c:v>119</c:v>
                </c:pt>
                <c:pt idx="5">
                  <c:v>40</c:v>
                </c:pt>
                <c:pt idx="6">
                  <c:v>14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E23-AD46-BEBC-1625C5D783BD}"/>
            </c:ext>
          </c:extLst>
        </c:ser>
        <c:ser>
          <c:idx val="17"/>
          <c:order val="16"/>
          <c:spPr>
            <a:solidFill>
              <a:schemeClr val="accent6">
                <a:tint val="56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simulation'!$L$48:$V$48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190</c:v>
                </c:pt>
                <c:pt idx="3">
                  <c:v>387</c:v>
                </c:pt>
                <c:pt idx="4">
                  <c:v>109</c:v>
                </c:pt>
                <c:pt idx="5">
                  <c:v>32</c:v>
                </c:pt>
                <c:pt idx="6">
                  <c:v>10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E23-AD46-BEBC-1625C5D783BD}"/>
            </c:ext>
          </c:extLst>
        </c:ser>
        <c:ser>
          <c:idx val="18"/>
          <c:order val="17"/>
          <c:spPr>
            <a:solidFill>
              <a:schemeClr val="accent6">
                <a:tint val="50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simulation'!$L$49:$V$49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167</c:v>
                </c:pt>
                <c:pt idx="3">
                  <c:v>394</c:v>
                </c:pt>
                <c:pt idx="4">
                  <c:v>121</c:v>
                </c:pt>
                <c:pt idx="5">
                  <c:v>32</c:v>
                </c:pt>
                <c:pt idx="6">
                  <c:v>9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E23-AD46-BEBC-1625C5D783BD}"/>
            </c:ext>
          </c:extLst>
        </c:ser>
        <c:ser>
          <c:idx val="19"/>
          <c:order val="18"/>
          <c:spPr>
            <a:solidFill>
              <a:schemeClr val="accent6">
                <a:tint val="43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simulation'!$L$50:$V$50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169</c:v>
                </c:pt>
                <c:pt idx="3">
                  <c:v>367</c:v>
                </c:pt>
                <c:pt idx="4">
                  <c:v>120</c:v>
                </c:pt>
                <c:pt idx="5">
                  <c:v>35</c:v>
                </c:pt>
                <c:pt idx="6">
                  <c:v>9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E23-AD46-BEBC-1625C5D783BD}"/>
            </c:ext>
          </c:extLst>
        </c:ser>
        <c:ser>
          <c:idx val="20"/>
          <c:order val="19"/>
          <c:spPr>
            <a:solidFill>
              <a:schemeClr val="accent6">
                <a:tint val="37000"/>
              </a:schemeClr>
            </a:solidFill>
            <a:ln w="25400">
              <a:noFill/>
            </a:ln>
            <a:effectLst/>
            <a:sp3d/>
          </c:spPr>
          <c:val>
            <c:numRef>
              <c:f>'CAA simulation'!$L$51:$V$51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176</c:v>
                </c:pt>
                <c:pt idx="3">
                  <c:v>319</c:v>
                </c:pt>
                <c:pt idx="4">
                  <c:v>98</c:v>
                </c:pt>
                <c:pt idx="5">
                  <c:v>30</c:v>
                </c:pt>
                <c:pt idx="6">
                  <c:v>8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E23-AD46-BEBC-1625C5D78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3296"/>
        <c:axId val="2106617488"/>
        <c:axId val="2093660736"/>
      </c:area3DChart>
      <c:catAx>
        <c:axId val="210751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</c:rich>
          </c:tx>
          <c:layout>
            <c:manualLayout>
              <c:xMode val="edge"/>
              <c:yMode val="edge"/>
              <c:x val="0.82086563250033728"/>
              <c:y val="0.8665790534903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  <c:auto val="1"/>
        <c:lblAlgn val="ctr"/>
        <c:lblOffset val="100"/>
        <c:noMultiLvlLbl val="0"/>
      </c:catAx>
      <c:valAx>
        <c:axId val="2106617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23649939293131897"/>
              <c:y val="0.7552534859284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13296"/>
        <c:crosses val="autoZero"/>
        <c:crossBetween val="midCat"/>
      </c:valAx>
      <c:serAx>
        <c:axId val="20936607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</a:p>
            </c:rich>
          </c:tx>
          <c:layout>
            <c:manualLayout>
              <c:xMode val="edge"/>
              <c:yMode val="edge"/>
              <c:x val="0.9356106933035655"/>
              <c:y val="0.57459901166973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748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494329</xdr:colOff>
      <xdr:row>10</xdr:row>
      <xdr:rowOff>20987</xdr:rowOff>
    </xdr:from>
    <xdr:to>
      <xdr:col>10</xdr:col>
      <xdr:colOff>150678</xdr:colOff>
      <xdr:row>26</xdr:row>
      <xdr:rowOff>161440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FEFA5C-3326-4646-8A51-3E8D91AD68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93313</xdr:colOff>
      <xdr:row>10</xdr:row>
      <xdr:rowOff>10762</xdr:rowOff>
    </xdr:from>
    <xdr:to>
      <xdr:col>22</xdr:col>
      <xdr:colOff>398220</xdr:colOff>
      <xdr:row>26</xdr:row>
      <xdr:rowOff>161441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F5A0C7-0E79-D149-BFDE-BA6B1B26A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189423</xdr:colOff>
      <xdr:row>40</xdr:row>
      <xdr:rowOff>0</xdr:rowOff>
    </xdr:from>
    <xdr:to>
      <xdr:col>37</xdr:col>
      <xdr:colOff>96864</xdr:colOff>
      <xdr:row>65</xdr:row>
      <xdr:rowOff>96864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AFDFAC5-D762-7544-B430-9E1C9BA92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119465</xdr:colOff>
      <xdr:row>39</xdr:row>
      <xdr:rowOff>151323</xdr:rowOff>
    </xdr:from>
    <xdr:to>
      <xdr:col>11</xdr:col>
      <xdr:colOff>150678</xdr:colOff>
      <xdr:row>58</xdr:row>
      <xdr:rowOff>43050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94CAABB-DEC6-4F41-80C6-36C6AB685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171450</xdr:colOff>
      <xdr:row>0</xdr:row>
      <xdr:rowOff>31750</xdr:rowOff>
    </xdr:from>
    <xdr:to>
      <xdr:col>26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06FB01-66BB-C643-8D81-D5278FB76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136364</xdr:colOff>
      <xdr:row>0</xdr:row>
      <xdr:rowOff>0</xdr:rowOff>
    </xdr:from>
    <xdr:to>
      <xdr:col>35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D2A32A-2C95-DB43-9311-89E38649D0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178661</xdr:colOff>
      <xdr:row>14</xdr:row>
      <xdr:rowOff>86103</xdr:rowOff>
    </xdr:from>
    <xdr:to>
      <xdr:col>31</xdr:col>
      <xdr:colOff>516610</xdr:colOff>
      <xdr:row>39</xdr:row>
      <xdr:rowOff>139916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764F4A-2A53-384A-95EE-7F0278F308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171450</xdr:colOff>
      <xdr:row>0</xdr:row>
      <xdr:rowOff>31750</xdr:rowOff>
    </xdr:from>
    <xdr:to>
      <xdr:col>27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D1203D-3250-8841-9030-3A99DC30BB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136364</xdr:colOff>
      <xdr:row>0</xdr:row>
      <xdr:rowOff>0</xdr:rowOff>
    </xdr:from>
    <xdr:to>
      <xdr:col>36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2ED3E1-93B9-0D40-9513-3AE33AD293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393915</xdr:colOff>
      <xdr:row>40</xdr:row>
      <xdr:rowOff>96864</xdr:rowOff>
    </xdr:from>
    <xdr:to>
      <xdr:col>21</xdr:col>
      <xdr:colOff>139915</xdr:colOff>
      <xdr:row>65</xdr:row>
      <xdr:rowOff>193728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64B333-2D19-0B4E-AE2A-9F25BD2853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36</xdr:col>
      <xdr:colOff>97079</xdr:colOff>
      <xdr:row>16</xdr:row>
      <xdr:rowOff>43269</xdr:rowOff>
    </xdr:from>
    <xdr:ext cx="2019399" cy="5148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5F575B3-0426-3E48-9B76-43A263FFC9A7}"/>
                </a:ext>
              </a:extLst>
            </xdr:cNvPr>
            <xdr:cNvSpPr txBox="1"/>
          </xdr:nvSpPr>
          <xdr:spPr>
            <a:xfrm>
              <a:off x="21267333" y="3358184"/>
              <a:ext cx="2019399" cy="514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5F575B3-0426-3E48-9B76-43A263FFC9A7}"/>
                </a:ext>
              </a:extLst>
            </xdr:cNvPr>
            <xdr:cNvSpPr txBox="1"/>
          </xdr:nvSpPr>
          <xdr:spPr>
            <a:xfrm>
              <a:off x="21267333" y="3358184"/>
              <a:ext cx="2019399" cy="514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𝐹_(𝑡,𝑎)=𝐹_𝑡 𝑣_𝑎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35</xdr:col>
      <xdr:colOff>279831</xdr:colOff>
      <xdr:row>46</xdr:row>
      <xdr:rowOff>75339</xdr:rowOff>
    </xdr:from>
    <xdr:ext cx="2738122" cy="5148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D8014DF-7A26-6140-9259-27E355A08A1F}"/>
                </a:ext>
              </a:extLst>
            </xdr:cNvPr>
            <xdr:cNvSpPr txBox="1"/>
          </xdr:nvSpPr>
          <xdr:spPr>
            <a:xfrm>
              <a:off x="20901187" y="9589576"/>
              <a:ext cx="2738122" cy="514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𝑀</m:t>
                    </m:r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D8014DF-7A26-6140-9259-27E355A08A1F}"/>
                </a:ext>
              </a:extLst>
            </xdr:cNvPr>
            <xdr:cNvSpPr txBox="1"/>
          </xdr:nvSpPr>
          <xdr:spPr>
            <a:xfrm>
              <a:off x="20901187" y="9589576"/>
              <a:ext cx="2738122" cy="514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𝑍_(𝑡,𝑎)=𝐹_(𝑡,𝑎)+𝑀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5</xdr:col>
      <xdr:colOff>129152</xdr:colOff>
      <xdr:row>14</xdr:row>
      <xdr:rowOff>10762</xdr:rowOff>
    </xdr:from>
    <xdr:ext cx="2804166" cy="5558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208A8F5-B272-D744-9808-F905DAFE1C41}"/>
                </a:ext>
              </a:extLst>
            </xdr:cNvPr>
            <xdr:cNvSpPr txBox="1"/>
          </xdr:nvSpPr>
          <xdr:spPr>
            <a:xfrm>
              <a:off x="4315847" y="2905931"/>
              <a:ext cx="2804166" cy="5558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</m:acc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208A8F5-B272-D744-9808-F905DAFE1C41}"/>
                </a:ext>
              </a:extLst>
            </xdr:cNvPr>
            <xdr:cNvSpPr txBox="1"/>
          </xdr:nvSpPr>
          <xdr:spPr>
            <a:xfrm>
              <a:off x="4315847" y="2905931"/>
              <a:ext cx="2804166" cy="5558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𝐹_𝑡=(𝐹 ̅+𝜎_(𝐹,𝑡) )</a:t>
              </a:r>
              <a:endParaRPr lang="en-US" sz="3200"/>
            </a:p>
          </xdr:txBody>
        </xdr:sp>
      </mc:Fallback>
    </mc:AlternateContent>
    <xdr:clientData/>
  </xdr:oneCellAnchor>
  <xdr:twoCellAnchor>
    <xdr:from>
      <xdr:col>35</xdr:col>
      <xdr:colOff>118390</xdr:colOff>
      <xdr:row>22</xdr:row>
      <xdr:rowOff>53813</xdr:rowOff>
    </xdr:from>
    <xdr:to>
      <xdr:col>48</xdr:col>
      <xdr:colOff>355168</xdr:colOff>
      <xdr:row>45</xdr:row>
      <xdr:rowOff>43051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3AE48C-2DF0-644A-8734-FADD7CBA1A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184042</xdr:colOff>
      <xdr:row>40</xdr:row>
      <xdr:rowOff>119036</xdr:rowOff>
    </xdr:from>
    <xdr:to>
      <xdr:col>10</xdr:col>
      <xdr:colOff>192653</xdr:colOff>
      <xdr:row>53</xdr:row>
      <xdr:rowOff>203846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D90650C-D5E4-7A48-B4D0-3BB04CBC8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171450</xdr:colOff>
      <xdr:row>0</xdr:row>
      <xdr:rowOff>31750</xdr:rowOff>
    </xdr:from>
    <xdr:to>
      <xdr:col>26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1AFEEF-4ABE-5846-815D-B287A48F64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136364</xdr:colOff>
      <xdr:row>0</xdr:row>
      <xdr:rowOff>0</xdr:rowOff>
    </xdr:from>
    <xdr:to>
      <xdr:col>35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DC0B6-8E4A-BD45-A0BE-32F732E46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189423</xdr:colOff>
      <xdr:row>40</xdr:row>
      <xdr:rowOff>0</xdr:rowOff>
    </xdr:from>
    <xdr:to>
      <xdr:col>37</xdr:col>
      <xdr:colOff>96864</xdr:colOff>
      <xdr:row>65</xdr:row>
      <xdr:rowOff>96864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DA943C-2CDC-4548-A41C-5F1CA99D5C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11</xdr:col>
      <xdr:colOff>107627</xdr:colOff>
      <xdr:row>40</xdr:row>
      <xdr:rowOff>172203</xdr:rowOff>
    </xdr:from>
    <xdr:ext cx="5390706" cy="12790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11BEF34-6DE5-9B47-9AD3-2868AD468E5C}"/>
                </a:ext>
              </a:extLst>
            </xdr:cNvPr>
            <xdr:cNvSpPr txBox="1"/>
          </xdr:nvSpPr>
          <xdr:spPr>
            <a:xfrm>
              <a:off x="9062203" y="8459491"/>
              <a:ext cx="5390706" cy="12790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+1,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=1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</m:sub>
                              </m:sSub>
                              <m:sSup>
                                <m:sSup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𝑍</m:t>
                                      </m:r>
                                    </m:e>
                                    <m:sub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𝑡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,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𝑎</m:t>
                                      </m:r>
                                    </m:sub>
                                  </m:sSub>
                                </m:sup>
                              </m:sSup>
                            </m:e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&gt;1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11BEF34-6DE5-9B47-9AD3-2868AD468E5C}"/>
                </a:ext>
              </a:extLst>
            </xdr:cNvPr>
            <xdr:cNvSpPr txBox="1"/>
          </xdr:nvSpPr>
          <xdr:spPr>
            <a:xfrm>
              <a:off x="9062203" y="8459491"/>
              <a:ext cx="5390706" cy="12790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𝑁_(𝑡+1,𝑎+1)={■8(𝑅_𝑡&amp;𝑁_(𝑡,𝑎=1)@𝑁_(𝑡,𝑎) 𝑒^(−𝑍_(𝑡,𝑎) )&amp;𝑁_(𝑡,𝑎&gt;1) )┤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9</xdr:col>
      <xdr:colOff>269068</xdr:colOff>
      <xdr:row>10</xdr:row>
      <xdr:rowOff>43050</xdr:rowOff>
    </xdr:from>
    <xdr:ext cx="2376548" cy="1005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3FBE23C-6CE6-DC4F-81C7-7A4866CB805E}"/>
                </a:ext>
              </a:extLst>
            </xdr:cNvPr>
            <xdr:cNvSpPr txBox="1"/>
          </xdr:nvSpPr>
          <xdr:spPr>
            <a:xfrm>
              <a:off x="8061271" y="2109491"/>
              <a:ext cx="2376548" cy="1005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  <m:sSub>
                          <m:sSub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𝑏</m:t>
                        </m:r>
                        <m:sSub>
                          <m:sSub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3FBE23C-6CE6-DC4F-81C7-7A4866CB805E}"/>
                </a:ext>
              </a:extLst>
            </xdr:cNvPr>
            <xdr:cNvSpPr txBox="1"/>
          </xdr:nvSpPr>
          <xdr:spPr>
            <a:xfrm>
              <a:off x="8061271" y="2109491"/>
              <a:ext cx="2376548" cy="1005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𝑅_𝑡=(𝑎𝐸_𝑡)/(1+𝑏𝐸_𝑡 )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11</xdr:col>
      <xdr:colOff>0</xdr:colOff>
      <xdr:row>50</xdr:row>
      <xdr:rowOff>0</xdr:rowOff>
    </xdr:from>
    <xdr:ext cx="8053102" cy="18234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73ADFBD-3ED2-2647-BBFD-BE8D0503FA3F}"/>
                </a:ext>
              </a:extLst>
            </xdr:cNvPr>
            <xdr:cNvSpPr txBox="1"/>
          </xdr:nvSpPr>
          <xdr:spPr>
            <a:xfrm>
              <a:off x="8954576" y="10332203"/>
              <a:ext cx="8053102" cy="18234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+1,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=1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</m:sub>
                              </m:sSub>
                              <m:sSup>
                                <m:sSup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𝑍</m:t>
                                      </m:r>
                                    </m:e>
                                    <m:sub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𝑡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,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𝑎</m:t>
                                      </m:r>
                                    </m:sub>
                                  </m:sSub>
                                </m:sup>
                              </m:sSup>
                            </m:e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&gt;1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</m:sub>
                              </m:sSub>
                              <m:sSup>
                                <m:sSup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𝑍</m:t>
                                      </m:r>
                                    </m:e>
                                    <m:sub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𝑡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,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𝑎</m:t>
                                      </m:r>
                                    </m:sub>
                                  </m:sSub>
                                </m:sup>
                              </m:sSup>
                              <m:r>
                                <a:rPr lang="en-US" sz="32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−1,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</m:sub>
                              </m:sSub>
                              <m:sSup>
                                <m:sSup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𝑍</m:t>
                                      </m:r>
                                    </m:e>
                                    <m:sub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𝑡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,</m:t>
                                      </m:r>
                                      <m:r>
                                        <a:rPr lang="en-US" sz="3200" b="0" i="1">
                                          <a:latin typeface="Cambria Math" panose="02040503050406030204" pitchFamily="18" charset="0"/>
                                        </a:rPr>
                                        <m:t>𝑎</m:t>
                                      </m:r>
                                    </m:sub>
                                  </m:sSub>
                                </m:sup>
                              </m:sSup>
                            </m:e>
                            <m:e>
                              <m:sSub>
                                <m:sSubPr>
                                  <m:ctrlP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=</m:t>
                                  </m:r>
                                  <m:r>
                                    <a:rPr lang="en-US" sz="3200" b="0" i="1">
                                      <a:latin typeface="Cambria Math" panose="02040503050406030204" pitchFamily="18" charset="0"/>
                                    </a:rPr>
                                    <m:t>𝐴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73ADFBD-3ED2-2647-BBFD-BE8D0503FA3F}"/>
                </a:ext>
              </a:extLst>
            </xdr:cNvPr>
            <xdr:cNvSpPr txBox="1"/>
          </xdr:nvSpPr>
          <xdr:spPr>
            <a:xfrm>
              <a:off x="8954576" y="10332203"/>
              <a:ext cx="8053102" cy="18234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𝑁_(𝑡+1,𝑎+1)={■8(𝑅_𝑡&amp;𝑁_(𝑡,𝑎=1)@𝑁_(𝑡,𝑎) 𝑒^(−𝑍_(𝑡,𝑎) )&amp;𝑁_(𝑡,𝑎&gt;1)@𝑁_(𝑡,𝑎) 𝑒^(−𝑍_(𝑡,𝑎) )+𝑁_(𝑡−1,𝑎) 𝑒^(−𝑍_(𝑡,𝑎) )&amp;𝑁_(𝑡,𝑎=𝐴) )┤</a:t>
              </a:r>
              <a:endParaRPr lang="en-US" sz="32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171450</xdr:colOff>
      <xdr:row>0</xdr:row>
      <xdr:rowOff>31750</xdr:rowOff>
    </xdr:from>
    <xdr:to>
      <xdr:col>26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222768-5259-3542-B838-D3835F2BE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136364</xdr:colOff>
      <xdr:row>0</xdr:row>
      <xdr:rowOff>0</xdr:rowOff>
    </xdr:from>
    <xdr:to>
      <xdr:col>35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A5FCDF-A223-AB48-99C8-024D1BC76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189423</xdr:colOff>
      <xdr:row>40</xdr:row>
      <xdr:rowOff>0</xdr:rowOff>
    </xdr:from>
    <xdr:to>
      <xdr:col>37</xdr:col>
      <xdr:colOff>96864</xdr:colOff>
      <xdr:row>65</xdr:row>
      <xdr:rowOff>96864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39765F-2BEB-1C46-8ADF-0B5F7D0755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64</xdr:col>
      <xdr:colOff>247541</xdr:colOff>
      <xdr:row>16</xdr:row>
      <xdr:rowOff>43052</xdr:rowOff>
    </xdr:from>
    <xdr:ext cx="5155963" cy="11065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A1ADC10-D24E-3F4C-88DA-AB010E09E1FF}"/>
                </a:ext>
              </a:extLst>
            </xdr:cNvPr>
            <xdr:cNvSpPr txBox="1"/>
          </xdr:nvSpPr>
          <xdr:spPr>
            <a:xfrm>
              <a:off x="35697106" y="3300878"/>
              <a:ext cx="5155963" cy="1106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</m:acc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sub>
                            </m:sSub>
                          </m:den>
                        </m:f>
                      </m:e>
                    </m:d>
                    <m:d>
                      <m:d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sub>
                            </m:sSub>
                          </m:sup>
                        </m:sSup>
                      </m:e>
                    </m:d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A1ADC10-D24E-3F4C-88DA-AB010E09E1FF}"/>
                </a:ext>
              </a:extLst>
            </xdr:cNvPr>
            <xdr:cNvSpPr txBox="1"/>
          </xdr:nvSpPr>
          <xdr:spPr>
            <a:xfrm>
              <a:off x="35697106" y="3300878"/>
              <a:ext cx="5155963" cy="1106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3200" b="0" i="0">
                  <a:latin typeface="Cambria Math" panose="02040503050406030204" pitchFamily="18" charset="0"/>
                </a:rPr>
                <a:t>𝐶 ̂_(𝑡,𝑎)=(𝐹_(𝑡,𝑎)/𝑍_(𝑡,𝑎) )(〖1−𝑒〗^(−𝑍_(𝑡,𝑎) ) ) 𝑁_(𝑡,𝑎)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64</xdr:col>
      <xdr:colOff>236781</xdr:colOff>
      <xdr:row>41</xdr:row>
      <xdr:rowOff>53816</xdr:rowOff>
    </xdr:from>
    <xdr:ext cx="8935203" cy="12364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279B8D5-E1CD-A741-BB3D-92EF4D4ED186}"/>
                </a:ext>
              </a:extLst>
            </xdr:cNvPr>
            <xdr:cNvSpPr txBox="1"/>
          </xdr:nvSpPr>
          <xdr:spPr>
            <a:xfrm>
              <a:off x="35818306" y="8567121"/>
              <a:ext cx="8935203" cy="1236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latin typeface="Cambria Math" panose="02040503050406030204" pitchFamily="18" charset="0"/>
                      </a:rPr>
                      <m:t>𝐿</m:t>
                    </m:r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𝐶𝐶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=−</m:t>
                    </m:r>
                    <m:func>
                      <m:func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3200" b="0" i="0">
                            <a:latin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d>
                          <m:d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𝐶𝐶</m:t>
                                </m:r>
                              </m:sub>
                            </m:sSub>
                          </m:e>
                        </m:d>
                      </m:e>
                    </m:func>
                    <m:r>
                      <a:rPr lang="en-US" sz="3200" b="0" i="1">
                        <a:latin typeface="Cambria Math" panose="02040503050406030204" pitchFamily="18" charset="0"/>
                      </a:rPr>
                      <m:t>−0.5</m:t>
                    </m:r>
                    <m:sSup>
                      <m:sSup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n-US" sz="3200" b="0" i="0">
                                        <a:latin typeface="Cambria Math" panose="02040503050406030204" pitchFamily="18" charset="0"/>
                                      </a:rPr>
                                      <m:t>log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𝐶</m:t>
                                            </m:r>
                                          </m:e>
                                          <m:sub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𝑡</m:t>
                                            </m:r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,</m:t>
                                            </m:r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𝑎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n-US" sz="3200" b="0" i="0">
                                        <a:latin typeface="Cambria Math" panose="02040503050406030204" pitchFamily="18" charset="0"/>
                                      </a:rPr>
                                      <m:t>log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acc>
                                              <m:accPr>
                                                <m:chr m:val="̂"/>
                                                <m:ctrlPr>
                                                  <a:rPr lang="en-US" sz="3200" b="0" i="1">
                                                    <a:latin typeface="Cambria Math" panose="02040503050406030204" pitchFamily="18" charset="0"/>
                                                  </a:rPr>
                                                </m:ctrlPr>
                                              </m:accPr>
                                              <m:e>
                                                <m:r>
                                                  <a:rPr lang="en-US" sz="3200" b="0" i="1">
                                                    <a:latin typeface="Cambria Math" panose="02040503050406030204" pitchFamily="18" charset="0"/>
                                                  </a:rPr>
                                                  <m:t>𝐶</m:t>
                                                </m:r>
                                              </m:e>
                                            </m:acc>
                                          </m:e>
                                          <m:sub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𝑡</m:t>
                                            </m:r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,</m:t>
                                            </m:r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𝑎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</m:num>
                              <m:den>
                                <m:sSub>
                                  <m:sSub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𝐶𝐶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279B8D5-E1CD-A741-BB3D-92EF4D4ED186}"/>
                </a:ext>
              </a:extLst>
            </xdr:cNvPr>
            <xdr:cNvSpPr txBox="1"/>
          </xdr:nvSpPr>
          <xdr:spPr>
            <a:xfrm>
              <a:off x="35818306" y="8567121"/>
              <a:ext cx="8935203" cy="1236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𝐿𝐿_(𝐶𝐶,𝑡,𝑎)=−log⁡(𝜎_𝐶𝐶 )−0.5[(log⁡(𝐶_(𝑡,𝑎) )−log⁡(𝐶 ̂_(𝑡,𝑎) ))/𝜎_𝐶𝐶 ]^2</a:t>
              </a:r>
              <a:endParaRPr lang="en-US" sz="32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171450</xdr:colOff>
      <xdr:row>0</xdr:row>
      <xdr:rowOff>31750</xdr:rowOff>
    </xdr:from>
    <xdr:to>
      <xdr:col>27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F1223E-623B-8E4C-BBD1-3FB9BA8401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136364</xdr:colOff>
      <xdr:row>0</xdr:row>
      <xdr:rowOff>0</xdr:rowOff>
    </xdr:from>
    <xdr:to>
      <xdr:col>36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A2AEF0-D7BF-CF46-8895-751B50499E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189423</xdr:colOff>
      <xdr:row>40</xdr:row>
      <xdr:rowOff>0</xdr:rowOff>
    </xdr:from>
    <xdr:to>
      <xdr:col>38</xdr:col>
      <xdr:colOff>96864</xdr:colOff>
      <xdr:row>65</xdr:row>
      <xdr:rowOff>96864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303FC2-1B57-F248-A727-4CA4ABB95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4</xdr:col>
      <xdr:colOff>398220</xdr:colOff>
      <xdr:row>10</xdr:row>
      <xdr:rowOff>75339</xdr:rowOff>
    </xdr:from>
    <xdr:ext cx="8713667" cy="10849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F4B2180-FBD5-124C-B213-628929E39012}"/>
                </a:ext>
              </a:extLst>
            </xdr:cNvPr>
            <xdr:cNvSpPr txBox="1"/>
          </xdr:nvSpPr>
          <xdr:spPr>
            <a:xfrm>
              <a:off x="3627034" y="2141780"/>
              <a:ext cx="8713667" cy="1084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~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0,</m:t>
                        </m:r>
                        <m:sSub>
                          <m:sSub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32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latin typeface="Cambria Math" panose="02040503050406030204" pitchFamily="18" charset="0"/>
                      </a:rPr>
                      <m:t>𝐿</m:t>
                    </m:r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sSub>
                          <m:sSub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sub>
                        </m:sSub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=−0.5</m:t>
                    </m:r>
                    <m:func>
                      <m:func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3200" b="0" i="0">
                            <a:latin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d>
                          <m:d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</m:e>
                        </m:d>
                      </m:e>
                    </m:func>
                    <m:r>
                      <a:rPr lang="en-US" sz="3200" b="0" i="1">
                        <a:latin typeface="Cambria Math" panose="02040503050406030204" pitchFamily="18" charset="0"/>
                      </a:rPr>
                      <m:t>−0.5</m:t>
                    </m:r>
                    <m:d>
                      <m:d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unc>
                          <m:func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3200" b="0" i="0">
                                <a:latin typeface="Cambria Math" panose="02040503050406030204" pitchFamily="18" charset="0"/>
                              </a:rPr>
                              <m:t>log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𝐹</m:t>
                                    </m:r>
                                  </m:sub>
                                  <m:sup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d>
                          </m:e>
                        </m:func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sub>
                          <m:sup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n-US" sz="3200" b="0" i="0">
                                <a:latin typeface="Cambria Math" panose="02040503050406030204" pitchFamily="18" charset="0"/>
                              </a:rPr>
                              <m:t>Σ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p>
                        </m:sSubSup>
                        <m:sSub>
                          <m:sSub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F4B2180-FBD5-124C-B213-628929E39012}"/>
                </a:ext>
              </a:extLst>
            </xdr:cNvPr>
            <xdr:cNvSpPr txBox="1"/>
          </xdr:nvSpPr>
          <xdr:spPr>
            <a:xfrm>
              <a:off x="3627034" y="2141780"/>
              <a:ext cx="8713667" cy="1084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𝜎_(𝐹,𝑡)~𝑁(0,𝜎_𝐹 )</a:t>
              </a:r>
              <a:endParaRPr lang="en-US" sz="3200" b="0"/>
            </a:p>
            <a:p>
              <a:r>
                <a:rPr lang="en-US" sz="3200" b="0" i="0">
                  <a:latin typeface="Cambria Math" panose="02040503050406030204" pitchFamily="18" charset="0"/>
                </a:rPr>
                <a:t>𝐿𝐿_(𝜎_𝐹 )=−0.5 log⁡(2𝜋)−0.5(log⁡(𝜎_𝐹^2 )+𝜎_𝐹^2 Σ_(𝑡=1)^𝑇 𝜎_(𝐹,𝑡) )</a:t>
              </a:r>
              <a:endParaRPr lang="en-US" sz="32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171450</xdr:colOff>
      <xdr:row>0</xdr:row>
      <xdr:rowOff>31750</xdr:rowOff>
    </xdr:from>
    <xdr:to>
      <xdr:col>28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FFBFA6-698E-5C4C-9017-8F2C166EC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136364</xdr:colOff>
      <xdr:row>0</xdr:row>
      <xdr:rowOff>0</xdr:rowOff>
    </xdr:from>
    <xdr:to>
      <xdr:col>37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48C652-5ECF-1948-B911-AF819FD36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189423</xdr:colOff>
      <xdr:row>40</xdr:row>
      <xdr:rowOff>0</xdr:rowOff>
    </xdr:from>
    <xdr:to>
      <xdr:col>39</xdr:col>
      <xdr:colOff>96864</xdr:colOff>
      <xdr:row>65</xdr:row>
      <xdr:rowOff>96864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A79D2A-6765-2242-8415-A35959ABBE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4</xdr:col>
      <xdr:colOff>32288</xdr:colOff>
      <xdr:row>9</xdr:row>
      <xdr:rowOff>75339</xdr:rowOff>
    </xdr:from>
    <xdr:ext cx="10653814" cy="12364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8B47714-5E02-F54F-9940-ACA37044B54E}"/>
                </a:ext>
              </a:extLst>
            </xdr:cNvPr>
            <xdr:cNvSpPr txBox="1"/>
          </xdr:nvSpPr>
          <xdr:spPr>
            <a:xfrm>
              <a:off x="4455763" y="1937288"/>
              <a:ext cx="10653814" cy="1236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latin typeface="Cambria Math" panose="02040503050406030204" pitchFamily="18" charset="0"/>
                      </a:rPr>
                      <m:t>𝐿</m:t>
                    </m:r>
                    <m:sSub>
                      <m:sSub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𝐶𝑃𝑈𝐸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3200" b="0" i="1">
                        <a:latin typeface="Cambria Math" panose="02040503050406030204" pitchFamily="18" charset="0"/>
                      </a:rPr>
                      <m:t>=−</m:t>
                    </m:r>
                    <m:func>
                      <m:func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3200" b="0" i="0">
                            <a:latin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d>
                          <m:dPr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𝐶𝑃𝑈𝐸</m:t>
                                </m:r>
                              </m:sub>
                            </m:sSub>
                          </m:e>
                        </m:d>
                      </m:e>
                    </m:func>
                    <m:r>
                      <a:rPr lang="en-US" sz="3200" b="0" i="1">
                        <a:latin typeface="Cambria Math" panose="02040503050406030204" pitchFamily="18" charset="0"/>
                      </a:rPr>
                      <m:t>−0.5</m:t>
                    </m:r>
                    <m:sSup>
                      <m:sSup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n-US" sz="3200" b="0" i="0">
                                        <a:latin typeface="Cambria Math" panose="02040503050406030204" pitchFamily="18" charset="0"/>
                                      </a:rPr>
                                      <m:t>log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  <m:t>𝐶𝑃𝑈𝐸</m:t>
                                        </m:r>
                                      </m:e>
                                    </m:d>
                                  </m:e>
                                </m:func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n-US" sz="3200" b="0" i="0">
                                        <a:latin typeface="Cambria Math" panose="02040503050406030204" pitchFamily="18" charset="0"/>
                                      </a:rPr>
                                      <m:t>log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acc>
                                              <m:accPr>
                                                <m:chr m:val="̂"/>
                                                <m:ctrlPr>
                                                  <a:rPr lang="en-US" sz="3200" b="0" i="1">
                                                    <a:latin typeface="Cambria Math" panose="02040503050406030204" pitchFamily="18" charset="0"/>
                                                  </a:rPr>
                                                </m:ctrlPr>
                                              </m:accPr>
                                              <m:e>
                                                <m:r>
                                                  <a:rPr lang="en-US" sz="3200" b="0" i="1">
                                                    <a:latin typeface="Cambria Math" panose="02040503050406030204" pitchFamily="18" charset="0"/>
                                                  </a:rPr>
                                                  <m:t>𝐶𝑃𝑈𝐸</m:t>
                                                </m:r>
                                              </m:e>
                                            </m:acc>
                                          </m:e>
                                          <m:sub>
                                            <m:r>
                                              <a:rPr lang="en-US" sz="3200" b="0" i="1">
                                                <a:latin typeface="Cambria Math" panose="02040503050406030204" pitchFamily="18" charset="0"/>
                                              </a:rPr>
                                              <m:t>𝑡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</m:num>
                              <m:den>
                                <m:sSub>
                                  <m:sSub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𝐶𝑃𝑈𝐸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8B47714-5E02-F54F-9940-ACA37044B54E}"/>
                </a:ext>
              </a:extLst>
            </xdr:cNvPr>
            <xdr:cNvSpPr txBox="1"/>
          </xdr:nvSpPr>
          <xdr:spPr>
            <a:xfrm>
              <a:off x="4455763" y="1937288"/>
              <a:ext cx="10653814" cy="1236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𝐿𝐿_(𝐶𝑃𝑈𝐸,𝑡)=−log⁡(𝜎_𝐶𝑃𝑈𝐸 )−0.5[(log⁡(𝐶𝑃𝑈𝐸)−log⁡((𝐶𝑃𝑈𝐸) ̂_𝑡 ))/𝜎_𝐶𝑃𝑈𝐸 ]^2</a:t>
              </a:r>
              <a:endParaRPr lang="en-US" sz="32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171450</xdr:colOff>
      <xdr:row>0</xdr:row>
      <xdr:rowOff>31750</xdr:rowOff>
    </xdr:from>
    <xdr:to>
      <xdr:col>28</xdr:col>
      <xdr:colOff>430508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E04026-393E-ED41-A145-FB26643F24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136364</xdr:colOff>
      <xdr:row>0</xdr:row>
      <xdr:rowOff>0</xdr:rowOff>
    </xdr:from>
    <xdr:to>
      <xdr:col>37</xdr:col>
      <xdr:colOff>118390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4DE380-403B-F24A-BD04-542A37600F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189423</xdr:colOff>
      <xdr:row>40</xdr:row>
      <xdr:rowOff>0</xdr:rowOff>
    </xdr:from>
    <xdr:to>
      <xdr:col>39</xdr:col>
      <xdr:colOff>96864</xdr:colOff>
      <xdr:row>65</xdr:row>
      <xdr:rowOff>96864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9DF1AF-49D4-314A-A8F0-D77701ADF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33364</xdr:colOff>
      <xdr:row>42</xdr:row>
      <xdr:rowOff>97509</xdr:rowOff>
    </xdr:from>
    <xdr:to>
      <xdr:col>22</xdr:col>
      <xdr:colOff>344407</xdr:colOff>
      <xdr:row>60</xdr:row>
      <xdr:rowOff>215254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1A0317-4736-4445-9BC9-4F78A14F73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412750</xdr:colOff>
      <xdr:row>27</xdr:row>
      <xdr:rowOff>184150</xdr:rowOff>
    </xdr:from>
    <xdr:to>
      <xdr:col>7</xdr:col>
      <xdr:colOff>635000</xdr:colOff>
      <xdr:row>52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4BCB95-F2D2-C547-B8CE-2DE44679E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241300</xdr:colOff>
      <xdr:row>28</xdr:row>
      <xdr:rowOff>12700</xdr:rowOff>
    </xdr:from>
    <xdr:to>
      <xdr:col>27</xdr:col>
      <xdr:colOff>875224</xdr:colOff>
      <xdr:row>53</xdr:row>
      <xdr:rowOff>152614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8CE5DE-88EF-074F-9AD5-BF55FA1FCB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12700</xdr:colOff>
      <xdr:row>1</xdr:row>
      <xdr:rowOff>25400</xdr:rowOff>
    </xdr:from>
    <xdr:ext cx="4288418" cy="5623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53D97DE-BE0A-724E-AA64-4AF0D5BCC4C8}"/>
                </a:ext>
              </a:extLst>
            </xdr:cNvPr>
            <xdr:cNvSpPr txBox="1"/>
          </xdr:nvSpPr>
          <xdr:spPr>
            <a:xfrm>
              <a:off x="12700" y="228600"/>
              <a:ext cx="4288418" cy="5623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en-US" sz="2000" b="0" i="0">
                                <a:latin typeface="Cambria Math" panose="02040503050406030204" pitchFamily="18" charset="0"/>
                              </a:rPr>
                              <m:t>walk</m:t>
                            </m:r>
                          </m:sub>
                        </m:s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func>
                      <m:func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2000" b="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d>
                          <m:dPr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</a:rPr>
                                  <m:t>𝜋</m:t>
                                </m:r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</a:rPr>
                                  <m:t>∗</m:t>
                                </m:r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num>
                              <m:den>
                                <m:r>
                                  <m:rPr>
                                    <m:nor/>
                                  </m:rPr>
                                  <a:rPr lang="en-US" sz="2000" b="0" i="0">
                                    <a:latin typeface="Cambria Math" panose="02040503050406030204" pitchFamily="18" charset="0"/>
                                  </a:rPr>
                                  <m:t>scale</m:t>
                                </m:r>
                              </m:den>
                            </m:f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m:rPr>
                                <m:nor/>
                              </m:rPr>
                              <a:rPr lang="en-US" sz="2000" b="0" i="0">
                                <a:latin typeface="Cambria Math" panose="02040503050406030204" pitchFamily="18" charset="0"/>
                              </a:rPr>
                              <m:t>xpos</m:t>
                            </m:r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</m:e>
                        </m:d>
                      </m:e>
                    </m:func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53D97DE-BE0A-724E-AA64-4AF0D5BCC4C8}"/>
                </a:ext>
              </a:extLst>
            </xdr:cNvPr>
            <xdr:cNvSpPr txBox="1"/>
          </xdr:nvSpPr>
          <xdr:spPr>
            <a:xfrm>
              <a:off x="12700" y="228600"/>
              <a:ext cx="4288418" cy="5623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</a:rPr>
                <a:t>〖𝐹_"walk" =𝜔〗_𝑡=𝐹 ̅ sin⁡((𝜋∗𝑡)/"scale" +"xpos" ∗𝜋)</a:t>
              </a:r>
              <a:endParaRPr lang="en-US" sz="20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Zachary Siders" id="{11EAC0A6-BEB8-5B4F-8317-A8FBC23706A8}" userId="Zachary Sider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6D0F565D-6938-7242-9EB0-02BFB29B9C82}">
    <text>assumes exponential relationship between length-weight W = aL^b</text>
  </threadedComment>
  <threadedComment ref="B2" dT="2022-03-16T14:22:15.86" personId="{11EAC0A6-BEB8-5B4F-8317-A8FBC23706A8}" id="{0F52AC46-E228-C040-9676-8F27B8DC1206}">
    <text>length-weight unit converter</text>
  </threadedComment>
  <threadedComment ref="B3" dT="2022-03-16T14:22:33.51" personId="{11EAC0A6-BEB8-5B4F-8317-A8FBC23706A8}" id="{ADF70D6B-57F9-994C-907B-026E15EF2428}">
    <text>length-weight allometric scalar</text>
  </threadedComment>
  <threadedComment ref="R3" dT="2022-03-18T17:47:24.18" personId="{11EAC0A6-BEB8-5B4F-8317-A8FBC23706A8}" id="{B42CB9B1-889F-1945-AADB-467E524A30ED}">
    <text>Assume a maximum age</text>
  </threadedComment>
  <threadedComment ref="A4" dT="2022-03-16T14:24:11.94" personId="{11EAC0A6-BEB8-5B4F-8317-A8FBC23706A8}" id="{09F09BBF-D853-2140-9F49-6111B2A73E04}">
    <text>assumes von Bertalanffy growth function (1934) for size at birth formulation: L_a = Linf - (Linf-Lo)*exp(-k*age)</text>
  </threadedComment>
  <threadedComment ref="B4" dT="2022-03-16T14:23:10.03" personId="{11EAC0A6-BEB8-5B4F-8317-A8FBC23706A8}" id="{BBCF75B6-DEE2-1F45-A1E1-8893253C6B8F}">
    <text>asymptotic maximum length (mean maximum length)</text>
  </threadedComment>
  <threadedComment ref="B5" dT="2022-03-16T14:23:23.28" personId="{11EAC0A6-BEB8-5B4F-8317-A8FBC23706A8}" id="{1A325E29-4DE8-C242-9E51-1BB0C798E02F}">
    <text>Brody growth coefficient</text>
  </threadedComment>
  <threadedComment ref="B6" dT="2022-03-16T14:23:30.34" personId="{11EAC0A6-BEB8-5B4F-8317-A8FBC23706A8}" id="{5CE880C1-D741-CF48-9A05-F821609EAD05}">
    <text>size at birth</text>
  </threadedComment>
  <threadedComment ref="A7" dT="2022-03-16T14:25:50.82" personId="{11EAC0A6-BEB8-5B4F-8317-A8FBC23706A8}" id="{016BE104-88D3-9C48-82E7-DEF17295E276}">
    <text>assumes Fec = max(0, W-Wmat)</text>
  </threadedComment>
  <threadedComment ref="G7" dT="2022-03-16T14:31:55.67" personId="{11EAC0A6-BEB8-5B4F-8317-A8FBC23706A8}" id="{2F78EB39-7155-0F45-9DA3-52B2E8C46126}">
    <text>vulnerability at age</text>
  </threadedComment>
  <threadedComment ref="A8" dT="2022-03-16T14:26:07.77" personId="{11EAC0A6-BEB8-5B4F-8317-A8FBC23706A8}" id="{16668ADE-20EF-264E-9858-0AA1586CE159}">
    <text>constant mortality across ages</text>
  </threadedComment>
  <threadedComment ref="G8" dT="2022-03-16T14:32:10.54" personId="{11EAC0A6-BEB8-5B4F-8317-A8FBC23706A8}" id="{624AA30C-6842-8645-8C32-03C10A3FF1E9}">
    <text>survivorship in the unfished condition</text>
  </threadedComment>
  <threadedComment ref="A9" dT="2022-03-16T14:26:20.68" personId="{11EAC0A6-BEB8-5B4F-8317-A8FBC23706A8}" id="{23AFEAA0-9CC6-FA45-9F58-6559E4487ABE}">
    <text>assumes logistic vulnerability</text>
  </threadedComment>
  <threadedComment ref="G9" dT="2022-03-16T14:32:20.30" personId="{11EAC0A6-BEB8-5B4F-8317-A8FBC23706A8}" id="{33D945B9-7378-FA42-B75E-369AB53B621B}">
    <text>survivorship in the fished condition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3A8CF952-C3B2-7340-B6D0-5434B1C0F517}">
    <text>assumes exponential relationship between length-weight W = aL^b</text>
  </threadedComment>
  <threadedComment ref="B2" dT="2022-03-16T14:22:15.86" personId="{11EAC0A6-BEB8-5B4F-8317-A8FBC23706A8}" id="{909B70BA-02CF-0941-8D50-24AB01504F25}">
    <text>length-weight unit converter</text>
  </threadedComment>
  <threadedComment ref="B3" dT="2022-03-16T14:22:33.51" personId="{11EAC0A6-BEB8-5B4F-8317-A8FBC23706A8}" id="{9FDE2508-27A3-C84D-B787-CA1EEB1DA5B5}">
    <text>length-weight allometric scalar</text>
  </threadedComment>
  <threadedComment ref="A4" dT="2022-03-16T14:24:11.94" personId="{11EAC0A6-BEB8-5B4F-8317-A8FBC23706A8}" id="{80760C65-B2FA-6140-876C-D91B60EEA188}">
    <text>assumes von Bertalanffy growth function (1934) for size at birth formulation: L_a = Linf - (Linf-Lo)*exp(-k*age)</text>
  </threadedComment>
  <threadedComment ref="B4" dT="2022-03-16T14:23:10.03" personId="{11EAC0A6-BEB8-5B4F-8317-A8FBC23706A8}" id="{F8A390C7-C4D1-344D-86D0-BDDE8F52B237}">
    <text>asymptotic maximum length (mean maximum length)</text>
  </threadedComment>
  <threadedComment ref="B5" dT="2022-03-16T14:23:23.28" personId="{11EAC0A6-BEB8-5B4F-8317-A8FBC23706A8}" id="{95040D64-886F-3F49-B7A4-1DEBED4267E1}">
    <text>Brody growth coefficient</text>
  </threadedComment>
  <threadedComment ref="B6" dT="2022-03-16T14:23:30.34" personId="{11EAC0A6-BEB8-5B4F-8317-A8FBC23706A8}" id="{0B5D7C8C-13BC-8143-BEE4-7C07FC208346}">
    <text>size at birth</text>
  </threadedComment>
  <threadedComment ref="A7" dT="2022-03-16T14:25:50.82" personId="{11EAC0A6-BEB8-5B4F-8317-A8FBC23706A8}" id="{DF0BEA82-79F2-7543-88C7-BF321DE2A387}">
    <text>assumes Fec = max(0, W-Wmat)</text>
  </threadedComment>
  <threadedComment ref="A8" dT="2022-03-16T14:26:07.77" personId="{11EAC0A6-BEB8-5B4F-8317-A8FBC23706A8}" id="{6F9617A4-DFE2-564D-91A9-DB17B0F1FB98}">
    <text>constant mortality across ages</text>
  </threadedComment>
  <threadedComment ref="A9" dT="2022-03-16T14:26:20.68" personId="{11EAC0A6-BEB8-5B4F-8317-A8FBC23706A8}" id="{C428F6DA-BEEF-E942-8899-A0522DBCED0B}">
    <text>assumes logistic vulnerability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F3F9E885-6029-1E41-9A10-6D5F27693F64}">
    <text>assumes exponential relationship between length-weight W = aL^b</text>
  </threadedComment>
  <threadedComment ref="B2" dT="2022-03-16T14:22:15.86" personId="{11EAC0A6-BEB8-5B4F-8317-A8FBC23706A8}" id="{FD8BCC8E-6B3B-9E4E-8BD5-6C93F48359E0}">
    <text>length-weight unit converter</text>
  </threadedComment>
  <threadedComment ref="B3" dT="2022-03-16T14:22:33.51" personId="{11EAC0A6-BEB8-5B4F-8317-A8FBC23706A8}" id="{02AA6A6F-C168-EB48-865F-12381D13222A}">
    <text>length-weight allometric scalar</text>
  </threadedComment>
  <threadedComment ref="A4" dT="2022-03-16T14:24:11.94" personId="{11EAC0A6-BEB8-5B4F-8317-A8FBC23706A8}" id="{D9EA75ED-228D-C14C-8C59-B85774631097}">
    <text>assumes von Bertalanffy growth function (1934) for size at birth formulation: L_a = Linf - (Linf-Lo)*exp(-k*age)</text>
  </threadedComment>
  <threadedComment ref="B4" dT="2022-03-16T14:23:10.03" personId="{11EAC0A6-BEB8-5B4F-8317-A8FBC23706A8}" id="{14E75CD2-9EBA-B640-A96A-5AED85E67CE1}">
    <text>asymptotic maximum length (mean maximum length)</text>
  </threadedComment>
  <threadedComment ref="B5" dT="2022-03-16T14:23:23.28" personId="{11EAC0A6-BEB8-5B4F-8317-A8FBC23706A8}" id="{4A9A18DB-34B7-594B-9D7D-D0A3B85D27A8}">
    <text>Brody growth coefficient</text>
  </threadedComment>
  <threadedComment ref="B6" dT="2022-03-16T14:23:30.34" personId="{11EAC0A6-BEB8-5B4F-8317-A8FBC23706A8}" id="{CE851BFA-83DB-A148-8842-56E75A4CC51D}">
    <text>size at birth</text>
  </threadedComment>
  <threadedComment ref="A7" dT="2022-03-16T14:25:50.82" personId="{11EAC0A6-BEB8-5B4F-8317-A8FBC23706A8}" id="{FBE2251F-E201-C84E-8F61-3B8FCBE68915}">
    <text>assumes Fec = max(0, W-Wmat)</text>
  </threadedComment>
  <threadedComment ref="A8" dT="2022-03-16T14:26:07.77" personId="{11EAC0A6-BEB8-5B4F-8317-A8FBC23706A8}" id="{E2C02A06-7D0C-C344-8AA2-0D4A934100EC}">
    <text>constant mortality across ages</text>
  </threadedComment>
  <threadedComment ref="A9" dT="2022-03-16T14:26:20.68" personId="{11EAC0A6-BEB8-5B4F-8317-A8FBC23706A8}" id="{783D7F4F-9B84-3146-82C0-9CEA711DD008}">
    <text>assumes logistic vulnerability</text>
  </threadedComment>
  <threadedComment ref="B14" dT="2022-03-17T18:35:40.05" personId="{11EAC0A6-BEB8-5B4F-8317-A8FBC23706A8}" id="{D515980B-9F83-F945-BF77-8AE6CB703AD7}">
    <text>steepness parameter</text>
  </threadedComment>
  <threadedComment ref="B14" dT="2022-03-17T18:35:54.73" personId="{11EAC0A6-BEB8-5B4F-8317-A8FBC23706A8}" id="{A8C32873-109D-4D41-A6D6-5D9928901F59}" parentId="{D515980B-9F83-F945-BF77-8AE6CB703AD7}">
    <text>we derive the Beverton-Holt parameters from steepness below</text>
  </threadedComment>
  <threadedComment ref="B15" dT="2022-03-17T18:35:26.95" personId="{11EAC0A6-BEB8-5B4F-8317-A8FBC23706A8}" id="{CCFF95AE-0382-554E-91C6-30C5D6558FF7}">
    <text>initial recruitment</text>
  </threadedComment>
  <threadedComment ref="B16" dT="2022-03-17T18:34:44.32" personId="{11EAC0A6-BEB8-5B4F-8317-A8FBC23706A8}" id="{83D4E062-9D47-1D48-9D44-390380412C06}">
    <text>mean Fishing mortality over the time series</text>
  </threadedComment>
  <threadedComment ref="B21" dT="2022-03-17T18:33:57.56" personId="{11EAC0A6-BEB8-5B4F-8317-A8FBC23706A8}" id="{9DE85198-52A4-0E4A-88BD-4F76CDB88624}">
    <text>Initial eggs production - Botsford incidence function</text>
  </threadedComment>
  <threadedComment ref="B22" dT="2022-03-17T18:34:14.53" personId="{11EAC0A6-BEB8-5B4F-8317-A8FBC23706A8}" id="{3080081C-4F59-A544-832D-308F45BAE8CD}">
    <text>Initial vulnerable biomass</text>
  </threadedComment>
  <threadedComment ref="B23" dT="2022-03-17T18:33:02.82" personId="{11EAC0A6-BEB8-5B4F-8317-A8FBC23706A8}" id="{0AB1D434-7458-6142-BEB3-C503BB7A3B63}">
    <text>Beverton-Holt a parameter</text>
  </threadedComment>
  <threadedComment ref="C23" dT="2022-03-17T20:38:44.10" personId="{11EAC0A6-BEB8-5B4F-8317-A8FBC23706A8}" id="{4E21E42C-EBC2-0342-9E22-F9DC33CE8F99}">
    <text>Review back to your recruitment notes for these equations</text>
  </threadedComment>
  <threadedComment ref="B24" dT="2022-03-17T18:33:17.74" personId="{11EAC0A6-BEB8-5B4F-8317-A8FBC23706A8}" id="{7E43BD6E-A699-9543-B0A5-6EE0C348A229}">
    <text>Beverton-Holt b parameter</text>
  </threadedComment>
  <threadedComment ref="B25" dT="2022-03-17T18:33:32.46" personId="{11EAC0A6-BEB8-5B4F-8317-A8FBC23706A8}" id="{4726C9D1-2EFA-A145-BA63-73A02022E9F1}">
    <text>Goodyear compensation ratio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0A5AE067-1D3E-7746-B9B9-6DC05CA26618}">
    <text>assumes exponential relationship between length-weight W = aL^b</text>
  </threadedComment>
  <threadedComment ref="B2" dT="2022-03-16T14:22:15.86" personId="{11EAC0A6-BEB8-5B4F-8317-A8FBC23706A8}" id="{3BD4DA3F-D2BF-7D4C-9BAB-4A7AECBFD59E}">
    <text>length-weight unit converter</text>
  </threadedComment>
  <threadedComment ref="B3" dT="2022-03-16T14:22:33.51" personId="{11EAC0A6-BEB8-5B4F-8317-A8FBC23706A8}" id="{F6D41EFA-49FC-484C-88F7-41F7CFA5416B}">
    <text>length-weight allometric scalar</text>
  </threadedComment>
  <threadedComment ref="A4" dT="2022-03-16T14:24:11.94" personId="{11EAC0A6-BEB8-5B4F-8317-A8FBC23706A8}" id="{8BE43E73-5922-F344-B257-399EFC85D37F}">
    <text>assumes von Bertalanffy growth function (1934) for size at birth formulation: L_a = Linf - (Linf-Lo)*exp(-k*age)</text>
  </threadedComment>
  <threadedComment ref="B4" dT="2022-03-16T14:23:10.03" personId="{11EAC0A6-BEB8-5B4F-8317-A8FBC23706A8}" id="{15969975-2D1B-D841-9FEE-67B2BEE0CF9C}">
    <text>asymptotic maximum length (mean maximum length)</text>
  </threadedComment>
  <threadedComment ref="B5" dT="2022-03-16T14:23:23.28" personId="{11EAC0A6-BEB8-5B4F-8317-A8FBC23706A8}" id="{760426EB-8579-4A42-8213-AAEA3A8115B8}">
    <text>Brody growth coefficient</text>
  </threadedComment>
  <threadedComment ref="B6" dT="2022-03-16T14:23:30.34" personId="{11EAC0A6-BEB8-5B4F-8317-A8FBC23706A8}" id="{2CAE6568-07DA-034E-896D-2D4EFCDBA4C8}">
    <text>size at birth</text>
  </threadedComment>
  <threadedComment ref="A7" dT="2022-03-16T14:25:50.82" personId="{11EAC0A6-BEB8-5B4F-8317-A8FBC23706A8}" id="{811410B8-3EF2-8149-89CE-79B97A9D89E0}">
    <text>assumes Fec = max(0, W-Wmat)</text>
  </threadedComment>
  <threadedComment ref="A8" dT="2022-03-16T14:26:07.77" personId="{11EAC0A6-BEB8-5B4F-8317-A8FBC23706A8}" id="{74BA2FCD-B67F-FE47-B185-ACBA84C376AC}">
    <text>constant mortality across ages</text>
  </threadedComment>
  <threadedComment ref="A9" dT="2022-03-16T14:26:20.68" personId="{11EAC0A6-BEB8-5B4F-8317-A8FBC23706A8}" id="{346B1BB0-0AF1-6347-86DE-227317F45394}">
    <text>assumes logistic vulnerability</text>
  </threadedComment>
  <threadedComment ref="B14" dT="2022-03-17T18:35:40.05" personId="{11EAC0A6-BEB8-5B4F-8317-A8FBC23706A8}" id="{A5EAA20C-07E9-264C-B9BF-82A35994BB4D}">
    <text>steepness parameter</text>
  </threadedComment>
  <threadedComment ref="B14" dT="2022-03-17T18:35:54.73" personId="{11EAC0A6-BEB8-5B4F-8317-A8FBC23706A8}" id="{7C431A1D-70B5-6B40-81F0-37A7364E9666}" parentId="{A5EAA20C-07E9-264C-B9BF-82A35994BB4D}">
    <text>we derive the Beverton-Holt parameters from steepness below</text>
  </threadedComment>
  <threadedComment ref="B15" dT="2022-03-17T18:35:26.95" personId="{11EAC0A6-BEB8-5B4F-8317-A8FBC23706A8}" id="{F0AFF808-F45E-674F-975A-2BEAACE6ADED}">
    <text>initial recruitment</text>
  </threadedComment>
  <threadedComment ref="B16" dT="2022-03-17T18:34:44.32" personId="{11EAC0A6-BEB8-5B4F-8317-A8FBC23706A8}" id="{ECFA6137-5FDF-D84A-AC89-8F825FEFED45}">
    <text>mean Fishing mortality over the time series</text>
  </threadedComment>
  <threadedComment ref="B21" dT="2022-03-17T18:33:57.56" personId="{11EAC0A6-BEB8-5B4F-8317-A8FBC23706A8}" id="{794D24B4-9B79-2749-B388-26F45FF31B32}">
    <text>Initial eggs production - Botsford incidence function</text>
  </threadedComment>
  <threadedComment ref="B22" dT="2022-03-17T18:34:14.53" personId="{11EAC0A6-BEB8-5B4F-8317-A8FBC23706A8}" id="{8A9DAD4F-C3CA-0B4E-BE9E-B7D321EC9802}">
    <text>Initial vulnerable biomass</text>
  </threadedComment>
  <threadedComment ref="B23" dT="2022-03-17T18:33:02.82" personId="{11EAC0A6-BEB8-5B4F-8317-A8FBC23706A8}" id="{DEA7A7B0-3563-774B-8AB3-25CDDB61FB84}">
    <text>Beverton-Holt a parameter</text>
  </threadedComment>
  <threadedComment ref="B24" dT="2022-03-17T18:33:17.74" personId="{11EAC0A6-BEB8-5B4F-8317-A8FBC23706A8}" id="{DAF37FAB-6053-4E44-8E5F-E7646FE513F5}">
    <text>Beverton-Holt b parameter</text>
  </threadedComment>
  <threadedComment ref="B25" dT="2022-03-17T18:33:32.46" personId="{11EAC0A6-BEB8-5B4F-8317-A8FBC23706A8}" id="{FCA92429-4686-DE48-B530-78F7D4F8E606}">
    <text>Goodyear compensation ratio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20CA74B2-52BB-D54E-8704-A3283D2F3BDC}">
    <text>assumes exponential relationship between length-weight W = aL^b</text>
  </threadedComment>
  <threadedComment ref="B2" dT="2022-03-16T14:22:15.86" personId="{11EAC0A6-BEB8-5B4F-8317-A8FBC23706A8}" id="{9128CC11-2676-8C41-AF9D-AEFF8D7092FB}">
    <text>length-weight unit converter</text>
  </threadedComment>
  <threadedComment ref="B3" dT="2022-03-16T14:22:33.51" personId="{11EAC0A6-BEB8-5B4F-8317-A8FBC23706A8}" id="{62F10CA9-3F5A-7545-B29D-B6995D2B2A79}">
    <text>length-weight allometric scalar</text>
  </threadedComment>
  <threadedComment ref="A4" dT="2022-03-16T14:24:11.94" personId="{11EAC0A6-BEB8-5B4F-8317-A8FBC23706A8}" id="{06BB297E-A6F3-BF40-B812-6C3F148DFB2B}">
    <text>assumes von Bertalanffy growth function (1934) for size at birth formulation: L_a = Linf - (Linf-Lo)*exp(-k*age)</text>
  </threadedComment>
  <threadedComment ref="B4" dT="2022-03-16T14:23:10.03" personId="{11EAC0A6-BEB8-5B4F-8317-A8FBC23706A8}" id="{3701A798-F5C3-3E42-97E0-57C3A3367AB4}">
    <text>asymptotic maximum length (mean maximum length)</text>
  </threadedComment>
  <threadedComment ref="B5" dT="2022-03-16T14:23:23.28" personId="{11EAC0A6-BEB8-5B4F-8317-A8FBC23706A8}" id="{9DC5C8D1-CC3A-3A4D-A5F2-467ECB774796}">
    <text>Brody growth coefficient</text>
  </threadedComment>
  <threadedComment ref="B6" dT="2022-03-16T14:23:30.34" personId="{11EAC0A6-BEB8-5B4F-8317-A8FBC23706A8}" id="{2D5ABD09-0ED4-D444-9136-54A5024F2825}">
    <text>size at birth</text>
  </threadedComment>
  <threadedComment ref="A7" dT="2022-03-16T14:25:50.82" personId="{11EAC0A6-BEB8-5B4F-8317-A8FBC23706A8}" id="{6449F602-58E3-BF43-89F3-FDAAA271012E}">
    <text>assumes Fec = max(0, W-Wmat)</text>
  </threadedComment>
  <threadedComment ref="A8" dT="2022-03-16T14:26:07.77" personId="{11EAC0A6-BEB8-5B4F-8317-A8FBC23706A8}" id="{7A78AD89-CA58-5144-AE08-94F84D88179E}">
    <text>constant mortality across ages</text>
  </threadedComment>
  <threadedComment ref="A9" dT="2022-03-16T14:26:20.68" personId="{11EAC0A6-BEB8-5B4F-8317-A8FBC23706A8}" id="{DE281B80-DF06-494E-980F-EDF400D8B63C}">
    <text>assumes logistic vulnerability</text>
  </threadedComment>
  <threadedComment ref="B14" dT="2022-03-17T18:35:40.05" personId="{11EAC0A6-BEB8-5B4F-8317-A8FBC23706A8}" id="{5EB3EE49-5877-434A-A07A-A8EE5F309E2D}">
    <text>steepness parameter</text>
  </threadedComment>
  <threadedComment ref="B14" dT="2022-03-17T18:35:54.73" personId="{11EAC0A6-BEB8-5B4F-8317-A8FBC23706A8}" id="{06F7F3A9-7CC2-524C-90EB-C3887F1B5B6E}" parentId="{5EB3EE49-5877-434A-A07A-A8EE5F309E2D}">
    <text>we derive the Beverton-Holt parameters from steepness below</text>
  </threadedComment>
  <threadedComment ref="B15" dT="2022-03-17T18:35:26.95" personId="{11EAC0A6-BEB8-5B4F-8317-A8FBC23706A8}" id="{4D000259-FAD9-8044-9A71-7EA3C6CCBBAD}">
    <text>initial recruitment</text>
  </threadedComment>
  <threadedComment ref="B16" dT="2022-03-17T18:34:44.32" personId="{11EAC0A6-BEB8-5B4F-8317-A8FBC23706A8}" id="{1AD3E547-9EFD-C54F-808F-0F80A9BE1BFF}">
    <text>mean Fishing mortality over the time series</text>
  </threadedComment>
  <threadedComment ref="B17" dT="2022-03-18T14:47:22.52" personId="{11EAC0A6-BEB8-5B4F-8317-A8FBC23706A8}" id="{C844E961-D835-9A4C-89F3-76E5C39307FD}">
    <text>variability in the catch composition</text>
  </threadedComment>
  <threadedComment ref="BM17" dT="2022-03-17T21:10:58.70" personId="{11EAC0A6-BEB8-5B4F-8317-A8FBC23706A8}" id="{EC0C471A-2E20-6B43-8EBD-52C649E3891D}">
    <text>This is the Baranov catch equation. Refer to your past notes for a refresher.</text>
  </threadedComment>
  <threadedComment ref="B25" dT="2022-03-17T18:33:57.56" personId="{11EAC0A6-BEB8-5B4F-8317-A8FBC23706A8}" id="{9C526551-1CAA-484E-B9C7-E64A9FA10514}">
    <text>Initial eggs production - Botsford incidence function</text>
  </threadedComment>
  <threadedComment ref="B26" dT="2022-03-17T18:34:14.53" personId="{11EAC0A6-BEB8-5B4F-8317-A8FBC23706A8}" id="{C9D2E4D0-3D63-4B45-BCB7-B8F0E259B85C}">
    <text>Initial vulnerable biomass</text>
  </threadedComment>
  <threadedComment ref="B27" dT="2022-03-17T18:33:02.82" personId="{11EAC0A6-BEB8-5B4F-8317-A8FBC23706A8}" id="{1F326EE2-229B-F649-AC7E-87616A5AA2B2}">
    <text>Beverton-Holt a parameter</text>
  </threadedComment>
  <threadedComment ref="B28" dT="2022-03-17T18:33:17.74" personId="{11EAC0A6-BEB8-5B4F-8317-A8FBC23706A8}" id="{B1EFF5E1-87E1-424C-8C03-A77DEF12E50E}">
    <text>Beverton-Holt b parameter</text>
  </threadedComment>
  <threadedComment ref="B29" dT="2022-03-17T18:33:32.46" personId="{11EAC0A6-BEB8-5B4F-8317-A8FBC23706A8}" id="{60F0797E-1F85-1744-977C-C02238AC4421}">
    <text>Goodyear compensation ratio</text>
  </threadedComment>
  <threadedComment ref="BM42" dT="2022-03-17T21:08:55.82" personId="{11EAC0A6-BEB8-5B4F-8317-A8FBC23706A8}" id="{2A5C4070-674B-2844-8A6F-D788F9C5ADE2}">
    <text>This a lognormal likelihood for determining the likelihood of the catch residuals (observed catch - predicted catch).</text>
  </threadedComment>
  <threadedComment ref="BM42" dT="2022-03-17T21:09:22.13" personId="{11EAC0A6-BEB8-5B4F-8317-A8FBC23706A8}" id="{B5309BC0-B0DB-C847-B61B-2A195366A07E}" parentId="{2A5C4070-674B-2844-8A6F-D788F9C5ADE2}">
    <text>It is one of a few likelihoods we will discuss for age/length composition data</text>
  </threadedComment>
  <threadedComment ref="BM42" dT="2022-03-17T21:09:50.65" personId="{11EAC0A6-BEB8-5B4F-8317-A8FBC23706A8}" id="{10C748E1-A539-BE4F-B71D-B6721C4C0063}" parentId="{2A5C4070-674B-2844-8A6F-D788F9C5ADE2}">
    <text>Typically, we do not have the full catch-at-age data, and used the proportion of catch in each age bin for the likelihood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E134DE74-35C5-2A44-ABD9-C6A53E23591E}">
    <text>assumes exponential relationship between length-weight W = aL^b</text>
  </threadedComment>
  <threadedComment ref="B2" dT="2022-03-16T14:22:15.86" personId="{11EAC0A6-BEB8-5B4F-8317-A8FBC23706A8}" id="{90EFD0FC-920E-7F44-A1E1-68F3EF5AE829}">
    <text>length-weight unit converter</text>
  </threadedComment>
  <threadedComment ref="B3" dT="2022-03-16T14:22:33.51" personId="{11EAC0A6-BEB8-5B4F-8317-A8FBC23706A8}" id="{029D56B3-8C80-4444-B3EA-24230CD09DCD}">
    <text>length-weight allometric scalar</text>
  </threadedComment>
  <threadedComment ref="A4" dT="2022-03-16T14:24:11.94" personId="{11EAC0A6-BEB8-5B4F-8317-A8FBC23706A8}" id="{81583F04-D819-8942-9A82-320E6C1F0903}">
    <text>assumes von Bertalanffy growth function (1934) for size at birth formulation: L_a = Linf - (Linf-Lo)*exp(-k*age)</text>
  </threadedComment>
  <threadedComment ref="B4" dT="2022-03-16T14:23:10.03" personId="{11EAC0A6-BEB8-5B4F-8317-A8FBC23706A8}" id="{80ABA1A5-8BF8-BC43-9617-522DBF794A1B}">
    <text>asymptotic maximum length (mean maximum length)</text>
  </threadedComment>
  <threadedComment ref="B5" dT="2022-03-16T14:23:23.28" personId="{11EAC0A6-BEB8-5B4F-8317-A8FBC23706A8}" id="{D6830FC7-C3D9-904B-8F4E-B7D0F4555ADF}">
    <text>Brody growth coefficient</text>
  </threadedComment>
  <threadedComment ref="B6" dT="2022-03-16T14:23:30.34" personId="{11EAC0A6-BEB8-5B4F-8317-A8FBC23706A8}" id="{E7DECF1C-A497-E243-A7A1-3A6442CB0B39}">
    <text>size at birth</text>
  </threadedComment>
  <threadedComment ref="A7" dT="2022-03-16T14:25:50.82" personId="{11EAC0A6-BEB8-5B4F-8317-A8FBC23706A8}" id="{97CF3B8F-F576-AD4C-ACD5-194885D7DE2C}">
    <text>assumes Fec = max(0, W-Wmat)</text>
  </threadedComment>
  <threadedComment ref="A8" dT="2022-03-16T14:26:07.77" personId="{11EAC0A6-BEB8-5B4F-8317-A8FBC23706A8}" id="{EFDB746D-AD65-B94D-B3BF-0CA18440106E}">
    <text>constant mortality across ages</text>
  </threadedComment>
  <threadedComment ref="A9" dT="2022-03-16T14:26:20.68" personId="{11EAC0A6-BEB8-5B4F-8317-A8FBC23706A8}" id="{25E3BC46-E211-F84D-9C7C-C84A1BEFBCA0}">
    <text>assumes logistic vulnerability</text>
  </threadedComment>
  <threadedComment ref="B14" dT="2022-03-17T18:35:40.05" personId="{11EAC0A6-BEB8-5B4F-8317-A8FBC23706A8}" id="{C72C6788-F384-1341-BCAC-31E8D9045412}">
    <text>steepness parameter</text>
  </threadedComment>
  <threadedComment ref="B14" dT="2022-03-17T18:35:54.73" personId="{11EAC0A6-BEB8-5B4F-8317-A8FBC23706A8}" id="{9D1DF000-2C04-B043-85D3-2CC5E76E4AF8}" parentId="{C72C6788-F384-1341-BCAC-31E8D9045412}">
    <text>we derive the Beverton-Holt parameters from steepness below</text>
  </threadedComment>
  <threadedComment ref="B15" dT="2022-03-17T18:35:26.95" personId="{11EAC0A6-BEB8-5B4F-8317-A8FBC23706A8}" id="{0F8F9505-092D-F14C-9515-D38D4E53BA6C}">
    <text>initial recruitment</text>
  </threadedComment>
  <threadedComment ref="B16" dT="2022-03-17T18:34:44.32" personId="{11EAC0A6-BEB8-5B4F-8317-A8FBC23706A8}" id="{467F94B0-84CE-5741-9914-FB2225FF183E}">
    <text>mean Fishing mortality over the time series</text>
  </threadedComment>
  <threadedComment ref="B17" dT="2022-03-18T14:47:22.52" personId="{11EAC0A6-BEB8-5B4F-8317-A8FBC23706A8}" id="{783E9D91-D22F-4D4E-967C-C7538F14383B}">
    <text>variability in the catch composition</text>
  </threadedComment>
  <threadedComment ref="B18" dT="2022-03-18T14:47:46.70" personId="{11EAC0A6-BEB8-5B4F-8317-A8FBC23706A8}" id="{CA437B5C-8838-554B-BDD1-D3FFC947B3A1}">
    <text>variability in the F deviations</text>
  </threadedComment>
  <threadedComment ref="B26" dT="2022-03-17T18:33:57.56" personId="{11EAC0A6-BEB8-5B4F-8317-A8FBC23706A8}" id="{40C5F6D1-1D9C-3C4A-AFB4-8EB038E4B327}">
    <text>Initial eggs production - Botsford incidence function</text>
  </threadedComment>
  <threadedComment ref="B27" dT="2022-03-17T18:34:14.53" personId="{11EAC0A6-BEB8-5B4F-8317-A8FBC23706A8}" id="{DB90B78B-944C-C649-B4E5-C805F3BA03A3}">
    <text>Initial vulnerable biomass</text>
  </threadedComment>
  <threadedComment ref="B28" dT="2022-03-17T18:33:02.82" personId="{11EAC0A6-BEB8-5B4F-8317-A8FBC23706A8}" id="{07AEEC95-5D61-BA4E-98DA-6403461588A9}">
    <text>Beverton-Holt a parameter</text>
  </threadedComment>
  <threadedComment ref="B29" dT="2022-03-17T18:33:17.74" personId="{11EAC0A6-BEB8-5B4F-8317-A8FBC23706A8}" id="{38827BF6-5B01-A34D-B0A1-52958B9FC28D}">
    <text>Beverton-Holt b parameter</text>
  </threadedComment>
  <threadedComment ref="B30" dT="2022-03-17T18:33:32.46" personId="{11EAC0A6-BEB8-5B4F-8317-A8FBC23706A8}" id="{E0EBD913-13CB-CA4F-9D78-3868CEFF63DC}">
    <text>Goodyear compensation ratio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2428E415-FC7F-9649-9484-C5F9920C93E0}">
    <text>assumes exponential relationship between length-weight W = aL^b</text>
  </threadedComment>
  <threadedComment ref="B2" dT="2022-03-16T14:22:15.86" personId="{11EAC0A6-BEB8-5B4F-8317-A8FBC23706A8}" id="{B892DA7D-08A3-CE4C-A0E2-5A0182114153}">
    <text>length-weight unit converter</text>
  </threadedComment>
  <threadedComment ref="B3" dT="2022-03-16T14:22:33.51" personId="{11EAC0A6-BEB8-5B4F-8317-A8FBC23706A8}" id="{AFC4830F-EABD-B642-A984-5E3024DD16D4}">
    <text>length-weight allometric scalar</text>
  </threadedComment>
  <threadedComment ref="A4" dT="2022-03-16T14:24:11.94" personId="{11EAC0A6-BEB8-5B4F-8317-A8FBC23706A8}" id="{0085E312-73F1-724A-9E1A-34322C3B9AA9}">
    <text>assumes von Bertalanffy growth function (1934) for size at birth formulation: L_a = Linf - (Linf-Lo)*exp(-k*age)</text>
  </threadedComment>
  <threadedComment ref="B4" dT="2022-03-16T14:23:10.03" personId="{11EAC0A6-BEB8-5B4F-8317-A8FBC23706A8}" id="{629FECD3-0D74-5141-8512-0FFEA4923CA3}">
    <text>asymptotic maximum length (mean maximum length)</text>
  </threadedComment>
  <threadedComment ref="B5" dT="2022-03-16T14:23:23.28" personId="{11EAC0A6-BEB8-5B4F-8317-A8FBC23706A8}" id="{7FE85666-2FB0-424E-9914-0D963CF678E8}">
    <text>Brody growth coefficient</text>
  </threadedComment>
  <threadedComment ref="B6" dT="2022-03-16T14:23:30.34" personId="{11EAC0A6-BEB8-5B4F-8317-A8FBC23706A8}" id="{A3789B69-7C24-F14E-A1EC-94D8095AF85D}">
    <text>size at birth</text>
  </threadedComment>
  <threadedComment ref="A7" dT="2022-03-16T14:25:50.82" personId="{11EAC0A6-BEB8-5B4F-8317-A8FBC23706A8}" id="{934E3EA1-9F7E-CE4B-A6C3-993D897B7DDD}">
    <text>assumes Fec = max(0, W-Wmat)</text>
  </threadedComment>
  <threadedComment ref="A8" dT="2022-03-16T14:26:07.77" personId="{11EAC0A6-BEB8-5B4F-8317-A8FBC23706A8}" id="{CA009203-0740-D14C-A451-867764B51677}">
    <text>constant mortality across ages</text>
  </threadedComment>
  <threadedComment ref="A9" dT="2022-03-16T14:26:20.68" personId="{11EAC0A6-BEB8-5B4F-8317-A8FBC23706A8}" id="{1DF977FF-187A-B54B-86DC-06DADEDDEB4C}">
    <text>assumes logistic vulnerability</text>
  </threadedComment>
  <threadedComment ref="B13" dT="2022-03-17T18:35:40.05" personId="{11EAC0A6-BEB8-5B4F-8317-A8FBC23706A8}" id="{67387C43-B536-AB48-BE46-226949B10CE4}">
    <text>steepness parameter</text>
  </threadedComment>
  <threadedComment ref="B13" dT="2022-03-17T18:35:54.73" personId="{11EAC0A6-BEB8-5B4F-8317-A8FBC23706A8}" id="{EB7E9391-2981-0147-8162-F71E9B44FDFF}" parentId="{67387C43-B536-AB48-BE46-226949B10CE4}">
    <text>we derive the Beverton-Holt parameters from steepness below</text>
  </threadedComment>
  <threadedComment ref="B14" dT="2022-03-17T18:35:26.95" personId="{11EAC0A6-BEB8-5B4F-8317-A8FBC23706A8}" id="{23B3012D-1F89-544C-8C3D-366668B78C7E}">
    <text>initial recruitment</text>
  </threadedComment>
  <threadedComment ref="B15" dT="2022-03-17T18:34:44.32" personId="{11EAC0A6-BEB8-5B4F-8317-A8FBC23706A8}" id="{BC5D27B7-57E6-E746-9EA2-E1B1F04C613B}">
    <text>mean Fishing mortality over the time series</text>
  </threadedComment>
  <threadedComment ref="B16" dT="2022-03-18T14:47:22.52" personId="{11EAC0A6-BEB8-5B4F-8317-A8FBC23706A8}" id="{4ACFC38F-449C-014F-B398-5318D7545F5C}">
    <text>variability in the catch composition</text>
  </threadedComment>
  <threadedComment ref="B17" dT="2022-03-18T14:47:46.70" personId="{11EAC0A6-BEB8-5B4F-8317-A8FBC23706A8}" id="{3E14BBCF-EC59-2A4E-ADDE-B669833A728E}">
    <text>variability in the F deviations</text>
  </threadedComment>
  <threadedComment ref="B18" dT="2022-03-18T14:48:41.16" personId="{11EAC0A6-BEB8-5B4F-8317-A8FBC23706A8}" id="{B131AB6C-A0CB-0546-9DEB-DF6A006943E3}">
    <text>variability in the CPUE (relative abundance index)</text>
  </threadedComment>
  <threadedComment ref="B27" dT="2022-03-17T18:33:57.56" personId="{11EAC0A6-BEB8-5B4F-8317-A8FBC23706A8}" id="{63A4C211-1213-5F45-B1FB-8158837C76B8}">
    <text>Initial eggs production - Botsford incidence function</text>
  </threadedComment>
  <threadedComment ref="B28" dT="2022-03-17T18:34:14.53" personId="{11EAC0A6-BEB8-5B4F-8317-A8FBC23706A8}" id="{DDFF45EB-94CD-9F4D-913A-8AA0A31E0827}">
    <text>Initial vulnerable biomass</text>
  </threadedComment>
  <threadedComment ref="B29" dT="2022-03-17T18:33:02.82" personId="{11EAC0A6-BEB8-5B4F-8317-A8FBC23706A8}" id="{FC23219D-EF20-1546-B5AB-621A52563AA3}">
    <text>Beverton-Holt a parameter</text>
  </threadedComment>
  <threadedComment ref="B30" dT="2022-03-17T18:33:17.74" personId="{11EAC0A6-BEB8-5B4F-8317-A8FBC23706A8}" id="{87098654-5817-CE43-9B3D-0125C81809A6}">
    <text>Beverton-Holt b parameter</text>
  </threadedComment>
  <threadedComment ref="B31" dT="2022-03-17T18:33:32.46" personId="{11EAC0A6-BEB8-5B4F-8317-A8FBC23706A8}" id="{7ABDD558-7D27-6E4D-A287-99E4F7DB1D4B}">
    <text>Goodyear compensation ratio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2" dT="2022-03-16T14:24:35.11" personId="{11EAC0A6-BEB8-5B4F-8317-A8FBC23706A8}" id="{E551FA60-ACBD-864E-AF09-2EA22758C27E}">
    <text>assumes exponential relationship between length-weight W = aL^b</text>
  </threadedComment>
  <threadedComment ref="B2" dT="2022-03-16T14:22:15.86" personId="{11EAC0A6-BEB8-5B4F-8317-A8FBC23706A8}" id="{D35A31CE-DDED-ED41-A9B6-D1317AB13AE0}">
    <text>length-weight unit converter</text>
  </threadedComment>
  <threadedComment ref="B3" dT="2022-03-16T14:22:33.51" personId="{11EAC0A6-BEB8-5B4F-8317-A8FBC23706A8}" id="{088ABB66-A136-024C-81F2-8FABC5276603}">
    <text>length-weight allometric scalar</text>
  </threadedComment>
  <threadedComment ref="A4" dT="2022-03-16T14:24:11.94" personId="{11EAC0A6-BEB8-5B4F-8317-A8FBC23706A8}" id="{5518AFFD-5BE6-8745-9AF8-1C81477C634A}">
    <text>assumes von Bertalanffy growth function (1934) for size at birth formulation: L_a = Linf - (Linf-Lo)*exp(-k*age)</text>
  </threadedComment>
  <threadedComment ref="B4" dT="2022-03-16T14:23:10.03" personId="{11EAC0A6-BEB8-5B4F-8317-A8FBC23706A8}" id="{68FFB3F6-00EB-0D47-AB2B-CB7BAB95E941}">
    <text>asymptotic maximum length (mean maximum length)</text>
  </threadedComment>
  <threadedComment ref="B5" dT="2022-03-16T14:23:23.28" personId="{11EAC0A6-BEB8-5B4F-8317-A8FBC23706A8}" id="{D11F0419-418E-3E40-A943-49180E5C3828}">
    <text>Brody growth coefficient</text>
  </threadedComment>
  <threadedComment ref="B6" dT="2022-03-16T14:23:30.34" personId="{11EAC0A6-BEB8-5B4F-8317-A8FBC23706A8}" id="{5CFCE358-11BC-CC43-A5D7-F16E05B85057}">
    <text>size at birth</text>
  </threadedComment>
  <threadedComment ref="A7" dT="2022-03-16T14:25:50.82" personId="{11EAC0A6-BEB8-5B4F-8317-A8FBC23706A8}" id="{8E75017E-24EC-2F41-9345-9210E9899803}">
    <text>assumes Fec = max(0, W-Wmat)</text>
  </threadedComment>
  <threadedComment ref="A8" dT="2022-03-16T14:26:07.77" personId="{11EAC0A6-BEB8-5B4F-8317-A8FBC23706A8}" id="{D87E4FC5-E70F-794C-B775-F9B5FAC9850E}">
    <text>constant mortality across ages</text>
  </threadedComment>
  <threadedComment ref="A9" dT="2022-03-16T14:26:20.68" personId="{11EAC0A6-BEB8-5B4F-8317-A8FBC23706A8}" id="{58428C60-4F31-8740-9B9B-AEA8966F1009}">
    <text>assumes logistic vulnerability</text>
  </threadedComment>
  <threadedComment ref="C18" dT="2022-03-23T12:33:09.57" personId="{11EAC0A6-BEB8-5B4F-8317-A8FBC23706A8}" id="{EA2845B7-0C1B-4040-B472-ECFC8BA9BAB4}">
    <text>we either have to assume an expected variability (a prior) or we can try to fit the variability. Depending our other assumptions fitting may not work</text>
  </threadedComment>
  <threadedComment ref="B20" dT="2022-03-17T18:35:40.05" personId="{11EAC0A6-BEB8-5B4F-8317-A8FBC23706A8}" id="{98EB12DC-0C03-994F-8FD9-7DBA1858B7CD}">
    <text>steepness parameter</text>
  </threadedComment>
  <threadedComment ref="B20" dT="2022-03-17T18:35:54.73" personId="{11EAC0A6-BEB8-5B4F-8317-A8FBC23706A8}" id="{395155EE-1889-614E-9DDD-8300FB671D55}" parentId="{98EB12DC-0C03-994F-8FD9-7DBA1858B7CD}">
    <text>we derive the Beverton-Holt parameters from steepness below</text>
  </threadedComment>
  <threadedComment ref="B21" dT="2022-03-17T18:35:26.95" personId="{11EAC0A6-BEB8-5B4F-8317-A8FBC23706A8}" id="{51F59A1A-3F33-D846-86C7-82F552AF5C90}">
    <text>initial recruitment</text>
  </threadedComment>
  <threadedComment ref="B22" dT="2022-03-17T18:34:44.32" personId="{11EAC0A6-BEB8-5B4F-8317-A8FBC23706A8}" id="{085BC6B0-8D8C-A546-905A-BB3716E4B928}">
    <text>mean Fishing mortality over the time series</text>
  </threadedComment>
  <threadedComment ref="B23" dT="2022-03-18T14:47:22.52" personId="{11EAC0A6-BEB8-5B4F-8317-A8FBC23706A8}" id="{DB08CF63-EA5D-E844-A4D6-7E434F10DA53}">
    <text>variability in the catch composition</text>
  </threadedComment>
  <threadedComment ref="B24" dT="2022-03-18T14:47:46.70" personId="{11EAC0A6-BEB8-5B4F-8317-A8FBC23706A8}" id="{3030EB72-4497-7B44-94AF-50121B36D100}">
    <text>variability in the F deviations</text>
  </threadedComment>
  <threadedComment ref="B25" dT="2022-03-18T14:48:41.16" personId="{11EAC0A6-BEB8-5B4F-8317-A8FBC23706A8}" id="{62F35C01-9799-A647-BB85-8B96AEFC6EDF}">
    <text>variability in the CPUE (relative abundance index)</text>
  </threadedComment>
  <threadedComment ref="B34" dT="2022-03-17T18:33:57.56" personId="{11EAC0A6-BEB8-5B4F-8317-A8FBC23706A8}" id="{B8A71C13-3C96-FF40-9A54-92E1466BE1E7}">
    <text>Initial eggs production - Botsford incidence function</text>
  </threadedComment>
  <threadedComment ref="B35" dT="2022-03-17T18:34:14.53" personId="{11EAC0A6-BEB8-5B4F-8317-A8FBC23706A8}" id="{55FB896A-5A2B-084B-A4F1-9D663C1053C2}">
    <text>Initial vulnerable biomass</text>
  </threadedComment>
  <threadedComment ref="A36" dT="2022-03-18T14:09:11.79" personId="{11EAC0A6-BEB8-5B4F-8317-A8FBC23706A8}" id="{5EDC6627-6CE0-354F-8111-6849D821ACCB}">
    <text>we will review the reference point calculations in a subsequent class</text>
  </threadedComment>
  <threadedComment ref="B40" dT="2022-03-17T18:33:02.82" personId="{11EAC0A6-BEB8-5B4F-8317-A8FBC23706A8}" id="{F685974E-6137-0549-8651-D18D601B43F2}">
    <text>Beverton-Holt a parameter</text>
  </threadedComment>
  <threadedComment ref="B41" dT="2022-03-17T18:33:17.74" personId="{11EAC0A6-BEB8-5B4F-8317-A8FBC23706A8}" id="{0F644EDE-AC85-2A46-A270-9C2EA8DF6E28}">
    <text>Beverton-Holt b parameter</text>
  </threadedComment>
  <threadedComment ref="B42" dT="2022-03-17T18:33:32.46" personId="{11EAC0A6-BEB8-5B4F-8317-A8FBC23706A8}" id="{6002C097-5DA3-8142-B119-11FB0275357F}">
    <text>Goodyear compensation ratio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G13" dT="2022-03-18T14:45:35.38" personId="{11EAC0A6-BEB8-5B4F-8317-A8FBC23706A8}" id="{1327B73B-9007-9849-8A36-A7394E4AF618}">
    <text>this is catchability, need to calculate E*=F/q</text>
  </threadedComment>
  <threadedComment ref="G22" dT="2022-03-18T14:52:50.47" personId="{11EAC0A6-BEB8-5B4F-8317-A8FBC23706A8}" id="{4AAA3A03-613B-244E-92C0-A5293777443C}">
    <text>this controls how much of a full sine wave that F_walk occurs over in the time series</text>
  </threadedComment>
  <threadedComment ref="G23" dT="2022-03-18T14:44:29.85" personId="{11EAC0A6-BEB8-5B4F-8317-A8FBC23706A8}" id="{78AA9ABD-E5C5-2D42-9B9A-E5DBDB8065EE}">
    <text>this parameter shifts the sine wave (F_walk) along the x-axis</text>
  </threadedComment>
  <threadedComment ref="G24" dT="2022-03-18T14:51:18.13" personId="{11EAC0A6-BEB8-5B4F-8317-A8FBC23706A8}" id="{06030401-7217-7A4E-8AEC-928FEBD07F70}">
    <text>variability in the Fdevs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4" Type="http://schemas.microsoft.com/office/2017/10/relationships/threadedComment" Target="../threadedComments/threadedComment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4" Type="http://schemas.microsoft.com/office/2017/10/relationships/threadedComment" Target="../threadedComments/threadedComment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4" Type="http://schemas.microsoft.com/office/2017/10/relationships/threadedComment" Target="../threadedComments/threadedComment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8339-4AF5-3E4B-B89B-92774D5D92DB}">
  <dimension ref="A1:BL41"/>
  <sheetViews>
    <sheetView zoomScale="108" zoomScaleNormal="108" workbookViewId="0">
      <selection activeCell="H7" sqref="H7"/>
    </sheetView>
  </sheetViews>
  <sheetFormatPr baseColWidth="10" defaultRowHeight="16"/>
  <cols>
    <col min="1" max="1" width="12.140625" customWidth="1"/>
    <col min="3" max="3" width="13.42578125" bestFit="1" customWidth="1"/>
    <col min="5" max="5" width="8.140625" customWidth="1"/>
    <col min="6" max="6" width="7.5703125" customWidth="1"/>
    <col min="8" max="8" width="6.140625" customWidth="1"/>
    <col min="9" max="9" width="7.85546875" customWidth="1"/>
    <col min="10" max="10" width="6.85546875" customWidth="1"/>
    <col min="11" max="14" width="6.140625" customWidth="1"/>
    <col min="15" max="25" width="5.28515625" customWidth="1"/>
    <col min="26" max="27" width="5.42578125" customWidth="1"/>
    <col min="28" max="38" width="6.140625" customWidth="1"/>
    <col min="40" max="51" width="5.42578125" customWidth="1"/>
    <col min="53" max="64" width="4.7109375" customWidth="1"/>
  </cols>
  <sheetData>
    <row r="1" spans="1:18">
      <c r="A1" s="146" t="s">
        <v>0</v>
      </c>
      <c r="B1" s="147"/>
      <c r="C1" s="148"/>
      <c r="F1" s="10" t="s">
        <v>31</v>
      </c>
      <c r="G1" s="11"/>
      <c r="H1" s="11"/>
      <c r="I1" s="11"/>
      <c r="J1" s="11"/>
      <c r="K1" s="12"/>
      <c r="L1" s="12"/>
      <c r="M1" s="12"/>
      <c r="N1" s="12"/>
      <c r="O1" s="12"/>
      <c r="P1" s="12"/>
      <c r="Q1" s="12"/>
      <c r="R1" s="13"/>
    </row>
    <row r="2" spans="1:18">
      <c r="A2" s="149" t="s">
        <v>1</v>
      </c>
      <c r="B2" s="1" t="s">
        <v>2</v>
      </c>
      <c r="C2" s="9">
        <v>1.4999999999999999E-7</v>
      </c>
      <c r="F2" s="86" t="s">
        <v>22</v>
      </c>
      <c r="G2" s="87" t="s">
        <v>23</v>
      </c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spans="1:18">
      <c r="A3" s="149"/>
      <c r="B3" s="1" t="s">
        <v>3</v>
      </c>
      <c r="C3" s="2">
        <v>3.1</v>
      </c>
      <c r="F3" s="3" t="s">
        <v>28</v>
      </c>
      <c r="G3" s="1" t="s">
        <v>24</v>
      </c>
      <c r="H3" s="140">
        <v>0</v>
      </c>
      <c r="I3" s="140">
        <v>1</v>
      </c>
      <c r="J3" s="140">
        <v>2</v>
      </c>
      <c r="K3" s="140">
        <v>3</v>
      </c>
      <c r="L3" s="140">
        <v>4</v>
      </c>
      <c r="M3" s="140">
        <v>5</v>
      </c>
      <c r="N3" s="140">
        <v>6</v>
      </c>
      <c r="O3" s="140">
        <v>7</v>
      </c>
      <c r="P3" s="140">
        <v>8</v>
      </c>
      <c r="Q3" s="140">
        <v>9</v>
      </c>
      <c r="R3" s="141">
        <v>10</v>
      </c>
    </row>
    <row r="4" spans="1:18">
      <c r="A4" s="150" t="s">
        <v>4</v>
      </c>
      <c r="B4" s="1" t="s">
        <v>5</v>
      </c>
      <c r="C4" s="2">
        <v>350</v>
      </c>
      <c r="F4" s="3" t="s">
        <v>81</v>
      </c>
      <c r="G4" s="1" t="s">
        <v>25</v>
      </c>
      <c r="H4" s="1">
        <f t="shared" ref="H4:R4" si="0">Linf-(Linf-Lo)*EXP(-vbk*H$3)</f>
        <v>0.60000000000002274</v>
      </c>
      <c r="I4" s="92">
        <f t="shared" si="0"/>
        <v>80.594575920233979</v>
      </c>
      <c r="J4" s="92">
        <f t="shared" si="0"/>
        <v>142.27452053921411</v>
      </c>
      <c r="K4" s="92">
        <f t="shared" si="0"/>
        <v>189.83293964995491</v>
      </c>
      <c r="L4" s="92">
        <f t="shared" si="0"/>
        <v>226.50293412360222</v>
      </c>
      <c r="M4" s="92">
        <f t="shared" si="0"/>
        <v>254.777391513916</v>
      </c>
      <c r="N4" s="92">
        <f t="shared" si="0"/>
        <v>276.57845672245281</v>
      </c>
      <c r="O4" s="92">
        <f t="shared" si="0"/>
        <v>293.38820262370206</v>
      </c>
      <c r="P4" s="92">
        <f t="shared" si="0"/>
        <v>306.34938385781533</v>
      </c>
      <c r="Q4" s="92">
        <f t="shared" si="0"/>
        <v>316.34312320226576</v>
      </c>
      <c r="R4" s="93">
        <f t="shared" si="0"/>
        <v>324.04881177191174</v>
      </c>
    </row>
    <row r="5" spans="1:18">
      <c r="A5" s="150"/>
      <c r="B5" s="1" t="s">
        <v>6</v>
      </c>
      <c r="C5" s="2">
        <v>0.26</v>
      </c>
      <c r="F5" s="3" t="s">
        <v>33</v>
      </c>
      <c r="G5" s="1" t="s">
        <v>26</v>
      </c>
      <c r="H5" s="1">
        <f>lwa*(H$4^lwb)</f>
        <v>3.0786487014787529E-8</v>
      </c>
      <c r="I5" s="89">
        <f t="shared" ref="I5:R5" si="1">lwa*(I$4^lwb)</f>
        <v>0.12179775510938466</v>
      </c>
      <c r="J5" s="89">
        <f t="shared" si="1"/>
        <v>0.70922716923537987</v>
      </c>
      <c r="K5" s="89">
        <f t="shared" si="1"/>
        <v>1.7339762130984733</v>
      </c>
      <c r="L5" s="89">
        <f t="shared" si="1"/>
        <v>2.997920687322178</v>
      </c>
      <c r="M5" s="89">
        <f t="shared" si="1"/>
        <v>4.3170791220003428</v>
      </c>
      <c r="N5" s="89">
        <f t="shared" si="1"/>
        <v>5.5683707165183316</v>
      </c>
      <c r="O5" s="89">
        <f t="shared" si="1"/>
        <v>6.6859552163518652</v>
      </c>
      <c r="P5" s="89">
        <f t="shared" si="1"/>
        <v>7.6447624304444846</v>
      </c>
      <c r="Q5" s="89">
        <f t="shared" si="1"/>
        <v>8.4446624168383195</v>
      </c>
      <c r="R5" s="90">
        <f t="shared" si="1"/>
        <v>9.0987891765031517</v>
      </c>
    </row>
    <row r="6" spans="1:18">
      <c r="A6" s="150"/>
      <c r="B6" s="1" t="s">
        <v>19</v>
      </c>
      <c r="C6" s="2">
        <v>0.6</v>
      </c>
      <c r="F6" s="3" t="s">
        <v>30</v>
      </c>
      <c r="G6" s="1" t="s">
        <v>27</v>
      </c>
      <c r="H6" s="1">
        <f>MAX(0,H5-Wmat)</f>
        <v>0</v>
      </c>
      <c r="I6" s="89">
        <f t="shared" ref="I6:R6" si="2">MAX(0,I5-Wmat)</f>
        <v>0</v>
      </c>
      <c r="J6" s="89">
        <f t="shared" si="2"/>
        <v>0</v>
      </c>
      <c r="K6" s="89">
        <f t="shared" si="2"/>
        <v>0.23397621309847327</v>
      </c>
      <c r="L6" s="89">
        <f t="shared" si="2"/>
        <v>1.497920687322178</v>
      </c>
      <c r="M6" s="89">
        <f t="shared" si="2"/>
        <v>2.8170791220003428</v>
      </c>
      <c r="N6" s="89">
        <f t="shared" si="2"/>
        <v>4.0683707165183316</v>
      </c>
      <c r="O6" s="89">
        <f t="shared" si="2"/>
        <v>5.1859552163518652</v>
      </c>
      <c r="P6" s="89">
        <f t="shared" si="2"/>
        <v>6.1447624304444846</v>
      </c>
      <c r="Q6" s="89">
        <f t="shared" si="2"/>
        <v>6.9446624168383195</v>
      </c>
      <c r="R6" s="90">
        <f t="shared" si="2"/>
        <v>7.5987891765031517</v>
      </c>
    </row>
    <row r="7" spans="1:18">
      <c r="A7" s="85" t="s">
        <v>27</v>
      </c>
      <c r="B7" s="1" t="s">
        <v>7</v>
      </c>
      <c r="C7" s="2">
        <v>1.5</v>
      </c>
      <c r="F7" s="3" t="s">
        <v>29</v>
      </c>
      <c r="G7" s="1" t="s">
        <v>32</v>
      </c>
      <c r="H7" s="1">
        <f t="shared" ref="H7:R7" si="3">1/(1+EXP(-(H4-lenv50)/sdv))</f>
        <v>2.6662706008235179E-8</v>
      </c>
      <c r="I7" s="89">
        <f t="shared" si="3"/>
        <v>7.943099964778705E-5</v>
      </c>
      <c r="J7" s="89">
        <f t="shared" si="3"/>
        <v>3.6525057598242171E-2</v>
      </c>
      <c r="K7" s="89">
        <f t="shared" si="3"/>
        <v>0.81506959920156541</v>
      </c>
      <c r="L7" s="89">
        <f t="shared" si="3"/>
        <v>0.99423571624784779</v>
      </c>
      <c r="M7" s="89">
        <f t="shared" si="3"/>
        <v>0.99965710356892901</v>
      </c>
      <c r="N7" s="89">
        <f t="shared" si="3"/>
        <v>0.99996123080004629</v>
      </c>
      <c r="O7" s="89">
        <f t="shared" si="3"/>
        <v>0.99999278124083879</v>
      </c>
      <c r="P7" s="89">
        <f t="shared" si="3"/>
        <v>0.9999980249964473</v>
      </c>
      <c r="Q7" s="89">
        <f t="shared" si="3"/>
        <v>0.99999927298087077</v>
      </c>
      <c r="R7" s="90">
        <f t="shared" si="3"/>
        <v>0.9999996635719447</v>
      </c>
    </row>
    <row r="8" spans="1:18">
      <c r="A8" s="7" t="s">
        <v>13</v>
      </c>
      <c r="B8" s="1" t="s">
        <v>14</v>
      </c>
      <c r="C8" s="2">
        <v>0.25</v>
      </c>
      <c r="F8" s="3" t="s">
        <v>29</v>
      </c>
      <c r="G8" s="1" t="s">
        <v>35</v>
      </c>
      <c r="H8" s="1">
        <v>1</v>
      </c>
      <c r="I8" s="89">
        <f t="shared" ref="I8:R8" si="4">H8*EXP(-M)</f>
        <v>0.77880078307140488</v>
      </c>
      <c r="J8" s="89">
        <f t="shared" si="4"/>
        <v>0.60653065971263342</v>
      </c>
      <c r="K8" s="89">
        <f t="shared" si="4"/>
        <v>0.47236655274101469</v>
      </c>
      <c r="L8" s="89">
        <f t="shared" si="4"/>
        <v>0.36787944117144233</v>
      </c>
      <c r="M8" s="89">
        <f t="shared" si="4"/>
        <v>0.28650479686019009</v>
      </c>
      <c r="N8" s="89">
        <f t="shared" si="4"/>
        <v>0.22313016014842982</v>
      </c>
      <c r="O8" s="89">
        <f t="shared" si="4"/>
        <v>0.17377394345044511</v>
      </c>
      <c r="P8" s="89">
        <f t="shared" si="4"/>
        <v>0.13533528323661267</v>
      </c>
      <c r="Q8" s="89">
        <f t="shared" si="4"/>
        <v>0.10539922456186432</v>
      </c>
      <c r="R8" s="90">
        <f t="shared" si="4"/>
        <v>8.2084998623898786E-2</v>
      </c>
    </row>
    <row r="9" spans="1:18" ht="18" customHeight="1" thickBot="1">
      <c r="A9" s="150" t="s">
        <v>11</v>
      </c>
      <c r="B9" s="1" t="s">
        <v>34</v>
      </c>
      <c r="C9" s="2">
        <v>175</v>
      </c>
      <c r="F9" s="6" t="s">
        <v>29</v>
      </c>
      <c r="G9" s="4" t="s">
        <v>36</v>
      </c>
      <c r="H9" s="4">
        <v>1</v>
      </c>
      <c r="I9" s="91">
        <f t="shared" ref="I9:R9" si="5">H9*EXP(-(M+$C$12))</f>
        <v>0.63762815162177333</v>
      </c>
      <c r="J9" s="91">
        <f t="shared" si="5"/>
        <v>0.40656965974059917</v>
      </c>
      <c r="K9" s="91">
        <f t="shared" si="5"/>
        <v>0.25924026064589156</v>
      </c>
      <c r="L9" s="91">
        <f t="shared" si="5"/>
        <v>0.16529888822158659</v>
      </c>
      <c r="M9" s="91">
        <f t="shared" si="5"/>
        <v>0.10539922456186437</v>
      </c>
      <c r="N9" s="91">
        <f t="shared" si="5"/>
        <v>6.7205512739749798E-2</v>
      </c>
      <c r="O9" s="91">
        <f t="shared" si="5"/>
        <v>4.2852126867040201E-2</v>
      </c>
      <c r="P9" s="91">
        <f t="shared" si="5"/>
        <v>2.7323722447292576E-2</v>
      </c>
      <c r="Q9" s="91">
        <f t="shared" si="5"/>
        <v>1.7422374639493522E-2</v>
      </c>
      <c r="R9" s="91">
        <f t="shared" si="5"/>
        <v>1.1108996538242313E-2</v>
      </c>
    </row>
    <row r="10" spans="1:18" ht="16" customHeight="1" thickBot="1">
      <c r="A10" s="151"/>
      <c r="B10" s="4" t="s">
        <v>12</v>
      </c>
      <c r="C10" s="5">
        <v>10</v>
      </c>
    </row>
    <row r="11" spans="1:18" ht="17" customHeight="1"/>
    <row r="12" spans="1:18" ht="16" customHeight="1">
      <c r="A12" s="152" t="s">
        <v>82</v>
      </c>
      <c r="B12" s="152"/>
      <c r="C12">
        <v>0.2</v>
      </c>
    </row>
    <row r="13" spans="1:18">
      <c r="A13" s="145"/>
      <c r="B13" s="145"/>
      <c r="C13" s="145"/>
    </row>
    <row r="17" spans="1:64"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</row>
    <row r="25" spans="1:64">
      <c r="A25" s="145"/>
      <c r="B25" s="145"/>
      <c r="C25" s="145"/>
    </row>
    <row r="29" spans="1:64" ht="16" customHeight="1"/>
    <row r="30" spans="1:64">
      <c r="A30" s="145"/>
      <c r="B30" s="145"/>
      <c r="C30" s="145"/>
    </row>
    <row r="31" spans="1:64" ht="17" customHeight="1">
      <c r="A31" s="145"/>
    </row>
    <row r="32" spans="1:64">
      <c r="A32" s="145"/>
    </row>
    <row r="33" spans="1:64">
      <c r="A33" s="145"/>
    </row>
    <row r="34" spans="1:64" ht="16" customHeight="1">
      <c r="A34" s="145"/>
    </row>
    <row r="35" spans="1:64">
      <c r="A35" s="145"/>
    </row>
    <row r="36" spans="1:64">
      <c r="A36" s="145"/>
    </row>
    <row r="37" spans="1:64" ht="16" customHeight="1">
      <c r="A37" s="145"/>
    </row>
    <row r="38" spans="1:64">
      <c r="A38" s="145"/>
    </row>
    <row r="39" spans="1:64">
      <c r="A39" s="145"/>
    </row>
    <row r="41" spans="1:64">
      <c r="AN41" s="145"/>
      <c r="AO41" s="145"/>
      <c r="AP41" s="145"/>
      <c r="AQ41" s="145"/>
      <c r="AR41" s="145"/>
      <c r="AS41" s="145"/>
      <c r="AT41" s="145"/>
      <c r="AU41" s="145"/>
      <c r="AV41" s="145"/>
      <c r="AW41" s="145"/>
      <c r="AX41" s="145"/>
      <c r="AY41" s="145"/>
      <c r="BA41" s="145"/>
      <c r="BB41" s="145"/>
      <c r="BC41" s="145"/>
      <c r="BD41" s="145"/>
      <c r="BE41" s="145"/>
      <c r="BF41" s="145"/>
      <c r="BG41" s="145"/>
      <c r="BH41" s="145"/>
      <c r="BI41" s="145"/>
      <c r="BJ41" s="145"/>
      <c r="BK41" s="145"/>
      <c r="BL41" s="145"/>
    </row>
  </sheetData>
  <mergeCells count="17">
    <mergeCell ref="A37:A39"/>
    <mergeCell ref="A25:C25"/>
    <mergeCell ref="A30:C30"/>
    <mergeCell ref="A31:A33"/>
    <mergeCell ref="A34:A36"/>
    <mergeCell ref="AN41:AY41"/>
    <mergeCell ref="BA17:BL17"/>
    <mergeCell ref="AN17:AY17"/>
    <mergeCell ref="BA41:BL41"/>
    <mergeCell ref="N17:Y17"/>
    <mergeCell ref="AA17:AL17"/>
    <mergeCell ref="A13:C13"/>
    <mergeCell ref="A1:C1"/>
    <mergeCell ref="A2:A3"/>
    <mergeCell ref="A4:A6"/>
    <mergeCell ref="A9:A10"/>
    <mergeCell ref="A12:B1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0666-FAB0-2642-9E71-A8B187330EAA}">
  <dimension ref="A1:BL64"/>
  <sheetViews>
    <sheetView topLeftCell="K6" zoomScale="121" zoomScaleNormal="121" workbookViewId="0">
      <selection activeCell="B19" sqref="B19"/>
    </sheetView>
  </sheetViews>
  <sheetFormatPr baseColWidth="10" defaultRowHeight="16"/>
  <cols>
    <col min="1" max="1" width="12.140625" customWidth="1"/>
    <col min="3" max="3" width="13.42578125" bestFit="1" customWidth="1"/>
    <col min="5" max="5" width="8.140625" customWidth="1"/>
    <col min="6" max="6" width="7.5703125" customWidth="1"/>
    <col min="8" max="8" width="6.140625" customWidth="1"/>
    <col min="9" max="9" width="7.85546875" customWidth="1"/>
    <col min="10" max="10" width="6.85546875" customWidth="1"/>
    <col min="11" max="14" width="6.140625" customWidth="1"/>
    <col min="15" max="25" width="5.28515625" customWidth="1"/>
    <col min="26" max="27" width="5.42578125" customWidth="1"/>
    <col min="28" max="38" width="6.140625" customWidth="1"/>
    <col min="40" max="51" width="5.42578125" customWidth="1"/>
    <col min="53" max="64" width="4.7109375" customWidth="1"/>
  </cols>
  <sheetData>
    <row r="1" spans="1:18">
      <c r="A1" s="146" t="s">
        <v>0</v>
      </c>
      <c r="B1" s="147"/>
      <c r="C1" s="148"/>
      <c r="F1" s="10" t="s">
        <v>31</v>
      </c>
      <c r="G1" s="11"/>
      <c r="H1" s="11"/>
      <c r="I1" s="11"/>
      <c r="J1" s="11"/>
      <c r="K1" s="12"/>
      <c r="L1" s="12"/>
      <c r="M1" s="12"/>
      <c r="N1" s="12"/>
      <c r="O1" s="12"/>
      <c r="P1" s="12"/>
      <c r="Q1" s="12"/>
      <c r="R1" s="13"/>
    </row>
    <row r="2" spans="1:18">
      <c r="A2" s="149" t="s">
        <v>1</v>
      </c>
      <c r="B2" s="1" t="s">
        <v>2</v>
      </c>
      <c r="C2" s="9">
        <v>1.4999999999999999E-7</v>
      </c>
      <c r="F2" s="86" t="s">
        <v>22</v>
      </c>
      <c r="G2" s="87" t="s">
        <v>23</v>
      </c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spans="1:18">
      <c r="A3" s="149"/>
      <c r="B3" s="1" t="s">
        <v>3</v>
      </c>
      <c r="C3" s="2">
        <v>3.1</v>
      </c>
      <c r="F3" s="3" t="s">
        <v>28</v>
      </c>
      <c r="G3" s="1" t="s">
        <v>24</v>
      </c>
      <c r="H3" s="1">
        <v>0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8</v>
      </c>
      <c r="Q3" s="1">
        <v>9</v>
      </c>
      <c r="R3" s="2">
        <v>10</v>
      </c>
    </row>
    <row r="4" spans="1:18">
      <c r="A4" s="150" t="s">
        <v>4</v>
      </c>
      <c r="B4" s="1" t="s">
        <v>5</v>
      </c>
      <c r="C4" s="2">
        <v>350</v>
      </c>
      <c r="F4" s="3" t="s">
        <v>81</v>
      </c>
      <c r="G4" s="1" t="s">
        <v>25</v>
      </c>
      <c r="H4" s="1">
        <f t="shared" ref="H4:R4" si="0">Linf-(Linf-Lo)*EXP(-vbk*H$3)</f>
        <v>0.60000000000002274</v>
      </c>
      <c r="I4" s="1">
        <f t="shared" si="0"/>
        <v>80.594575920233979</v>
      </c>
      <c r="J4" s="1">
        <f t="shared" si="0"/>
        <v>142.27452053921411</v>
      </c>
      <c r="K4" s="1">
        <f t="shared" si="0"/>
        <v>189.83293964995491</v>
      </c>
      <c r="L4" s="1">
        <f t="shared" si="0"/>
        <v>226.50293412360222</v>
      </c>
      <c r="M4" s="1">
        <f t="shared" si="0"/>
        <v>254.777391513916</v>
      </c>
      <c r="N4" s="1">
        <f t="shared" si="0"/>
        <v>276.57845672245281</v>
      </c>
      <c r="O4" s="1">
        <f t="shared" si="0"/>
        <v>293.38820262370206</v>
      </c>
      <c r="P4" s="1">
        <f t="shared" si="0"/>
        <v>306.34938385781533</v>
      </c>
      <c r="Q4" s="1">
        <f t="shared" si="0"/>
        <v>316.34312320226576</v>
      </c>
      <c r="R4" s="2">
        <f t="shared" si="0"/>
        <v>324.04881177191174</v>
      </c>
    </row>
    <row r="5" spans="1:18">
      <c r="A5" s="150"/>
      <c r="B5" s="1" t="s">
        <v>6</v>
      </c>
      <c r="C5" s="2">
        <v>0.26</v>
      </c>
      <c r="F5" s="3" t="s">
        <v>33</v>
      </c>
      <c r="G5" s="1" t="s">
        <v>26</v>
      </c>
      <c r="H5" s="1">
        <f t="shared" ref="H5:R5" si="1">lwa*(H$4^lwb)</f>
        <v>3.0786487014787529E-8</v>
      </c>
      <c r="I5" s="1">
        <f t="shared" si="1"/>
        <v>0.12179775510938466</v>
      </c>
      <c r="J5" s="1">
        <f t="shared" si="1"/>
        <v>0.70922716923537987</v>
      </c>
      <c r="K5" s="1">
        <f t="shared" si="1"/>
        <v>1.7339762130984733</v>
      </c>
      <c r="L5" s="1">
        <f t="shared" si="1"/>
        <v>2.997920687322178</v>
      </c>
      <c r="M5" s="1">
        <f t="shared" si="1"/>
        <v>4.3170791220003428</v>
      </c>
      <c r="N5" s="1">
        <f t="shared" si="1"/>
        <v>5.5683707165183316</v>
      </c>
      <c r="O5" s="1">
        <f t="shared" si="1"/>
        <v>6.6859552163518652</v>
      </c>
      <c r="P5" s="1">
        <f t="shared" si="1"/>
        <v>7.6447624304444846</v>
      </c>
      <c r="Q5" s="1">
        <f t="shared" si="1"/>
        <v>8.4446624168383195</v>
      </c>
      <c r="R5" s="2">
        <f t="shared" si="1"/>
        <v>9.0987891765031517</v>
      </c>
    </row>
    <row r="6" spans="1:18">
      <c r="A6" s="150"/>
      <c r="B6" s="1" t="s">
        <v>19</v>
      </c>
      <c r="C6" s="2">
        <v>0.6</v>
      </c>
      <c r="F6" s="3" t="s">
        <v>30</v>
      </c>
      <c r="G6" s="1" t="s">
        <v>27</v>
      </c>
      <c r="H6" s="1">
        <f t="shared" ref="H6:R6" si="2">MAX(0,H5-Wmat)</f>
        <v>0</v>
      </c>
      <c r="I6" s="1">
        <f t="shared" si="2"/>
        <v>0</v>
      </c>
      <c r="J6" s="1">
        <f t="shared" si="2"/>
        <v>0</v>
      </c>
      <c r="K6" s="1">
        <f t="shared" si="2"/>
        <v>0.23397621309847327</v>
      </c>
      <c r="L6" s="1">
        <f t="shared" si="2"/>
        <v>1.497920687322178</v>
      </c>
      <c r="M6" s="1">
        <f t="shared" si="2"/>
        <v>2.8170791220003428</v>
      </c>
      <c r="N6" s="1">
        <f t="shared" si="2"/>
        <v>4.0683707165183316</v>
      </c>
      <c r="O6" s="1">
        <f t="shared" si="2"/>
        <v>5.1859552163518652</v>
      </c>
      <c r="P6" s="1">
        <f t="shared" si="2"/>
        <v>6.1447624304444846</v>
      </c>
      <c r="Q6" s="1">
        <f t="shared" si="2"/>
        <v>6.9446624168383195</v>
      </c>
      <c r="R6" s="2">
        <f t="shared" si="2"/>
        <v>7.5987891765031517</v>
      </c>
    </row>
    <row r="7" spans="1:18">
      <c r="A7" s="85" t="s">
        <v>27</v>
      </c>
      <c r="B7" s="1" t="s">
        <v>7</v>
      </c>
      <c r="C7" s="2">
        <v>1.5</v>
      </c>
      <c r="F7" s="3" t="s">
        <v>29</v>
      </c>
      <c r="G7" s="1" t="s">
        <v>32</v>
      </c>
      <c r="H7" s="1">
        <f t="shared" ref="H7:R7" si="3">1/(1+EXP(-(H4-lenv50)/sdv))</f>
        <v>2.6662706008235179E-8</v>
      </c>
      <c r="I7" s="1">
        <f t="shared" si="3"/>
        <v>7.943099964778705E-5</v>
      </c>
      <c r="J7" s="1">
        <f t="shared" si="3"/>
        <v>3.6525057598242171E-2</v>
      </c>
      <c r="K7" s="1">
        <f t="shared" si="3"/>
        <v>0.81506959920156541</v>
      </c>
      <c r="L7" s="1">
        <f t="shared" si="3"/>
        <v>0.99423571624784779</v>
      </c>
      <c r="M7" s="1">
        <f t="shared" si="3"/>
        <v>0.99965710356892901</v>
      </c>
      <c r="N7" s="1">
        <f t="shared" si="3"/>
        <v>0.99996123080004629</v>
      </c>
      <c r="O7" s="1">
        <f t="shared" si="3"/>
        <v>0.99999278124083879</v>
      </c>
      <c r="P7" s="1">
        <f t="shared" si="3"/>
        <v>0.9999980249964473</v>
      </c>
      <c r="Q7" s="1">
        <f t="shared" si="3"/>
        <v>0.99999927298087077</v>
      </c>
      <c r="R7" s="2">
        <f t="shared" si="3"/>
        <v>0.9999996635719447</v>
      </c>
    </row>
    <row r="8" spans="1:18">
      <c r="A8" s="7" t="s">
        <v>13</v>
      </c>
      <c r="B8" s="1" t="s">
        <v>14</v>
      </c>
      <c r="C8" s="2">
        <v>0.25</v>
      </c>
      <c r="F8" s="3" t="s">
        <v>29</v>
      </c>
      <c r="G8" s="1" t="s">
        <v>35</v>
      </c>
      <c r="H8" s="1">
        <v>1</v>
      </c>
      <c r="I8" s="1">
        <f t="shared" ref="I8:R8" si="4">H8*EXP(-M)</f>
        <v>0.77880078307140488</v>
      </c>
      <c r="J8" s="1">
        <f t="shared" si="4"/>
        <v>0.60653065971263342</v>
      </c>
      <c r="K8" s="1">
        <f t="shared" si="4"/>
        <v>0.47236655274101469</v>
      </c>
      <c r="L8" s="1">
        <f t="shared" si="4"/>
        <v>0.36787944117144233</v>
      </c>
      <c r="M8" s="1">
        <f t="shared" si="4"/>
        <v>0.28650479686019009</v>
      </c>
      <c r="N8" s="1">
        <f t="shared" si="4"/>
        <v>0.22313016014842982</v>
      </c>
      <c r="O8" s="1">
        <f t="shared" si="4"/>
        <v>0.17377394345044511</v>
      </c>
      <c r="P8" s="1">
        <f t="shared" si="4"/>
        <v>0.13533528323661267</v>
      </c>
      <c r="Q8" s="1">
        <f t="shared" si="4"/>
        <v>0.10539922456186432</v>
      </c>
      <c r="R8" s="2">
        <f t="shared" si="4"/>
        <v>8.2084998623898786E-2</v>
      </c>
    </row>
    <row r="9" spans="1:18" ht="18" customHeight="1" thickBot="1">
      <c r="A9" s="150" t="s">
        <v>11</v>
      </c>
      <c r="B9" s="1" t="s">
        <v>34</v>
      </c>
      <c r="C9" s="2">
        <v>175</v>
      </c>
      <c r="F9" s="6" t="s">
        <v>29</v>
      </c>
      <c r="G9" s="4" t="s">
        <v>36</v>
      </c>
      <c r="H9" s="4">
        <v>1</v>
      </c>
      <c r="I9" s="4">
        <f t="shared" ref="I9:R9" si="5">H9*EXP(-(M+$C$12))</f>
        <v>0.63762815162177333</v>
      </c>
      <c r="J9" s="4">
        <f t="shared" si="5"/>
        <v>0.40656965974059917</v>
      </c>
      <c r="K9" s="4">
        <f t="shared" si="5"/>
        <v>0.25924026064589156</v>
      </c>
      <c r="L9" s="4">
        <f t="shared" si="5"/>
        <v>0.16529888822158659</v>
      </c>
      <c r="M9" s="4">
        <f t="shared" si="5"/>
        <v>0.10539922456186437</v>
      </c>
      <c r="N9" s="4">
        <f t="shared" si="5"/>
        <v>6.7205512739749798E-2</v>
      </c>
      <c r="O9" s="4">
        <f t="shared" si="5"/>
        <v>4.2852126867040201E-2</v>
      </c>
      <c r="P9" s="4">
        <f t="shared" si="5"/>
        <v>2.7323722447292576E-2</v>
      </c>
      <c r="Q9" s="4">
        <f t="shared" si="5"/>
        <v>1.7422374639493522E-2</v>
      </c>
      <c r="R9" s="4">
        <f t="shared" si="5"/>
        <v>1.1108996538242313E-2</v>
      </c>
    </row>
    <row r="10" spans="1:18" ht="16" customHeight="1" thickBot="1">
      <c r="A10" s="151"/>
      <c r="B10" s="4" t="s">
        <v>12</v>
      </c>
      <c r="C10" s="5">
        <v>10</v>
      </c>
    </row>
    <row r="11" spans="1:18" ht="17" customHeight="1"/>
    <row r="12" spans="1:18" ht="16" customHeight="1">
      <c r="A12" s="152" t="s">
        <v>82</v>
      </c>
      <c r="B12" s="152"/>
      <c r="C12" s="88">
        <v>0.2</v>
      </c>
      <c r="D12" s="88"/>
    </row>
    <row r="13" spans="1:18">
      <c r="A13" s="145"/>
      <c r="B13" s="145"/>
      <c r="C13" s="145"/>
      <c r="D13" s="88"/>
    </row>
    <row r="14" spans="1:18">
      <c r="A14" s="88"/>
      <c r="B14" s="88"/>
      <c r="C14" s="88"/>
      <c r="D14" s="88"/>
    </row>
    <row r="15" spans="1:18">
      <c r="A15" s="88"/>
      <c r="B15" s="88"/>
      <c r="C15" s="88"/>
      <c r="D15" s="88"/>
    </row>
    <row r="16" spans="1:18" ht="17" thickBot="1">
      <c r="A16" s="88"/>
      <c r="B16" s="88"/>
      <c r="C16" s="88"/>
      <c r="D16" s="88"/>
      <c r="G16" s="14"/>
    </row>
    <row r="17" spans="1:64">
      <c r="A17" s="88"/>
      <c r="B17" s="88"/>
      <c r="C17" s="88"/>
      <c r="D17" s="88"/>
      <c r="E17" s="88"/>
      <c r="F17" s="88"/>
      <c r="G17" s="88"/>
      <c r="J17" s="153" t="s">
        <v>39</v>
      </c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5"/>
      <c r="V17" s="100"/>
      <c r="W17" s="100"/>
      <c r="X17" s="100"/>
      <c r="Y17" s="100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88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</row>
    <row r="18" spans="1:64" ht="17" thickBot="1">
      <c r="A18" s="88"/>
      <c r="B18" s="88"/>
      <c r="C18" s="88"/>
      <c r="D18" s="88"/>
      <c r="E18" s="88"/>
      <c r="F18" s="88"/>
      <c r="G18" s="88"/>
      <c r="J18" s="15"/>
      <c r="K18" s="28" t="s">
        <v>37</v>
      </c>
      <c r="L18" s="28"/>
      <c r="M18" s="28"/>
      <c r="N18" s="28"/>
      <c r="O18" s="28"/>
      <c r="P18" s="28"/>
      <c r="Q18" s="28"/>
      <c r="R18" s="28"/>
      <c r="S18" s="28"/>
      <c r="T18" s="28"/>
      <c r="U18" s="29"/>
      <c r="V18" s="94"/>
      <c r="W18" s="94"/>
      <c r="X18" s="94"/>
      <c r="Y18" s="94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</row>
    <row r="19" spans="1:64">
      <c r="A19" s="88"/>
      <c r="B19" s="88"/>
      <c r="C19" s="88"/>
      <c r="D19" s="88"/>
      <c r="E19" s="88"/>
      <c r="F19" s="94" t="s">
        <v>38</v>
      </c>
      <c r="G19" s="106" t="s">
        <v>46</v>
      </c>
      <c r="H19" s="38" t="s">
        <v>85</v>
      </c>
      <c r="I19" s="111" t="s">
        <v>86</v>
      </c>
      <c r="J19" s="32" t="s">
        <v>38</v>
      </c>
      <c r="K19" s="30">
        <v>0</v>
      </c>
      <c r="L19" s="30">
        <v>1</v>
      </c>
      <c r="M19" s="30">
        <v>2</v>
      </c>
      <c r="N19" s="30">
        <v>3</v>
      </c>
      <c r="O19" s="30">
        <v>4</v>
      </c>
      <c r="P19" s="30">
        <v>5</v>
      </c>
      <c r="Q19" s="30">
        <v>6</v>
      </c>
      <c r="R19" s="30">
        <v>7</v>
      </c>
      <c r="S19" s="30">
        <v>8</v>
      </c>
      <c r="T19" s="30">
        <v>9</v>
      </c>
      <c r="U19" s="31">
        <v>10</v>
      </c>
      <c r="V19" s="94"/>
      <c r="W19" s="94"/>
      <c r="X19" s="94"/>
      <c r="Y19" s="94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</row>
    <row r="20" spans="1:64">
      <c r="A20" s="88"/>
      <c r="B20" s="88"/>
      <c r="C20" s="88"/>
      <c r="D20" s="88"/>
      <c r="E20" s="88"/>
      <c r="F20" s="94">
        <v>1</v>
      </c>
      <c r="G20" s="15">
        <f t="shared" ref="G20:G39" si="6">SUM(K20:U20)</f>
        <v>2806</v>
      </c>
      <c r="H20" s="18">
        <v>412.24912799128799</v>
      </c>
      <c r="I20" s="16">
        <f>G20/H20</f>
        <v>6.8065638214262005</v>
      </c>
      <c r="J20" s="33">
        <v>1</v>
      </c>
      <c r="K20" s="18">
        <v>0</v>
      </c>
      <c r="L20" s="18">
        <v>0</v>
      </c>
      <c r="M20" s="18">
        <v>106</v>
      </c>
      <c r="N20" s="18">
        <v>681</v>
      </c>
      <c r="O20" s="18">
        <v>541</v>
      </c>
      <c r="P20" s="18">
        <v>421</v>
      </c>
      <c r="Q20" s="18">
        <v>328</v>
      </c>
      <c r="R20" s="18">
        <v>255</v>
      </c>
      <c r="S20" s="18">
        <v>199</v>
      </c>
      <c r="T20" s="18">
        <v>155</v>
      </c>
      <c r="U20" s="16">
        <v>120</v>
      </c>
      <c r="V20" s="94"/>
      <c r="W20" s="94"/>
      <c r="X20" s="94"/>
      <c r="Y20" s="94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</row>
    <row r="21" spans="1:64">
      <c r="A21" s="88"/>
      <c r="B21" s="88"/>
      <c r="C21" s="88"/>
      <c r="D21" s="88"/>
      <c r="E21" s="88"/>
      <c r="F21" s="94">
        <v>2</v>
      </c>
      <c r="G21" s="15">
        <f t="shared" si="6"/>
        <v>1966</v>
      </c>
      <c r="H21" s="18">
        <v>496.39116814446777</v>
      </c>
      <c r="I21" s="16">
        <f t="shared" ref="I21:I39" si="7">G21/H21</f>
        <v>3.9605861791397201</v>
      </c>
      <c r="J21" s="33">
        <v>2</v>
      </c>
      <c r="K21" s="18">
        <v>0</v>
      </c>
      <c r="L21" s="18">
        <v>0</v>
      </c>
      <c r="M21" s="18">
        <v>146</v>
      </c>
      <c r="N21" s="18">
        <v>660</v>
      </c>
      <c r="O21" s="18">
        <v>314</v>
      </c>
      <c r="P21" s="18">
        <v>241</v>
      </c>
      <c r="Q21" s="18">
        <v>188</v>
      </c>
      <c r="R21" s="18">
        <v>146</v>
      </c>
      <c r="S21" s="18">
        <v>114</v>
      </c>
      <c r="T21" s="18">
        <v>88</v>
      </c>
      <c r="U21" s="16">
        <v>69</v>
      </c>
      <c r="V21" s="94"/>
      <c r="W21" s="94"/>
      <c r="X21" s="94"/>
      <c r="Y21" s="94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</row>
    <row r="22" spans="1:64">
      <c r="A22" s="88"/>
      <c r="B22" s="88"/>
      <c r="C22" s="88"/>
      <c r="D22" s="88"/>
      <c r="E22" s="88"/>
      <c r="F22" s="94">
        <v>3</v>
      </c>
      <c r="G22" s="15">
        <f t="shared" si="6"/>
        <v>1207</v>
      </c>
      <c r="H22" s="18">
        <v>188.24436422588224</v>
      </c>
      <c r="I22" s="16">
        <f t="shared" si="7"/>
        <v>6.4118785439529571</v>
      </c>
      <c r="J22" s="33">
        <v>3</v>
      </c>
      <c r="K22" s="18">
        <v>0</v>
      </c>
      <c r="L22" s="18">
        <v>0</v>
      </c>
      <c r="M22" s="18">
        <v>49</v>
      </c>
      <c r="N22" s="18">
        <v>482</v>
      </c>
      <c r="O22" s="18">
        <v>248</v>
      </c>
      <c r="P22" s="18">
        <v>123</v>
      </c>
      <c r="Q22" s="18">
        <v>95</v>
      </c>
      <c r="R22" s="18">
        <v>74</v>
      </c>
      <c r="S22" s="18">
        <v>57</v>
      </c>
      <c r="T22" s="18">
        <v>44</v>
      </c>
      <c r="U22" s="16">
        <v>35</v>
      </c>
      <c r="V22" s="94"/>
      <c r="W22" s="94"/>
      <c r="X22" s="94"/>
      <c r="Y22" s="94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88"/>
      <c r="BI22" s="88"/>
      <c r="BJ22" s="88"/>
      <c r="BK22" s="88"/>
      <c r="BL22" s="88"/>
    </row>
    <row r="23" spans="1:64">
      <c r="A23" s="88"/>
      <c r="B23" s="88"/>
      <c r="C23" s="88"/>
      <c r="D23" s="88"/>
      <c r="E23" s="88"/>
      <c r="F23" s="94">
        <v>4</v>
      </c>
      <c r="G23" s="15">
        <f t="shared" si="6"/>
        <v>1440</v>
      </c>
      <c r="H23" s="18">
        <v>323.67359571820191</v>
      </c>
      <c r="I23" s="16">
        <f t="shared" si="7"/>
        <v>4.4489263846337934</v>
      </c>
      <c r="J23" s="33">
        <v>4</v>
      </c>
      <c r="K23" s="18">
        <v>0</v>
      </c>
      <c r="L23" s="18">
        <v>0</v>
      </c>
      <c r="M23" s="18">
        <v>83</v>
      </c>
      <c r="N23" s="18">
        <v>628</v>
      </c>
      <c r="O23" s="18">
        <v>339</v>
      </c>
      <c r="P23" s="18">
        <v>151</v>
      </c>
      <c r="Q23" s="18">
        <v>75</v>
      </c>
      <c r="R23" s="18">
        <v>57</v>
      </c>
      <c r="S23" s="18">
        <v>45</v>
      </c>
      <c r="T23" s="18">
        <v>35</v>
      </c>
      <c r="U23" s="16">
        <v>27</v>
      </c>
      <c r="V23" s="94"/>
      <c r="W23" s="94"/>
      <c r="X23" s="94"/>
      <c r="Y23" s="94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</row>
    <row r="24" spans="1:64">
      <c r="A24" s="88"/>
      <c r="B24" s="88"/>
      <c r="C24" s="88"/>
      <c r="D24" s="88"/>
      <c r="E24" s="88"/>
      <c r="F24" s="94">
        <v>5</v>
      </c>
      <c r="G24" s="15">
        <f t="shared" si="6"/>
        <v>1171</v>
      </c>
      <c r="H24" s="18">
        <v>202.24580574140785</v>
      </c>
      <c r="I24" s="16">
        <f t="shared" si="7"/>
        <v>5.7899841023019505</v>
      </c>
      <c r="J24" s="33">
        <v>5</v>
      </c>
      <c r="K24" s="18">
        <v>0</v>
      </c>
      <c r="L24" s="18">
        <v>0</v>
      </c>
      <c r="M24" s="18">
        <v>46</v>
      </c>
      <c r="N24" s="18">
        <v>540</v>
      </c>
      <c r="O24" s="18">
        <v>287</v>
      </c>
      <c r="P24" s="18">
        <v>144</v>
      </c>
      <c r="Q24" s="18">
        <v>64</v>
      </c>
      <c r="R24" s="18">
        <v>32</v>
      </c>
      <c r="S24" s="18">
        <v>24</v>
      </c>
      <c r="T24" s="18">
        <v>19</v>
      </c>
      <c r="U24" s="16">
        <v>15</v>
      </c>
      <c r="V24" s="94"/>
      <c r="W24" s="94"/>
      <c r="X24" s="94"/>
      <c r="Y24" s="94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</row>
    <row r="25" spans="1:64">
      <c r="A25" s="145"/>
      <c r="B25" s="145"/>
      <c r="C25" s="145"/>
      <c r="D25" s="88"/>
      <c r="E25" s="88"/>
      <c r="F25" s="94">
        <v>6</v>
      </c>
      <c r="G25" s="15">
        <f t="shared" si="6"/>
        <v>1154</v>
      </c>
      <c r="H25" s="18">
        <v>221.55067447341082</v>
      </c>
      <c r="I25" s="16">
        <f t="shared" si="7"/>
        <v>5.2087406312026197</v>
      </c>
      <c r="J25" s="33">
        <v>6</v>
      </c>
      <c r="K25" s="18">
        <v>0</v>
      </c>
      <c r="L25" s="18">
        <v>0</v>
      </c>
      <c r="M25" s="18">
        <v>46</v>
      </c>
      <c r="N25" s="18">
        <v>478</v>
      </c>
      <c r="O25" s="18">
        <v>327</v>
      </c>
      <c r="P25" s="18">
        <v>153</v>
      </c>
      <c r="Q25" s="18">
        <v>76</v>
      </c>
      <c r="R25" s="18">
        <v>34</v>
      </c>
      <c r="S25" s="18">
        <v>17</v>
      </c>
      <c r="T25" s="18">
        <v>13</v>
      </c>
      <c r="U25" s="16">
        <v>10</v>
      </c>
      <c r="V25" s="94"/>
      <c r="W25" s="94"/>
      <c r="X25" s="94"/>
      <c r="Y25" s="94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</row>
    <row r="26" spans="1:64">
      <c r="A26" s="88"/>
      <c r="B26" s="88"/>
      <c r="C26" s="88"/>
      <c r="D26" s="88"/>
      <c r="E26" s="88"/>
      <c r="F26" s="94">
        <v>7</v>
      </c>
      <c r="G26" s="15">
        <f t="shared" si="6"/>
        <v>907</v>
      </c>
      <c r="H26" s="18">
        <v>235.88523360555769</v>
      </c>
      <c r="I26" s="16">
        <f t="shared" si="7"/>
        <v>3.8450901997395319</v>
      </c>
      <c r="J26" s="33">
        <v>7</v>
      </c>
      <c r="K26" s="18">
        <v>0</v>
      </c>
      <c r="L26" s="18">
        <v>0</v>
      </c>
      <c r="M26" s="18">
        <v>34</v>
      </c>
      <c r="N26" s="18">
        <v>351</v>
      </c>
      <c r="O26" s="18">
        <v>240</v>
      </c>
      <c r="P26" s="18">
        <v>149</v>
      </c>
      <c r="Q26" s="18">
        <v>70</v>
      </c>
      <c r="R26" s="18">
        <v>35</v>
      </c>
      <c r="S26" s="18">
        <v>15</v>
      </c>
      <c r="T26" s="18">
        <v>7</v>
      </c>
      <c r="U26" s="16">
        <v>6</v>
      </c>
      <c r="V26" s="94"/>
      <c r="W26" s="94"/>
      <c r="X26" s="94"/>
      <c r="Y26" s="94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</row>
    <row r="27" spans="1:64">
      <c r="A27" s="88"/>
      <c r="B27" s="88"/>
      <c r="C27" s="88"/>
      <c r="D27" s="88"/>
      <c r="E27" s="88"/>
      <c r="F27" s="94">
        <v>8</v>
      </c>
      <c r="G27" s="15">
        <f t="shared" si="6"/>
        <v>883</v>
      </c>
      <c r="H27" s="18">
        <v>306.65970178479904</v>
      </c>
      <c r="I27" s="16">
        <f t="shared" si="7"/>
        <v>2.8794132220856734</v>
      </c>
      <c r="J27" s="33">
        <v>8</v>
      </c>
      <c r="K27" s="18">
        <v>0</v>
      </c>
      <c r="L27" s="18">
        <v>0</v>
      </c>
      <c r="M27" s="18">
        <v>44</v>
      </c>
      <c r="N27" s="18">
        <v>351</v>
      </c>
      <c r="O27" s="18">
        <v>212</v>
      </c>
      <c r="P27" s="18">
        <v>129</v>
      </c>
      <c r="Q27" s="18">
        <v>80</v>
      </c>
      <c r="R27" s="18">
        <v>37</v>
      </c>
      <c r="S27" s="18">
        <v>18</v>
      </c>
      <c r="T27" s="18">
        <v>8</v>
      </c>
      <c r="U27" s="16">
        <v>4</v>
      </c>
      <c r="V27" s="94"/>
      <c r="W27" s="94"/>
      <c r="X27" s="94"/>
      <c r="Y27" s="94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</row>
    <row r="28" spans="1:64">
      <c r="A28" s="88"/>
      <c r="B28" s="88"/>
      <c r="C28" s="88"/>
      <c r="D28" s="88"/>
      <c r="E28" s="88"/>
      <c r="F28" s="94">
        <v>9</v>
      </c>
      <c r="G28" s="15">
        <f t="shared" si="6"/>
        <v>644</v>
      </c>
      <c r="H28" s="18">
        <v>267.14062033052551</v>
      </c>
      <c r="I28" s="16">
        <f t="shared" si="7"/>
        <v>2.4107153723128931</v>
      </c>
      <c r="J28" s="33">
        <v>9</v>
      </c>
      <c r="K28" s="18">
        <v>0</v>
      </c>
      <c r="L28" s="18">
        <v>0</v>
      </c>
      <c r="M28" s="18">
        <v>28</v>
      </c>
      <c r="N28" s="18">
        <v>261</v>
      </c>
      <c r="O28" s="18">
        <v>155</v>
      </c>
      <c r="P28" s="18">
        <v>88</v>
      </c>
      <c r="Q28" s="18">
        <v>53</v>
      </c>
      <c r="R28" s="18">
        <v>33</v>
      </c>
      <c r="S28" s="18">
        <v>15</v>
      </c>
      <c r="T28" s="18">
        <v>8</v>
      </c>
      <c r="U28" s="16">
        <v>3</v>
      </c>
      <c r="V28" s="94"/>
      <c r="W28" s="94"/>
      <c r="X28" s="94"/>
      <c r="Y28" s="94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</row>
    <row r="29" spans="1:64" ht="16" customHeight="1">
      <c r="A29" s="88"/>
      <c r="B29" s="88"/>
      <c r="C29" s="88"/>
      <c r="D29" s="88"/>
      <c r="E29" s="88"/>
      <c r="F29" s="94">
        <v>10</v>
      </c>
      <c r="G29" s="15">
        <f t="shared" si="6"/>
        <v>384</v>
      </c>
      <c r="H29" s="18">
        <v>102.62482144956589</v>
      </c>
      <c r="I29" s="16">
        <f t="shared" si="7"/>
        <v>3.7417848292063884</v>
      </c>
      <c r="J29" s="33">
        <v>10</v>
      </c>
      <c r="K29" s="18">
        <v>0</v>
      </c>
      <c r="L29" s="18">
        <v>0</v>
      </c>
      <c r="M29" s="18">
        <v>11</v>
      </c>
      <c r="N29" s="18">
        <v>160</v>
      </c>
      <c r="O29" s="18">
        <v>97</v>
      </c>
      <c r="P29" s="18">
        <v>51</v>
      </c>
      <c r="Q29" s="18">
        <v>29</v>
      </c>
      <c r="R29" s="18">
        <v>18</v>
      </c>
      <c r="S29" s="18">
        <v>11</v>
      </c>
      <c r="T29" s="18">
        <v>5</v>
      </c>
      <c r="U29" s="16">
        <v>2</v>
      </c>
      <c r="V29" s="94"/>
      <c r="W29" s="94"/>
      <c r="X29" s="94"/>
      <c r="Y29" s="94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</row>
    <row r="30" spans="1:64">
      <c r="A30" s="145"/>
      <c r="B30" s="145"/>
      <c r="C30" s="145"/>
      <c r="D30" s="88"/>
      <c r="E30" s="88"/>
      <c r="F30" s="94">
        <v>11</v>
      </c>
      <c r="G30" s="15">
        <f t="shared" si="6"/>
        <v>663</v>
      </c>
      <c r="H30" s="18">
        <v>260.44640221469183</v>
      </c>
      <c r="I30" s="16">
        <f t="shared" si="7"/>
        <v>2.545629328576688</v>
      </c>
      <c r="J30" s="33">
        <v>11</v>
      </c>
      <c r="K30" s="18">
        <v>0</v>
      </c>
      <c r="L30" s="18">
        <v>0</v>
      </c>
      <c r="M30" s="18">
        <v>29</v>
      </c>
      <c r="N30" s="18">
        <v>258</v>
      </c>
      <c r="O30" s="18">
        <v>179</v>
      </c>
      <c r="P30" s="18">
        <v>91</v>
      </c>
      <c r="Q30" s="18">
        <v>48</v>
      </c>
      <c r="R30" s="18">
        <v>27</v>
      </c>
      <c r="S30" s="18">
        <v>16</v>
      </c>
      <c r="T30" s="18">
        <v>10</v>
      </c>
      <c r="U30" s="16">
        <v>5</v>
      </c>
      <c r="V30" s="94"/>
      <c r="W30" s="94"/>
      <c r="X30" s="94"/>
      <c r="Y30" s="94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</row>
    <row r="31" spans="1:64" ht="17" customHeight="1">
      <c r="A31" s="145"/>
      <c r="B31" s="88"/>
      <c r="C31" s="88"/>
      <c r="D31" s="88"/>
      <c r="E31" s="88"/>
      <c r="F31" s="94">
        <v>12</v>
      </c>
      <c r="G31" s="15">
        <f t="shared" si="6"/>
        <v>600</v>
      </c>
      <c r="H31" s="18">
        <v>313.43959449316407</v>
      </c>
      <c r="I31" s="16">
        <f t="shared" si="7"/>
        <v>1.9142444366998619</v>
      </c>
      <c r="J31" s="33">
        <v>12</v>
      </c>
      <c r="K31" s="18">
        <v>0</v>
      </c>
      <c r="L31" s="18">
        <v>0</v>
      </c>
      <c r="M31" s="18">
        <v>32</v>
      </c>
      <c r="N31" s="18">
        <v>247</v>
      </c>
      <c r="O31" s="18">
        <v>139</v>
      </c>
      <c r="P31" s="18">
        <v>88</v>
      </c>
      <c r="Q31" s="18">
        <v>45</v>
      </c>
      <c r="R31" s="18">
        <v>23</v>
      </c>
      <c r="S31" s="18">
        <v>13</v>
      </c>
      <c r="T31" s="18">
        <v>8</v>
      </c>
      <c r="U31" s="16">
        <v>5</v>
      </c>
      <c r="V31" s="94"/>
      <c r="W31" s="94"/>
      <c r="X31" s="94"/>
      <c r="Y31" s="94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</row>
    <row r="32" spans="1:64">
      <c r="A32" s="145"/>
      <c r="B32" s="88"/>
      <c r="C32" s="88"/>
      <c r="D32" s="88"/>
      <c r="E32" s="88"/>
      <c r="F32" s="94">
        <v>13</v>
      </c>
      <c r="G32" s="15">
        <f t="shared" si="6"/>
        <v>499</v>
      </c>
      <c r="H32" s="18">
        <v>361.11903794262292</v>
      </c>
      <c r="I32" s="16">
        <f t="shared" si="7"/>
        <v>1.3818158212951501</v>
      </c>
      <c r="J32" s="33">
        <v>13</v>
      </c>
      <c r="K32" s="18">
        <v>0</v>
      </c>
      <c r="L32" s="18">
        <v>0</v>
      </c>
      <c r="M32" s="18">
        <v>28</v>
      </c>
      <c r="N32" s="18">
        <v>209</v>
      </c>
      <c r="O32" s="18">
        <v>118</v>
      </c>
      <c r="P32" s="18">
        <v>63</v>
      </c>
      <c r="Q32" s="18">
        <v>40</v>
      </c>
      <c r="R32" s="18">
        <v>20</v>
      </c>
      <c r="S32" s="18">
        <v>11</v>
      </c>
      <c r="T32" s="18">
        <v>6</v>
      </c>
      <c r="U32" s="16">
        <v>4</v>
      </c>
      <c r="V32" s="94"/>
      <c r="W32" s="94"/>
      <c r="X32" s="94"/>
      <c r="Y32" s="94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</row>
    <row r="33" spans="1:64">
      <c r="A33" s="145"/>
      <c r="B33" s="88"/>
      <c r="C33" s="88"/>
      <c r="D33" s="88"/>
      <c r="E33" s="88"/>
      <c r="F33" s="94">
        <v>14</v>
      </c>
      <c r="G33" s="15">
        <f t="shared" si="6"/>
        <v>464</v>
      </c>
      <c r="H33" s="18">
        <v>559.29771094199009</v>
      </c>
      <c r="I33" s="16">
        <f t="shared" si="7"/>
        <v>0.8296118344888519</v>
      </c>
      <c r="J33" s="33">
        <v>14</v>
      </c>
      <c r="K33" s="18">
        <v>0</v>
      </c>
      <c r="L33" s="18">
        <v>0</v>
      </c>
      <c r="M33" s="18">
        <v>45</v>
      </c>
      <c r="N33" s="18">
        <v>200</v>
      </c>
      <c r="O33" s="18">
        <v>101</v>
      </c>
      <c r="P33" s="18">
        <v>54</v>
      </c>
      <c r="Q33" s="18">
        <v>29</v>
      </c>
      <c r="R33" s="18">
        <v>18</v>
      </c>
      <c r="S33" s="18">
        <v>9</v>
      </c>
      <c r="T33" s="18">
        <v>5</v>
      </c>
      <c r="U33" s="16">
        <v>3</v>
      </c>
      <c r="V33" s="94"/>
      <c r="W33" s="94"/>
      <c r="X33" s="94"/>
      <c r="Y33" s="94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</row>
    <row r="34" spans="1:64" ht="16" customHeight="1">
      <c r="A34" s="145"/>
      <c r="B34" s="88"/>
      <c r="C34" s="88"/>
      <c r="D34" s="88"/>
      <c r="E34" s="88"/>
      <c r="F34" s="94">
        <v>15</v>
      </c>
      <c r="G34" s="15">
        <f t="shared" si="6"/>
        <v>432</v>
      </c>
      <c r="H34" s="18">
        <v>441.87612290874796</v>
      </c>
      <c r="I34" s="16">
        <f t="shared" si="7"/>
        <v>0.97764956648090373</v>
      </c>
      <c r="J34" s="33">
        <v>15</v>
      </c>
      <c r="K34" s="18">
        <v>0</v>
      </c>
      <c r="L34" s="18">
        <v>0</v>
      </c>
      <c r="M34" s="18">
        <v>37</v>
      </c>
      <c r="N34" s="18">
        <v>206</v>
      </c>
      <c r="O34" s="18">
        <v>90</v>
      </c>
      <c r="P34" s="18">
        <v>47</v>
      </c>
      <c r="Q34" s="18">
        <v>25</v>
      </c>
      <c r="R34" s="18">
        <v>13</v>
      </c>
      <c r="S34" s="18">
        <v>8</v>
      </c>
      <c r="T34" s="18">
        <v>4</v>
      </c>
      <c r="U34" s="16">
        <v>2</v>
      </c>
      <c r="V34" s="94"/>
      <c r="W34" s="94"/>
      <c r="X34" s="94"/>
      <c r="Y34" s="94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</row>
    <row r="35" spans="1:64">
      <c r="A35" s="145"/>
      <c r="B35" s="88"/>
      <c r="C35" s="88"/>
      <c r="D35" s="88"/>
      <c r="E35" s="88"/>
      <c r="F35" s="94">
        <v>16</v>
      </c>
      <c r="G35" s="15">
        <f t="shared" si="6"/>
        <v>393</v>
      </c>
      <c r="H35" s="18">
        <v>524.98794467934135</v>
      </c>
      <c r="I35" s="16">
        <f t="shared" si="7"/>
        <v>0.74858861804920385</v>
      </c>
      <c r="J35" s="33">
        <v>16</v>
      </c>
      <c r="K35" s="18">
        <v>0</v>
      </c>
      <c r="L35" s="18">
        <v>0</v>
      </c>
      <c r="M35" s="18">
        <v>32</v>
      </c>
      <c r="N35" s="18">
        <v>180</v>
      </c>
      <c r="O35" s="18">
        <v>93</v>
      </c>
      <c r="P35" s="18">
        <v>42</v>
      </c>
      <c r="Q35" s="18">
        <v>22</v>
      </c>
      <c r="R35" s="18">
        <v>12</v>
      </c>
      <c r="S35" s="18">
        <v>6</v>
      </c>
      <c r="T35" s="18">
        <v>4</v>
      </c>
      <c r="U35" s="16">
        <v>2</v>
      </c>
      <c r="V35" s="94"/>
      <c r="W35" s="94"/>
      <c r="X35" s="94"/>
      <c r="Y35" s="94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</row>
    <row r="36" spans="1:64">
      <c r="A36" s="145"/>
      <c r="B36" s="88"/>
      <c r="C36" s="88"/>
      <c r="D36" s="88"/>
      <c r="E36" s="88"/>
      <c r="F36" s="94">
        <v>17</v>
      </c>
      <c r="G36" s="15">
        <f t="shared" si="6"/>
        <v>336</v>
      </c>
      <c r="H36" s="18">
        <v>605.38595561470254</v>
      </c>
      <c r="I36" s="16">
        <f t="shared" si="7"/>
        <v>0.55501783099482238</v>
      </c>
      <c r="J36" s="33">
        <v>17</v>
      </c>
      <c r="K36" s="18">
        <v>0</v>
      </c>
      <c r="L36" s="18">
        <v>0</v>
      </c>
      <c r="M36" s="18">
        <v>35</v>
      </c>
      <c r="N36" s="18">
        <v>149</v>
      </c>
      <c r="O36" s="18">
        <v>76</v>
      </c>
      <c r="P36" s="18">
        <v>40</v>
      </c>
      <c r="Q36" s="18">
        <v>18</v>
      </c>
      <c r="R36" s="18">
        <v>9</v>
      </c>
      <c r="S36" s="18">
        <v>5</v>
      </c>
      <c r="T36" s="18">
        <v>3</v>
      </c>
      <c r="U36" s="16">
        <v>1</v>
      </c>
      <c r="V36" s="94"/>
      <c r="W36" s="94"/>
      <c r="X36" s="94"/>
      <c r="Y36" s="94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  <c r="BJ36" s="88"/>
      <c r="BK36" s="88"/>
      <c r="BL36" s="88"/>
    </row>
    <row r="37" spans="1:64" ht="16" customHeight="1">
      <c r="A37" s="145"/>
      <c r="B37" s="88"/>
      <c r="C37" s="88"/>
      <c r="D37" s="88"/>
      <c r="E37" s="88"/>
      <c r="F37" s="94">
        <v>18</v>
      </c>
      <c r="G37" s="15">
        <f t="shared" si="6"/>
        <v>285</v>
      </c>
      <c r="H37" s="18">
        <v>710.6361708201398</v>
      </c>
      <c r="I37" s="16">
        <f t="shared" si="7"/>
        <v>0.40104910459466714</v>
      </c>
      <c r="J37" s="33">
        <v>18</v>
      </c>
      <c r="K37" s="18">
        <v>0</v>
      </c>
      <c r="L37" s="18">
        <v>0</v>
      </c>
      <c r="M37" s="18">
        <v>35</v>
      </c>
      <c r="N37" s="18">
        <v>121</v>
      </c>
      <c r="O37" s="18">
        <v>62</v>
      </c>
      <c r="P37" s="18">
        <v>34</v>
      </c>
      <c r="Q37" s="18">
        <v>18</v>
      </c>
      <c r="R37" s="18">
        <v>8</v>
      </c>
      <c r="S37" s="18">
        <v>4</v>
      </c>
      <c r="T37" s="18">
        <v>2</v>
      </c>
      <c r="U37" s="16">
        <v>1</v>
      </c>
      <c r="V37" s="94"/>
      <c r="W37" s="94"/>
      <c r="X37" s="94"/>
      <c r="Y37" s="94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88"/>
      <c r="BK37" s="88"/>
      <c r="BL37" s="88"/>
    </row>
    <row r="38" spans="1:64">
      <c r="A38" s="145"/>
      <c r="B38" s="88"/>
      <c r="C38" s="88"/>
      <c r="D38" s="88"/>
      <c r="E38" s="88"/>
      <c r="F38" s="94">
        <v>19</v>
      </c>
      <c r="G38" s="15">
        <f t="shared" si="6"/>
        <v>260</v>
      </c>
      <c r="H38" s="18">
        <v>688.61433936124547</v>
      </c>
      <c r="I38" s="16">
        <f t="shared" si="7"/>
        <v>0.37756983138221378</v>
      </c>
      <c r="J38" s="33">
        <v>19</v>
      </c>
      <c r="K38" s="18">
        <v>0</v>
      </c>
      <c r="L38" s="18">
        <v>0</v>
      </c>
      <c r="M38" s="18">
        <v>29</v>
      </c>
      <c r="N38" s="18">
        <v>109</v>
      </c>
      <c r="O38" s="18">
        <v>56</v>
      </c>
      <c r="P38" s="18">
        <v>32</v>
      </c>
      <c r="Q38" s="18">
        <v>18</v>
      </c>
      <c r="R38" s="18">
        <v>9</v>
      </c>
      <c r="S38" s="18">
        <v>4</v>
      </c>
      <c r="T38" s="18">
        <v>2</v>
      </c>
      <c r="U38" s="16">
        <v>1</v>
      </c>
      <c r="V38" s="94"/>
      <c r="W38" s="94"/>
      <c r="X38" s="94"/>
      <c r="Y38" s="94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</row>
    <row r="39" spans="1:64" ht="17" thickBot="1">
      <c r="A39" s="145"/>
      <c r="B39" s="88"/>
      <c r="C39" s="88"/>
      <c r="D39" s="88"/>
      <c r="E39" s="88"/>
      <c r="F39" s="94">
        <v>20</v>
      </c>
      <c r="G39" s="107">
        <f t="shared" si="6"/>
        <v>237</v>
      </c>
      <c r="H39" s="19">
        <v>650.4674884686558</v>
      </c>
      <c r="I39" s="17">
        <f t="shared" si="7"/>
        <v>0.36435333694840055</v>
      </c>
      <c r="J39" s="34">
        <v>20</v>
      </c>
      <c r="K39" s="19">
        <v>0</v>
      </c>
      <c r="L39" s="19">
        <v>0</v>
      </c>
      <c r="M39" s="19">
        <v>25</v>
      </c>
      <c r="N39" s="19">
        <v>102</v>
      </c>
      <c r="O39" s="19">
        <v>49</v>
      </c>
      <c r="P39" s="19">
        <v>28</v>
      </c>
      <c r="Q39" s="19">
        <v>16</v>
      </c>
      <c r="R39" s="19">
        <v>9</v>
      </c>
      <c r="S39" s="19">
        <v>5</v>
      </c>
      <c r="T39" s="19">
        <v>2</v>
      </c>
      <c r="U39" s="17">
        <v>1</v>
      </c>
      <c r="V39" s="94"/>
      <c r="W39" s="94"/>
      <c r="X39" s="94"/>
      <c r="Y39" s="94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  <c r="BK39" s="88"/>
      <c r="BL39" s="88"/>
    </row>
    <row r="40" spans="1:64">
      <c r="A40" s="88"/>
      <c r="B40" s="88"/>
      <c r="C40" s="88"/>
      <c r="D40" s="88"/>
      <c r="E40" s="88"/>
      <c r="F40" s="88"/>
      <c r="G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</row>
    <row r="41" spans="1:64">
      <c r="A41" s="88"/>
      <c r="B41" s="88"/>
      <c r="C41" s="88"/>
      <c r="D41" s="88"/>
      <c r="F41" s="58"/>
      <c r="AN41" s="145"/>
      <c r="AO41" s="145"/>
      <c r="AP41" s="145"/>
      <c r="AQ41" s="145"/>
      <c r="AR41" s="145"/>
      <c r="AS41" s="145"/>
      <c r="AT41" s="145"/>
      <c r="AU41" s="145"/>
      <c r="AV41" s="145"/>
      <c r="AW41" s="145"/>
      <c r="AX41" s="145"/>
      <c r="AY41" s="145"/>
      <c r="AZ41" s="88"/>
      <c r="BA41" s="145"/>
      <c r="BB41" s="145"/>
      <c r="BC41" s="145"/>
      <c r="BD41" s="145"/>
      <c r="BE41" s="145"/>
      <c r="BF41" s="145"/>
      <c r="BG41" s="145"/>
      <c r="BH41" s="145"/>
      <c r="BI41" s="145"/>
      <c r="BJ41" s="145"/>
      <c r="BK41" s="145"/>
      <c r="BL41" s="145"/>
    </row>
    <row r="42" spans="1:64">
      <c r="A42" s="88"/>
      <c r="B42" s="88"/>
      <c r="C42" s="88"/>
      <c r="D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  <c r="BK42" s="88"/>
      <c r="BL42" s="88"/>
    </row>
    <row r="43" spans="1:64">
      <c r="A43" s="88"/>
      <c r="B43" s="88"/>
      <c r="C43" s="88"/>
      <c r="D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</row>
    <row r="44" spans="1:64"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88"/>
      <c r="BK44" s="88"/>
      <c r="BL44" s="88"/>
    </row>
    <row r="45" spans="1:64"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</row>
    <row r="46" spans="1:64"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</row>
    <row r="47" spans="1:64"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</row>
    <row r="48" spans="1:64"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88"/>
      <c r="BK48" s="88"/>
      <c r="BL48" s="88"/>
    </row>
    <row r="49" spans="40:64"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  <c r="BK49" s="88"/>
      <c r="BL49" s="88"/>
    </row>
    <row r="50" spans="40:64"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88"/>
    </row>
    <row r="51" spans="40:64"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88"/>
      <c r="BL51" s="88"/>
    </row>
    <row r="52" spans="40:64"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</row>
    <row r="53" spans="40:64"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8"/>
      <c r="BG53" s="88"/>
      <c r="BH53" s="88"/>
      <c r="BI53" s="88"/>
      <c r="BJ53" s="88"/>
      <c r="BK53" s="88"/>
      <c r="BL53" s="88"/>
    </row>
    <row r="54" spans="40:64"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  <c r="BA54" s="88"/>
      <c r="BB54" s="88"/>
      <c r="BC54" s="88"/>
      <c r="BD54" s="88"/>
      <c r="BE54" s="88"/>
      <c r="BF54" s="88"/>
      <c r="BG54" s="88"/>
      <c r="BH54" s="88"/>
      <c r="BI54" s="88"/>
      <c r="BJ54" s="88"/>
      <c r="BK54" s="88"/>
      <c r="BL54" s="88"/>
    </row>
    <row r="55" spans="40:64"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</row>
    <row r="56" spans="40:64"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</row>
    <row r="57" spans="40:64"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</row>
    <row r="58" spans="40:64"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</row>
    <row r="59" spans="40:64">
      <c r="AN59" s="88"/>
      <c r="AO59" s="88"/>
      <c r="AP59" s="88"/>
      <c r="AQ59" s="88"/>
      <c r="AR59" s="88"/>
      <c r="AS59" s="88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8"/>
    </row>
    <row r="60" spans="40:64"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</row>
    <row r="61" spans="40:64">
      <c r="AN61" s="88"/>
      <c r="AO61" s="88"/>
      <c r="AP61" s="88"/>
      <c r="AQ61" s="88"/>
      <c r="AR61" s="88"/>
      <c r="AS61" s="88"/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</row>
    <row r="62" spans="40:64"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</row>
    <row r="63" spans="40:64">
      <c r="AN63" s="88"/>
      <c r="AO63" s="88"/>
      <c r="AP63" s="88"/>
      <c r="AQ63" s="88"/>
      <c r="AR63" s="88"/>
      <c r="AS63" s="88"/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</row>
    <row r="64" spans="40:64"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</row>
  </sheetData>
  <mergeCells count="16">
    <mergeCell ref="A34:A36"/>
    <mergeCell ref="A37:A39"/>
    <mergeCell ref="AN41:AY41"/>
    <mergeCell ref="BA41:BL41"/>
    <mergeCell ref="J17:U17"/>
    <mergeCell ref="AN17:AY17"/>
    <mergeCell ref="BA17:BL17"/>
    <mergeCell ref="A25:C25"/>
    <mergeCell ref="A30:C30"/>
    <mergeCell ref="A31:A33"/>
    <mergeCell ref="A1:C1"/>
    <mergeCell ref="A2:A3"/>
    <mergeCell ref="A4:A6"/>
    <mergeCell ref="A9:A10"/>
    <mergeCell ref="A13:C13"/>
    <mergeCell ref="A12:B12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CA98-4FE7-5642-89AB-B49C5908D7E7}">
  <dimension ref="A1:BN65"/>
  <sheetViews>
    <sheetView topLeftCell="J33" zoomScale="110" zoomScaleNormal="110" workbookViewId="0">
      <selection activeCell="D31" sqref="D31"/>
    </sheetView>
  </sheetViews>
  <sheetFormatPr baseColWidth="10" defaultRowHeight="16"/>
  <cols>
    <col min="1" max="1" width="12.140625" style="88" customWidth="1"/>
    <col min="2" max="2" width="10.7109375" style="88"/>
    <col min="3" max="3" width="13.42578125" style="88" bestFit="1" customWidth="1"/>
    <col min="4" max="4" width="13.42578125" style="94" customWidth="1"/>
    <col min="5" max="5" width="10.7109375" style="88"/>
    <col min="6" max="6" width="8.140625" style="88" customWidth="1"/>
    <col min="7" max="7" width="7.5703125" style="88" customWidth="1"/>
    <col min="8" max="8" width="10.7109375" style="88"/>
    <col min="9" max="9" width="6.140625" style="88" customWidth="1"/>
    <col min="10" max="10" width="7.85546875" style="88" customWidth="1"/>
    <col min="11" max="11" width="6.85546875" style="88" customWidth="1"/>
    <col min="12" max="15" width="6.140625" style="88" customWidth="1"/>
    <col min="16" max="26" width="5.28515625" style="88" customWidth="1"/>
    <col min="27" max="28" width="5.42578125" style="88" customWidth="1"/>
    <col min="29" max="39" width="6.140625" style="88" customWidth="1"/>
    <col min="40" max="40" width="10.7109375" style="88"/>
    <col min="41" max="52" width="5.42578125" style="88" customWidth="1"/>
    <col min="53" max="53" width="10.7109375" style="88"/>
    <col min="54" max="65" width="4.7109375" style="88" customWidth="1"/>
    <col min="66" max="16384" width="10.7109375" style="88"/>
  </cols>
  <sheetData>
    <row r="1" spans="1:66">
      <c r="A1" s="146" t="s">
        <v>0</v>
      </c>
      <c r="B1" s="147"/>
      <c r="C1" s="148"/>
      <c r="D1" s="108"/>
      <c r="G1" s="10" t="s">
        <v>31</v>
      </c>
      <c r="H1" s="11"/>
      <c r="I1" s="11"/>
      <c r="J1" s="11"/>
      <c r="K1" s="11"/>
      <c r="L1" s="12"/>
      <c r="M1" s="12"/>
      <c r="N1" s="12"/>
      <c r="O1" s="12"/>
      <c r="P1" s="12"/>
      <c r="Q1" s="12"/>
      <c r="R1" s="12"/>
      <c r="S1" s="13"/>
    </row>
    <row r="2" spans="1:66">
      <c r="A2" s="149" t="s">
        <v>1</v>
      </c>
      <c r="B2" s="1" t="s">
        <v>2</v>
      </c>
      <c r="C2" s="9">
        <v>1.4999999999999999E-7</v>
      </c>
      <c r="D2" s="109"/>
      <c r="G2" s="86" t="s">
        <v>22</v>
      </c>
      <c r="H2" s="87" t="s">
        <v>23</v>
      </c>
      <c r="I2" s="1"/>
      <c r="J2" s="1"/>
      <c r="K2" s="1"/>
      <c r="L2" s="1"/>
      <c r="M2" s="1"/>
      <c r="N2" s="1"/>
      <c r="O2" s="1"/>
      <c r="P2" s="1"/>
      <c r="Q2" s="1"/>
      <c r="R2" s="1"/>
      <c r="S2" s="2"/>
    </row>
    <row r="3" spans="1:66">
      <c r="A3" s="149"/>
      <c r="B3" s="1" t="s">
        <v>3</v>
      </c>
      <c r="C3" s="2">
        <v>3.1</v>
      </c>
      <c r="D3" s="1"/>
      <c r="G3" s="3" t="s">
        <v>28</v>
      </c>
      <c r="H3" s="1" t="s">
        <v>24</v>
      </c>
      <c r="I3" s="1">
        <v>0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1">
        <v>7</v>
      </c>
      <c r="Q3" s="1">
        <v>8</v>
      </c>
      <c r="R3" s="1">
        <v>9</v>
      </c>
      <c r="S3" s="2">
        <v>10</v>
      </c>
    </row>
    <row r="4" spans="1:66">
      <c r="A4" s="150" t="s">
        <v>4</v>
      </c>
      <c r="B4" s="1" t="s">
        <v>5</v>
      </c>
      <c r="C4" s="2">
        <v>350</v>
      </c>
      <c r="D4" s="1"/>
      <c r="G4" s="3" t="s">
        <v>81</v>
      </c>
      <c r="H4" s="1" t="s">
        <v>25</v>
      </c>
      <c r="I4" s="1">
        <f t="shared" ref="I4:S4" si="0">Linf-(Linf-Lo)*EXP(-vbk*I$3)</f>
        <v>0.60000000000002274</v>
      </c>
      <c r="J4" s="1">
        <f t="shared" si="0"/>
        <v>80.594575920233979</v>
      </c>
      <c r="K4" s="1">
        <f t="shared" si="0"/>
        <v>142.27452053921411</v>
      </c>
      <c r="L4" s="1">
        <f t="shared" si="0"/>
        <v>189.83293964995491</v>
      </c>
      <c r="M4" s="1">
        <f t="shared" si="0"/>
        <v>226.50293412360222</v>
      </c>
      <c r="N4" s="1">
        <f t="shared" si="0"/>
        <v>254.777391513916</v>
      </c>
      <c r="O4" s="1">
        <f t="shared" si="0"/>
        <v>276.57845672245281</v>
      </c>
      <c r="P4" s="1">
        <f t="shared" si="0"/>
        <v>293.38820262370206</v>
      </c>
      <c r="Q4" s="1">
        <f t="shared" si="0"/>
        <v>306.34938385781533</v>
      </c>
      <c r="R4" s="1">
        <f t="shared" si="0"/>
        <v>316.34312320226576</v>
      </c>
      <c r="S4" s="2">
        <f t="shared" si="0"/>
        <v>324.04881177191174</v>
      </c>
    </row>
    <row r="5" spans="1:66">
      <c r="A5" s="150"/>
      <c r="B5" s="1" t="s">
        <v>6</v>
      </c>
      <c r="C5" s="2">
        <v>0.26</v>
      </c>
      <c r="D5" s="1"/>
      <c r="G5" s="3" t="s">
        <v>33</v>
      </c>
      <c r="H5" s="1" t="s">
        <v>26</v>
      </c>
      <c r="I5" s="1">
        <f t="shared" ref="I5:S5" si="1">lwa*(I$4^lwb)</f>
        <v>3.0786487014787529E-8</v>
      </c>
      <c r="J5" s="1">
        <f t="shared" si="1"/>
        <v>0.12179775510938466</v>
      </c>
      <c r="K5" s="1">
        <f t="shared" si="1"/>
        <v>0.70922716923537987</v>
      </c>
      <c r="L5" s="1">
        <f t="shared" si="1"/>
        <v>1.7339762130984733</v>
      </c>
      <c r="M5" s="1">
        <f t="shared" si="1"/>
        <v>2.997920687322178</v>
      </c>
      <c r="N5" s="1">
        <f t="shared" si="1"/>
        <v>4.3170791220003428</v>
      </c>
      <c r="O5" s="1">
        <f t="shared" si="1"/>
        <v>5.5683707165183316</v>
      </c>
      <c r="P5" s="1">
        <f t="shared" si="1"/>
        <v>6.6859552163518652</v>
      </c>
      <c r="Q5" s="1">
        <f t="shared" si="1"/>
        <v>7.6447624304444846</v>
      </c>
      <c r="R5" s="1">
        <f t="shared" si="1"/>
        <v>8.4446624168383195</v>
      </c>
      <c r="S5" s="2">
        <f t="shared" si="1"/>
        <v>9.0987891765031517</v>
      </c>
    </row>
    <row r="6" spans="1:66">
      <c r="A6" s="150"/>
      <c r="B6" s="1" t="s">
        <v>19</v>
      </c>
      <c r="C6" s="2">
        <v>0.6</v>
      </c>
      <c r="D6" s="1"/>
      <c r="G6" s="3" t="s">
        <v>30</v>
      </c>
      <c r="H6" s="1" t="s">
        <v>27</v>
      </c>
      <c r="I6" s="1">
        <f t="shared" ref="I6:S6" si="2">MAX(0,I5-Wmat)</f>
        <v>0</v>
      </c>
      <c r="J6" s="1">
        <f t="shared" si="2"/>
        <v>0</v>
      </c>
      <c r="K6" s="1">
        <f t="shared" si="2"/>
        <v>0</v>
      </c>
      <c r="L6" s="1">
        <f t="shared" si="2"/>
        <v>0.23397621309847327</v>
      </c>
      <c r="M6" s="1">
        <f t="shared" si="2"/>
        <v>1.497920687322178</v>
      </c>
      <c r="N6" s="1">
        <f t="shared" si="2"/>
        <v>2.8170791220003428</v>
      </c>
      <c r="O6" s="1">
        <f t="shared" si="2"/>
        <v>4.0683707165183316</v>
      </c>
      <c r="P6" s="1">
        <f t="shared" si="2"/>
        <v>5.1859552163518652</v>
      </c>
      <c r="Q6" s="1">
        <f t="shared" si="2"/>
        <v>6.1447624304444846</v>
      </c>
      <c r="R6" s="1">
        <f t="shared" si="2"/>
        <v>6.9446624168383195</v>
      </c>
      <c r="S6" s="2">
        <f t="shared" si="2"/>
        <v>7.5987891765031517</v>
      </c>
    </row>
    <row r="7" spans="1:66">
      <c r="A7" s="85" t="s">
        <v>27</v>
      </c>
      <c r="B7" s="1" t="s">
        <v>7</v>
      </c>
      <c r="C7" s="2">
        <v>1.5</v>
      </c>
      <c r="D7" s="1"/>
      <c r="G7" s="3" t="s">
        <v>29</v>
      </c>
      <c r="H7" s="1" t="s">
        <v>32</v>
      </c>
      <c r="I7" s="1">
        <f t="shared" ref="I7:S7" si="3">1/(1+EXP(-(I4-lenv50)/sdv))</f>
        <v>2.6662706008235179E-8</v>
      </c>
      <c r="J7" s="1">
        <f t="shared" si="3"/>
        <v>7.943099964778705E-5</v>
      </c>
      <c r="K7" s="1">
        <f t="shared" si="3"/>
        <v>3.6525057598242171E-2</v>
      </c>
      <c r="L7" s="1">
        <f t="shared" si="3"/>
        <v>0.81506959920156541</v>
      </c>
      <c r="M7" s="1">
        <f t="shared" si="3"/>
        <v>0.99423571624784779</v>
      </c>
      <c r="N7" s="1">
        <f t="shared" si="3"/>
        <v>0.99965710356892901</v>
      </c>
      <c r="O7" s="1">
        <f t="shared" si="3"/>
        <v>0.99996123080004629</v>
      </c>
      <c r="P7" s="1">
        <f t="shared" si="3"/>
        <v>0.99999278124083879</v>
      </c>
      <c r="Q7" s="1">
        <f t="shared" si="3"/>
        <v>0.9999980249964473</v>
      </c>
      <c r="R7" s="1">
        <f t="shared" si="3"/>
        <v>0.99999927298087077</v>
      </c>
      <c r="S7" s="2">
        <f t="shared" si="3"/>
        <v>0.9999996635719447</v>
      </c>
    </row>
    <row r="8" spans="1:66">
      <c r="A8" s="7" t="s">
        <v>13</v>
      </c>
      <c r="B8" s="1" t="s">
        <v>14</v>
      </c>
      <c r="C8" s="2">
        <v>0.25</v>
      </c>
      <c r="D8" s="1"/>
      <c r="G8" s="3" t="s">
        <v>29</v>
      </c>
      <c r="H8" s="1" t="s">
        <v>35</v>
      </c>
      <c r="I8" s="1">
        <v>1</v>
      </c>
      <c r="J8" s="1">
        <f t="shared" ref="J8:S8" si="4">I8*EXP(-M)</f>
        <v>0.77880078307140488</v>
      </c>
      <c r="K8" s="1">
        <f t="shared" si="4"/>
        <v>0.60653065971263342</v>
      </c>
      <c r="L8" s="1">
        <f t="shared" si="4"/>
        <v>0.47236655274101469</v>
      </c>
      <c r="M8" s="1">
        <f t="shared" si="4"/>
        <v>0.36787944117144233</v>
      </c>
      <c r="N8" s="1">
        <f t="shared" si="4"/>
        <v>0.28650479686019009</v>
      </c>
      <c r="O8" s="1">
        <f t="shared" si="4"/>
        <v>0.22313016014842982</v>
      </c>
      <c r="P8" s="1">
        <f t="shared" si="4"/>
        <v>0.17377394345044511</v>
      </c>
      <c r="Q8" s="1">
        <f t="shared" si="4"/>
        <v>0.13533528323661267</v>
      </c>
      <c r="R8" s="1">
        <f t="shared" si="4"/>
        <v>0.10539922456186432</v>
      </c>
      <c r="S8" s="2">
        <f t="shared" si="4"/>
        <v>8.2084998623898786E-2</v>
      </c>
    </row>
    <row r="9" spans="1:66" ht="18" customHeight="1" thickBot="1">
      <c r="A9" s="150" t="s">
        <v>11</v>
      </c>
      <c r="B9" s="1" t="s">
        <v>34</v>
      </c>
      <c r="C9" s="2">
        <v>175</v>
      </c>
      <c r="D9" s="1"/>
      <c r="G9" s="6" t="s">
        <v>29</v>
      </c>
      <c r="H9" s="4" t="s">
        <v>36</v>
      </c>
      <c r="I9" s="4">
        <v>1</v>
      </c>
      <c r="J9" s="4">
        <f t="shared" ref="J9:S9" ca="1" si="5">I9*EXP(-(M+AVERAGE($F$20:$F$39)))</f>
        <v>0.68986409972569029</v>
      </c>
      <c r="K9" s="4">
        <f t="shared" ca="1" si="5"/>
        <v>0.47591247609033716</v>
      </c>
      <c r="L9" s="4">
        <f t="shared" ca="1" si="5"/>
        <v>0.32831493186628458</v>
      </c>
      <c r="M9" s="4">
        <f t="shared" ca="1" si="5"/>
        <v>0.22649268489843577</v>
      </c>
      <c r="N9" s="4">
        <f t="shared" ca="1" si="5"/>
        <v>0.15624917216191384</v>
      </c>
      <c r="O9" s="4">
        <f t="shared" ca="1" si="5"/>
        <v>0.10779069448636308</v>
      </c>
      <c r="P9" s="4">
        <f t="shared" ca="1" si="5"/>
        <v>7.436093041064179E-2</v>
      </c>
      <c r="Q9" s="4">
        <f t="shared" ca="1" si="5"/>
        <v>5.1298936312502104E-2</v>
      </c>
      <c r="R9" s="4">
        <f t="shared" ca="1" si="5"/>
        <v>3.5389294516109789E-2</v>
      </c>
      <c r="S9" s="4">
        <f t="shared" ca="1" si="5"/>
        <v>2.4413803801283388E-2</v>
      </c>
    </row>
    <row r="10" spans="1:66" ht="16" customHeight="1" thickBot="1">
      <c r="A10" s="151"/>
      <c r="B10" s="4" t="s">
        <v>12</v>
      </c>
      <c r="C10" s="5">
        <v>10</v>
      </c>
      <c r="D10" s="1"/>
    </row>
    <row r="11" spans="1:66" ht="17" customHeight="1"/>
    <row r="12" spans="1:66" ht="16" customHeight="1" thickBot="1"/>
    <row r="13" spans="1:66">
      <c r="A13" s="159" t="s">
        <v>15</v>
      </c>
      <c r="B13" s="160"/>
      <c r="C13" s="161"/>
      <c r="D13" s="108"/>
    </row>
    <row r="14" spans="1:66">
      <c r="A14" s="59" t="s">
        <v>61</v>
      </c>
      <c r="B14" s="1" t="s">
        <v>41</v>
      </c>
      <c r="C14" s="67">
        <v>0.85</v>
      </c>
      <c r="D14" s="103"/>
    </row>
    <row r="15" spans="1:66">
      <c r="A15" s="62" t="s">
        <v>64</v>
      </c>
      <c r="B15" s="1" t="s">
        <v>18</v>
      </c>
      <c r="C15" s="70">
        <v>4000</v>
      </c>
      <c r="D15" s="101"/>
      <c r="E15" s="1"/>
      <c r="F15" s="165"/>
      <c r="G15" s="165"/>
      <c r="H15" s="165"/>
      <c r="I15" s="165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</row>
    <row r="16" spans="1:66" ht="17" thickBot="1">
      <c r="A16" s="72" t="s">
        <v>65</v>
      </c>
      <c r="B16" s="64" t="s">
        <v>16</v>
      </c>
      <c r="C16" s="69">
        <v>0.1</v>
      </c>
      <c r="D16" s="103"/>
      <c r="E16" s="1"/>
      <c r="F16" s="165"/>
      <c r="G16" s="165"/>
      <c r="H16" s="165"/>
      <c r="I16" s="165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</row>
    <row r="17" spans="1:66">
      <c r="A17" s="1"/>
      <c r="B17" s="1"/>
      <c r="C17" s="103"/>
      <c r="D17" s="103"/>
      <c r="E17" s="1"/>
      <c r="F17" s="165"/>
      <c r="G17" s="165"/>
      <c r="H17" s="165"/>
      <c r="I17" s="165"/>
      <c r="K17" s="153" t="s">
        <v>39</v>
      </c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5"/>
      <c r="X17" s="156" t="s">
        <v>50</v>
      </c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8"/>
      <c r="AJ17" s="166"/>
      <c r="AK17" s="165"/>
      <c r="AL17" s="165"/>
      <c r="AM17" s="165"/>
      <c r="AN17" s="165"/>
      <c r="AO17" s="165"/>
      <c r="BA17" s="94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94"/>
    </row>
    <row r="18" spans="1:66" ht="17" thickBot="1">
      <c r="A18" s="8"/>
      <c r="B18" s="8" t="s">
        <v>68</v>
      </c>
      <c r="C18" s="110">
        <v>0.1</v>
      </c>
      <c r="D18" s="110"/>
      <c r="E18" s="1"/>
      <c r="K18" s="15"/>
      <c r="L18" s="28" t="s">
        <v>37</v>
      </c>
      <c r="M18" s="28"/>
      <c r="N18" s="28"/>
      <c r="O18" s="28"/>
      <c r="P18" s="28"/>
      <c r="Q18" s="28"/>
      <c r="R18" s="28"/>
      <c r="S18" s="28"/>
      <c r="T18" s="28"/>
      <c r="U18" s="28"/>
      <c r="V18" s="29"/>
      <c r="X18" s="37"/>
      <c r="Y18" s="41" t="s">
        <v>37</v>
      </c>
      <c r="Z18" s="41"/>
      <c r="AA18" s="41"/>
      <c r="AB18" s="41"/>
      <c r="AC18" s="41"/>
      <c r="AD18" s="41"/>
      <c r="AE18" s="41"/>
      <c r="AF18" s="41"/>
      <c r="AG18" s="41"/>
      <c r="AH18" s="41"/>
      <c r="AI18" s="43"/>
      <c r="AJ18" s="166"/>
      <c r="AK18" s="165"/>
      <c r="AL18" s="165"/>
      <c r="AM18" s="165"/>
      <c r="AN18" s="165"/>
      <c r="AO18" s="165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</row>
    <row r="19" spans="1:66" ht="17" thickBot="1">
      <c r="E19" s="94" t="s">
        <v>38</v>
      </c>
      <c r="F19" s="97" t="s">
        <v>102</v>
      </c>
      <c r="G19" s="97" t="s">
        <v>48</v>
      </c>
      <c r="H19" s="38" t="s">
        <v>46</v>
      </c>
      <c r="I19" s="38" t="s">
        <v>85</v>
      </c>
      <c r="J19" s="111" t="s">
        <v>86</v>
      </c>
      <c r="K19" s="32" t="s">
        <v>38</v>
      </c>
      <c r="L19" s="30">
        <v>0</v>
      </c>
      <c r="M19" s="30">
        <v>1</v>
      </c>
      <c r="N19" s="30">
        <v>2</v>
      </c>
      <c r="O19" s="30">
        <v>3</v>
      </c>
      <c r="P19" s="30">
        <v>4</v>
      </c>
      <c r="Q19" s="30">
        <v>5</v>
      </c>
      <c r="R19" s="30">
        <v>6</v>
      </c>
      <c r="S19" s="30">
        <v>7</v>
      </c>
      <c r="T19" s="30">
        <v>8</v>
      </c>
      <c r="U19" s="30">
        <v>9</v>
      </c>
      <c r="V19" s="31">
        <v>10</v>
      </c>
      <c r="X19" s="46" t="s">
        <v>38</v>
      </c>
      <c r="Y19" s="44">
        <v>0</v>
      </c>
      <c r="Z19" s="44">
        <v>1</v>
      </c>
      <c r="AA19" s="44">
        <v>2</v>
      </c>
      <c r="AB19" s="44">
        <v>3</v>
      </c>
      <c r="AC19" s="44">
        <v>4</v>
      </c>
      <c r="AD19" s="44">
        <v>5</v>
      </c>
      <c r="AE19" s="44">
        <v>6</v>
      </c>
      <c r="AF19" s="44">
        <v>7</v>
      </c>
      <c r="AG19" s="44">
        <v>8</v>
      </c>
      <c r="AH19" s="44">
        <v>9</v>
      </c>
      <c r="AI19" s="45">
        <v>10</v>
      </c>
      <c r="AJ19" s="166"/>
      <c r="AK19" s="165"/>
      <c r="AL19" s="165"/>
      <c r="AM19" s="165"/>
      <c r="AN19" s="165"/>
      <c r="AO19" s="165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</row>
    <row r="20" spans="1:66">
      <c r="A20" s="159" t="s">
        <v>17</v>
      </c>
      <c r="B20" s="160"/>
      <c r="C20" s="161"/>
      <c r="D20" s="108"/>
      <c r="E20" s="94">
        <v>1</v>
      </c>
      <c r="F20" s="98">
        <f t="shared" ref="F20:F30" ca="1" si="6">MAX(0.000001,Fbar+G20)</f>
        <v>0.14367610523600305</v>
      </c>
      <c r="G20" s="98">
        <f t="shared" ref="G20:G39" ca="1" si="7">_xlfn.NORM.INV(RAND(),0,sigmaF)</f>
        <v>4.3676105236003036E-2</v>
      </c>
      <c r="H20" s="18">
        <f t="shared" ref="H20:H39" si="8">SUM(L20:V20)</f>
        <v>2806</v>
      </c>
      <c r="I20" s="18">
        <v>412.24912799128799</v>
      </c>
      <c r="J20" s="16">
        <f>H20/I20</f>
        <v>6.8065638214262005</v>
      </c>
      <c r="K20" s="33">
        <v>1</v>
      </c>
      <c r="L20" s="18">
        <v>0</v>
      </c>
      <c r="M20" s="18">
        <v>0</v>
      </c>
      <c r="N20" s="18">
        <v>106</v>
      </c>
      <c r="O20" s="18">
        <v>681</v>
      </c>
      <c r="P20" s="18">
        <v>541</v>
      </c>
      <c r="Q20" s="18">
        <v>421</v>
      </c>
      <c r="R20" s="18">
        <v>328</v>
      </c>
      <c r="S20" s="18">
        <v>255</v>
      </c>
      <c r="T20" s="18">
        <v>199</v>
      </c>
      <c r="U20" s="18">
        <v>155</v>
      </c>
      <c r="V20" s="16">
        <v>120</v>
      </c>
      <c r="X20" s="47">
        <v>1</v>
      </c>
      <c r="Y20" s="42">
        <f t="shared" ref="Y20:Y39" ca="1" si="9">$F20*I$7</f>
        <v>3.8307937543158084E-9</v>
      </c>
      <c r="Z20" s="42">
        <f t="shared" ref="Z20:Z39" ca="1" si="10">$F20*J$7</f>
        <v>1.1412336664396373E-5</v>
      </c>
      <c r="AA20" s="42">
        <f t="shared" ref="AA20:AA39" ca="1" si="11">$F20*K$7</f>
        <v>5.2477780192361151E-3</v>
      </c>
      <c r="AB20" s="42">
        <f t="shared" ref="AB20:AB39" ca="1" si="12">$F20*L$7</f>
        <v>0.11710602550955093</v>
      </c>
      <c r="AC20" s="42">
        <f t="shared" ref="AC20:AC39" ca="1" si="13">$F20*M$7</f>
        <v>0.14284791539701863</v>
      </c>
      <c r="AD20" s="42">
        <f t="shared" ref="AD20:AD39" ca="1" si="14">$F20*N$7</f>
        <v>0.14362683921228744</v>
      </c>
      <c r="AE20" s="42">
        <f t="shared" ref="AE20:AE39" ca="1" si="15">$F20*O$7</f>
        <v>0.14367053502835059</v>
      </c>
      <c r="AF20" s="42">
        <f t="shared" ref="AF20:AF39" ca="1" si="16">$F20*P$7</f>
        <v>0.14367506807280214</v>
      </c>
      <c r="AG20" s="42">
        <f t="shared" ref="AG20:AG39" ca="1" si="17">$F20*Q$7</f>
        <v>0.14367582147518476</v>
      </c>
      <c r="AH20" s="42">
        <f t="shared" ref="AH20:AH39" ca="1" si="18">$F20*R$7</f>
        <v>0.14367600078072612</v>
      </c>
      <c r="AI20" s="42">
        <f t="shared" ref="AI20:AI39" ca="1" si="19">$F20*S$7</f>
        <v>0.14367605689933038</v>
      </c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</row>
    <row r="21" spans="1:66" ht="16" customHeight="1">
      <c r="A21" s="164" t="s">
        <v>79</v>
      </c>
      <c r="B21" s="1" t="s">
        <v>20</v>
      </c>
      <c r="C21" s="70" cm="1">
        <f t="array" ref="C21">SUMPRODUCT(Ro*I8:S8,I6:S6)</f>
        <v>21859.821355230666</v>
      </c>
      <c r="D21" s="101"/>
      <c r="E21" s="94">
        <v>2</v>
      </c>
      <c r="F21" s="98">
        <f t="shared" ca="1" si="6"/>
        <v>7.3880602093628303E-2</v>
      </c>
      <c r="G21" s="98">
        <f t="shared" ca="1" si="7"/>
        <v>-2.6119397906371702E-2</v>
      </c>
      <c r="H21" s="18">
        <f t="shared" si="8"/>
        <v>1966</v>
      </c>
      <c r="I21" s="18">
        <v>496.39116814446777</v>
      </c>
      <c r="J21" s="16">
        <f t="shared" ref="J21:J39" si="20">H21/I21</f>
        <v>3.9605861791397201</v>
      </c>
      <c r="K21" s="33">
        <v>2</v>
      </c>
      <c r="L21" s="18">
        <v>0</v>
      </c>
      <c r="M21" s="18">
        <v>0</v>
      </c>
      <c r="N21" s="18">
        <v>146</v>
      </c>
      <c r="O21" s="18">
        <v>660</v>
      </c>
      <c r="P21" s="18">
        <v>314</v>
      </c>
      <c r="Q21" s="18">
        <v>241</v>
      </c>
      <c r="R21" s="18">
        <v>188</v>
      </c>
      <c r="S21" s="18">
        <v>146</v>
      </c>
      <c r="T21" s="18">
        <v>114</v>
      </c>
      <c r="U21" s="18">
        <v>88</v>
      </c>
      <c r="V21" s="16">
        <v>69</v>
      </c>
      <c r="X21" s="47">
        <v>2</v>
      </c>
      <c r="Y21" s="42">
        <f t="shared" ca="1" si="9"/>
        <v>1.9698567733338157E-9</v>
      </c>
      <c r="Z21" s="42">
        <f t="shared" ca="1" si="10"/>
        <v>5.8684100788772847E-6</v>
      </c>
      <c r="AA21" s="42">
        <f t="shared" ca="1" si="11"/>
        <v>2.6984932468625848E-3</v>
      </c>
      <c r="AB21" s="42">
        <f t="shared" ca="1" si="12"/>
        <v>6.0217832737223954E-2</v>
      </c>
      <c r="AC21" s="42">
        <f t="shared" ca="1" si="13"/>
        <v>7.3454733339380782E-2</v>
      </c>
      <c r="AD21" s="42">
        <f t="shared" ca="1" si="14"/>
        <v>7.3855268698845025E-2</v>
      </c>
      <c r="AE21" s="42">
        <f t="shared" ca="1" si="15"/>
        <v>7.3877737801793034E-2</v>
      </c>
      <c r="AF21" s="42">
        <f t="shared" ca="1" si="16"/>
        <v>7.3880068767355103E-2</v>
      </c>
      <c r="AG21" s="42">
        <f t="shared" ca="1" si="17"/>
        <v>7.3880456179176698E-2</v>
      </c>
      <c r="AH21" s="42">
        <f t="shared" ca="1" si="18"/>
        <v>7.3880548381017305E-2</v>
      </c>
      <c r="AI21" s="42">
        <f t="shared" ca="1" si="19"/>
        <v>7.3880577238121012E-2</v>
      </c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</row>
    <row r="22" spans="1:66">
      <c r="A22" s="164"/>
      <c r="B22" s="1" t="s">
        <v>21</v>
      </c>
      <c r="C22" s="70" cm="1">
        <f t="array" ref="C22">SUMPRODUCT(Ro*I8:S8,I5:S5,I7:S7)</f>
        <v>32368.296462309012</v>
      </c>
      <c r="D22" s="101"/>
      <c r="E22" s="94">
        <v>3</v>
      </c>
      <c r="F22" s="98">
        <f t="shared" ca="1" si="6"/>
        <v>0.27709129621361805</v>
      </c>
      <c r="G22" s="98">
        <f t="shared" ca="1" si="7"/>
        <v>0.17709129621361808</v>
      </c>
      <c r="H22" s="18">
        <f t="shared" si="8"/>
        <v>1207</v>
      </c>
      <c r="I22" s="18">
        <v>188.24436422588224</v>
      </c>
      <c r="J22" s="16">
        <f t="shared" si="20"/>
        <v>6.4118785439529571</v>
      </c>
      <c r="K22" s="33">
        <v>3</v>
      </c>
      <c r="L22" s="18">
        <v>0</v>
      </c>
      <c r="M22" s="18">
        <v>0</v>
      </c>
      <c r="N22" s="18">
        <v>49</v>
      </c>
      <c r="O22" s="18">
        <v>482</v>
      </c>
      <c r="P22" s="18">
        <v>248</v>
      </c>
      <c r="Q22" s="18">
        <v>123</v>
      </c>
      <c r="R22" s="18">
        <v>95</v>
      </c>
      <c r="S22" s="18">
        <v>74</v>
      </c>
      <c r="T22" s="18">
        <v>57</v>
      </c>
      <c r="U22" s="18">
        <v>44</v>
      </c>
      <c r="V22" s="16">
        <v>35</v>
      </c>
      <c r="X22" s="47">
        <v>3</v>
      </c>
      <c r="Y22" s="42">
        <f t="shared" ca="1" si="9"/>
        <v>7.3880037683845078E-9</v>
      </c>
      <c r="Z22" s="42">
        <f t="shared" ca="1" si="10"/>
        <v>2.2009638651948751E-5</v>
      </c>
      <c r="AA22" s="42">
        <f t="shared" ca="1" si="11"/>
        <v>1.0120775554173983E-2</v>
      </c>
      <c r="AB22" s="42">
        <f t="shared" ca="1" si="12"/>
        <v>0.22584869174707592</v>
      </c>
      <c r="AC22" s="42">
        <f t="shared" ca="1" si="13"/>
        <v>0.27549406335699111</v>
      </c>
      <c r="AD22" s="42">
        <f t="shared" ca="1" si="14"/>
        <v>0.27699628259706555</v>
      </c>
      <c r="AE22" s="42">
        <f t="shared" ca="1" si="15"/>
        <v>0.27708055360574974</v>
      </c>
      <c r="AF22" s="42">
        <f t="shared" ca="1" si="16"/>
        <v>0.27708929595828502</v>
      </c>
      <c r="AG22" s="42">
        <f t="shared" ca="1" si="17"/>
        <v>0.27709074895732361</v>
      </c>
      <c r="AH22" s="42">
        <f t="shared" ca="1" si="18"/>
        <v>0.27709109476294519</v>
      </c>
      <c r="AI22" s="42">
        <f t="shared" ca="1" si="19"/>
        <v>0.27709120299233214</v>
      </c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</row>
    <row r="23" spans="1:66">
      <c r="A23" s="162" t="s">
        <v>8</v>
      </c>
      <c r="B23" s="8" t="s">
        <v>9</v>
      </c>
      <c r="C23" s="67">
        <f>(4*h*Ro)/((1-h)*C21)</f>
        <v>4.1476398728652804</v>
      </c>
      <c r="D23" s="103"/>
      <c r="E23" s="94">
        <v>4</v>
      </c>
      <c r="F23" s="98">
        <f t="shared" ca="1" si="6"/>
        <v>0.22078674854795641</v>
      </c>
      <c r="G23" s="98">
        <f t="shared" ca="1" si="7"/>
        <v>0.1207867485479564</v>
      </c>
      <c r="H23" s="18">
        <f t="shared" si="8"/>
        <v>1440</v>
      </c>
      <c r="I23" s="18">
        <v>323.67359571820191</v>
      </c>
      <c r="J23" s="16">
        <f t="shared" si="20"/>
        <v>4.4489263846337934</v>
      </c>
      <c r="K23" s="33">
        <v>4</v>
      </c>
      <c r="L23" s="18">
        <v>0</v>
      </c>
      <c r="M23" s="18">
        <v>0</v>
      </c>
      <c r="N23" s="18">
        <v>83</v>
      </c>
      <c r="O23" s="18">
        <v>628</v>
      </c>
      <c r="P23" s="18">
        <v>339</v>
      </c>
      <c r="Q23" s="18">
        <v>151</v>
      </c>
      <c r="R23" s="18">
        <v>75</v>
      </c>
      <c r="S23" s="18">
        <v>57</v>
      </c>
      <c r="T23" s="18">
        <v>45</v>
      </c>
      <c r="U23" s="18">
        <v>35</v>
      </c>
      <c r="V23" s="16">
        <v>27</v>
      </c>
      <c r="X23" s="47">
        <v>4</v>
      </c>
      <c r="Y23" s="42">
        <f t="shared" ca="1" si="9"/>
        <v>5.8867721670483068E-9</v>
      </c>
      <c r="Z23" s="42">
        <f t="shared" ca="1" si="10"/>
        <v>1.7537312146148774E-5</v>
      </c>
      <c r="AA23" s="42">
        <f t="shared" ca="1" si="11"/>
        <v>8.0642487076427183E-3</v>
      </c>
      <c r="AB23" s="42">
        <f t="shared" ca="1" si="12"/>
        <v>0.17995656664799964</v>
      </c>
      <c r="AC23" s="42">
        <f t="shared" ca="1" si="13"/>
        <v>0.21951407108061091</v>
      </c>
      <c r="AD23" s="42">
        <f t="shared" ca="1" si="14"/>
        <v>0.22071104155985155</v>
      </c>
      <c r="AE23" s="42">
        <f t="shared" ca="1" si="15"/>
        <v>0.22077818882235481</v>
      </c>
      <c r="AF23" s="42">
        <f t="shared" ca="1" si="16"/>
        <v>0.22078515474159266</v>
      </c>
      <c r="AG23" s="42">
        <f t="shared" ca="1" si="17"/>
        <v>0.22078631249334363</v>
      </c>
      <c r="AH23" s="42">
        <f t="shared" ca="1" si="18"/>
        <v>0.22078658803176673</v>
      </c>
      <c r="AI23" s="42">
        <f t="shared" ca="1" si="19"/>
        <v>0.22078667426909995</v>
      </c>
      <c r="AJ23" s="100"/>
      <c r="AK23" s="100"/>
      <c r="AL23" s="100"/>
      <c r="AM23" s="100"/>
      <c r="AN23" s="100"/>
      <c r="AO23" s="100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</row>
    <row r="24" spans="1:66">
      <c r="A24" s="162"/>
      <c r="B24" s="8" t="s">
        <v>10</v>
      </c>
      <c r="C24" s="66">
        <f>(5*h-1)/((1-h)*C21)</f>
        <v>9.9116394020677657E-4</v>
      </c>
      <c r="D24" s="104"/>
      <c r="E24" s="94">
        <v>5</v>
      </c>
      <c r="F24" s="98">
        <f t="shared" ca="1" si="6"/>
        <v>0.18555844001648789</v>
      </c>
      <c r="G24" s="98">
        <f t="shared" ca="1" si="7"/>
        <v>8.555844001648788E-2</v>
      </c>
      <c r="H24" s="18">
        <f t="shared" si="8"/>
        <v>1171</v>
      </c>
      <c r="I24" s="18">
        <v>202.24580574140785</v>
      </c>
      <c r="J24" s="16">
        <f t="shared" si="20"/>
        <v>5.7899841023019505</v>
      </c>
      <c r="K24" s="33">
        <v>5</v>
      </c>
      <c r="L24" s="18">
        <v>0</v>
      </c>
      <c r="M24" s="18">
        <v>0</v>
      </c>
      <c r="N24" s="18">
        <v>46</v>
      </c>
      <c r="O24" s="18">
        <v>540</v>
      </c>
      <c r="P24" s="18">
        <v>287</v>
      </c>
      <c r="Q24" s="18">
        <v>144</v>
      </c>
      <c r="R24" s="18">
        <v>64</v>
      </c>
      <c r="S24" s="18">
        <v>32</v>
      </c>
      <c r="T24" s="18">
        <v>24</v>
      </c>
      <c r="U24" s="18">
        <v>19</v>
      </c>
      <c r="V24" s="16">
        <v>15</v>
      </c>
      <c r="X24" s="47">
        <v>5</v>
      </c>
      <c r="Y24" s="42">
        <f t="shared" ca="1" si="9"/>
        <v>4.9474901335063589E-9</v>
      </c>
      <c r="Z24" s="42">
        <f t="shared" ca="1" si="10"/>
        <v>1.4739092383593563E-5</v>
      </c>
      <c r="AA24" s="42">
        <f t="shared" ca="1" si="11"/>
        <v>6.7775327094421849E-3</v>
      </c>
      <c r="AB24" s="42">
        <f t="shared" ca="1" si="12"/>
        <v>0.15124304333270649</v>
      </c>
      <c r="AC24" s="42">
        <f t="shared" ca="1" si="13"/>
        <v>0.18448882851562615</v>
      </c>
      <c r="AD24" s="42">
        <f t="shared" ca="1" si="14"/>
        <v>0.18549481268965112</v>
      </c>
      <c r="AE24" s="42">
        <f t="shared" ca="1" si="15"/>
        <v>0.1855512460642238</v>
      </c>
      <c r="AF24" s="42">
        <f t="shared" ca="1" si="16"/>
        <v>0.18555710051479907</v>
      </c>
      <c r="AG24" s="42">
        <f t="shared" ca="1" si="17"/>
        <v>0.18555807353790962</v>
      </c>
      <c r="AH24" s="42">
        <f t="shared" ca="1" si="18"/>
        <v>0.1855583051119524</v>
      </c>
      <c r="AI24" s="42">
        <f t="shared" ca="1" si="19"/>
        <v>0.18555837758942276</v>
      </c>
      <c r="AJ24" s="100"/>
      <c r="AK24" s="100"/>
      <c r="AL24" s="100"/>
      <c r="AM24" s="100"/>
      <c r="AN24" s="100"/>
      <c r="AO24" s="100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</row>
    <row r="25" spans="1:66" ht="17" thickBot="1">
      <c r="A25" s="163"/>
      <c r="B25" s="61" t="s">
        <v>75</v>
      </c>
      <c r="C25" s="69">
        <f>(4*h)/(1-h)</f>
        <v>22.666666666666664</v>
      </c>
      <c r="D25" s="103"/>
      <c r="E25" s="94">
        <v>6</v>
      </c>
      <c r="F25" s="98">
        <f t="shared" ca="1" si="6"/>
        <v>3.1597467535209339E-2</v>
      </c>
      <c r="G25" s="98">
        <f t="shared" ca="1" si="7"/>
        <v>-6.8402532464790666E-2</v>
      </c>
      <c r="H25" s="18">
        <f t="shared" si="8"/>
        <v>1154</v>
      </c>
      <c r="I25" s="18">
        <v>221.55067447341082</v>
      </c>
      <c r="J25" s="16">
        <f t="shared" si="20"/>
        <v>5.2087406312026197</v>
      </c>
      <c r="K25" s="33">
        <v>6</v>
      </c>
      <c r="L25" s="18">
        <v>0</v>
      </c>
      <c r="M25" s="18">
        <v>0</v>
      </c>
      <c r="N25" s="18">
        <v>46</v>
      </c>
      <c r="O25" s="18">
        <v>478</v>
      </c>
      <c r="P25" s="18">
        <v>327</v>
      </c>
      <c r="Q25" s="18">
        <v>153</v>
      </c>
      <c r="R25" s="18">
        <v>76</v>
      </c>
      <c r="S25" s="18">
        <v>34</v>
      </c>
      <c r="T25" s="18">
        <v>17</v>
      </c>
      <c r="U25" s="18">
        <v>13</v>
      </c>
      <c r="V25" s="16">
        <v>10</v>
      </c>
      <c r="X25" s="47">
        <v>6</v>
      </c>
      <c r="Y25" s="42">
        <f t="shared" ca="1" si="9"/>
        <v>8.4247398749604206E-10</v>
      </c>
      <c r="Z25" s="42">
        <f t="shared" ca="1" si="10"/>
        <v>2.5098184326601758E-6</v>
      </c>
      <c r="AA25" s="42">
        <f t="shared" ca="1" si="11"/>
        <v>1.1540993216821083E-3</v>
      </c>
      <c r="AB25" s="42">
        <f t="shared" ca="1" si="12"/>
        <v>2.575413519970755E-2</v>
      </c>
      <c r="AC25" s="42">
        <f t="shared" ca="1" si="13"/>
        <v>3.1415330766486976E-2</v>
      </c>
      <c r="AD25" s="42">
        <f t="shared" ca="1" si="14"/>
        <v>3.1586632876360633E-2</v>
      </c>
      <c r="AE25" s="42">
        <f t="shared" ca="1" si="15"/>
        <v>3.1596242526672438E-2</v>
      </c>
      <c r="AF25" s="42">
        <f t="shared" ca="1" si="16"/>
        <v>3.15972394407011E-2</v>
      </c>
      <c r="AG25" s="42">
        <f t="shared" ca="1" si="17"/>
        <v>3.1597405130098698E-2</v>
      </c>
      <c r="AH25" s="42">
        <f t="shared" ca="1" si="18"/>
        <v>3.1597444563246008E-2</v>
      </c>
      <c r="AI25" s="42">
        <f t="shared" ca="1" si="19"/>
        <v>3.1597456904934783E-2</v>
      </c>
      <c r="AJ25" s="100"/>
      <c r="AK25" s="100"/>
      <c r="AL25" s="100"/>
      <c r="AM25" s="100"/>
      <c r="AN25" s="100"/>
      <c r="AO25" s="100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</row>
    <row r="26" spans="1:66">
      <c r="E26" s="94">
        <v>7</v>
      </c>
      <c r="F26" s="98">
        <f t="shared" ca="1" si="6"/>
        <v>3.7620302677263642E-2</v>
      </c>
      <c r="G26" s="98">
        <f t="shared" ca="1" si="7"/>
        <v>-6.2379697322736363E-2</v>
      </c>
      <c r="H26" s="18">
        <f t="shared" si="8"/>
        <v>907</v>
      </c>
      <c r="I26" s="18">
        <v>235.88523360555769</v>
      </c>
      <c r="J26" s="16">
        <f t="shared" si="20"/>
        <v>3.8450901997395319</v>
      </c>
      <c r="K26" s="33">
        <v>7</v>
      </c>
      <c r="L26" s="18">
        <v>0</v>
      </c>
      <c r="M26" s="18">
        <v>0</v>
      </c>
      <c r="N26" s="18">
        <v>34</v>
      </c>
      <c r="O26" s="18">
        <v>351</v>
      </c>
      <c r="P26" s="18">
        <v>240</v>
      </c>
      <c r="Q26" s="18">
        <v>149</v>
      </c>
      <c r="R26" s="18">
        <v>70</v>
      </c>
      <c r="S26" s="18">
        <v>35</v>
      </c>
      <c r="T26" s="18">
        <v>15</v>
      </c>
      <c r="U26" s="18">
        <v>7</v>
      </c>
      <c r="V26" s="16">
        <v>6</v>
      </c>
      <c r="X26" s="47">
        <v>7</v>
      </c>
      <c r="Y26" s="42">
        <f t="shared" ca="1" si="9"/>
        <v>1.0030590702247032E-9</v>
      </c>
      <c r="Z26" s="42">
        <f t="shared" ca="1" si="10"/>
        <v>2.9882182487073705E-6</v>
      </c>
      <c r="AA26" s="42">
        <f t="shared" ca="1" si="11"/>
        <v>1.3740837221503587E-3</v>
      </c>
      <c r="AB26" s="42">
        <f t="shared" ca="1" si="12"/>
        <v>3.0663165024998856E-2</v>
      </c>
      <c r="AC26" s="42">
        <f t="shared" ca="1" si="13"/>
        <v>3.7403448577790044E-2</v>
      </c>
      <c r="AD26" s="42">
        <f t="shared" ca="1" si="14"/>
        <v>3.7607402809739801E-2</v>
      </c>
      <c r="AE26" s="42">
        <f t="shared" ca="1" si="15"/>
        <v>3.7618844168226827E-2</v>
      </c>
      <c r="AF26" s="42">
        <f t="shared" ca="1" si="16"/>
        <v>3.7620031105359046E-2</v>
      </c>
      <c r="AG26" s="42">
        <f t="shared" ca="1" si="17"/>
        <v>3.7620228377032203E-2</v>
      </c>
      <c r="AH26" s="42">
        <f t="shared" ca="1" si="18"/>
        <v>3.7620275326583949E-2</v>
      </c>
      <c r="AI26" s="42">
        <f t="shared" ca="1" si="19"/>
        <v>3.762029002073837E-2</v>
      </c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</row>
    <row r="27" spans="1:66">
      <c r="A27" s="94"/>
      <c r="B27" s="94"/>
      <c r="C27" s="94"/>
      <c r="E27" s="94">
        <v>8</v>
      </c>
      <c r="F27" s="98">
        <f t="shared" ca="1" si="6"/>
        <v>0.36918710192433679</v>
      </c>
      <c r="G27" s="98">
        <f t="shared" ca="1" si="7"/>
        <v>0.26918710192433681</v>
      </c>
      <c r="H27" s="18">
        <f t="shared" si="8"/>
        <v>883</v>
      </c>
      <c r="I27" s="18">
        <v>306.65970178479904</v>
      </c>
      <c r="J27" s="16">
        <f t="shared" si="20"/>
        <v>2.8794132220856734</v>
      </c>
      <c r="K27" s="33">
        <v>8</v>
      </c>
      <c r="L27" s="18">
        <v>0</v>
      </c>
      <c r="M27" s="18">
        <v>0</v>
      </c>
      <c r="N27" s="18">
        <v>44</v>
      </c>
      <c r="O27" s="18">
        <v>351</v>
      </c>
      <c r="P27" s="18">
        <v>212</v>
      </c>
      <c r="Q27" s="18">
        <v>129</v>
      </c>
      <c r="R27" s="18">
        <v>80</v>
      </c>
      <c r="S27" s="18">
        <v>37</v>
      </c>
      <c r="T27" s="18">
        <v>18</v>
      </c>
      <c r="U27" s="18">
        <v>8</v>
      </c>
      <c r="V27" s="16">
        <v>4</v>
      </c>
      <c r="X27" s="47">
        <v>8</v>
      </c>
      <c r="Y27" s="42">
        <f t="shared" ca="1" si="9"/>
        <v>9.8435271606409483E-9</v>
      </c>
      <c r="Z27" s="42">
        <f t="shared" ca="1" si="10"/>
        <v>2.9324900562919517E-5</v>
      </c>
      <c r="AA27" s="42">
        <f t="shared" ca="1" si="11"/>
        <v>1.3484580162314505E-2</v>
      </c>
      <c r="AB27" s="42">
        <f t="shared" ca="1" si="12"/>
        <v>0.30091318319585669</v>
      </c>
      <c r="AC27" s="42">
        <f t="shared" ca="1" si="13"/>
        <v>0.36705900271121017</v>
      </c>
      <c r="AD27" s="42">
        <f t="shared" ca="1" si="14"/>
        <v>0.36906050898468951</v>
      </c>
      <c r="AE27" s="42">
        <f t="shared" ca="1" si="15"/>
        <v>0.36917278883576193</v>
      </c>
      <c r="AF27" s="42">
        <f t="shared" ca="1" si="16"/>
        <v>0.36918443685156255</v>
      </c>
      <c r="AG27" s="42">
        <f t="shared" ca="1" si="17"/>
        <v>0.36918637277849886</v>
      </c>
      <c r="AH27" s="42">
        <f t="shared" ca="1" si="18"/>
        <v>0.36918683351825143</v>
      </c>
      <c r="AI27" s="42">
        <f t="shared" ca="1" si="19"/>
        <v>0.36918697771943804</v>
      </c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</row>
    <row r="28" spans="1:66">
      <c r="A28" s="94"/>
      <c r="B28" s="94"/>
      <c r="C28" s="94"/>
      <c r="E28" s="94">
        <v>9</v>
      </c>
      <c r="F28" s="98">
        <f t="shared" ca="1" si="6"/>
        <v>7.073222272918632E-2</v>
      </c>
      <c r="G28" s="98">
        <f t="shared" ca="1" si="7"/>
        <v>-2.9267777270813686E-2</v>
      </c>
      <c r="H28" s="18">
        <f t="shared" si="8"/>
        <v>644</v>
      </c>
      <c r="I28" s="18">
        <v>267.14062033052551</v>
      </c>
      <c r="J28" s="16">
        <f t="shared" si="20"/>
        <v>2.4107153723128931</v>
      </c>
      <c r="K28" s="33">
        <v>9</v>
      </c>
      <c r="L28" s="18">
        <v>0</v>
      </c>
      <c r="M28" s="18">
        <v>0</v>
      </c>
      <c r="N28" s="18">
        <v>28</v>
      </c>
      <c r="O28" s="18">
        <v>261</v>
      </c>
      <c r="P28" s="18">
        <v>155</v>
      </c>
      <c r="Q28" s="18">
        <v>88</v>
      </c>
      <c r="R28" s="18">
        <v>53</v>
      </c>
      <c r="S28" s="18">
        <v>33</v>
      </c>
      <c r="T28" s="18">
        <v>15</v>
      </c>
      <c r="U28" s="18">
        <v>8</v>
      </c>
      <c r="V28" s="16">
        <v>3</v>
      </c>
      <c r="X28" s="47">
        <v>9</v>
      </c>
      <c r="Y28" s="42">
        <f t="shared" ca="1" si="9"/>
        <v>1.885912459937305E-9</v>
      </c>
      <c r="Z28" s="42">
        <f t="shared" ca="1" si="10"/>
        <v>5.6183311586891941E-6</v>
      </c>
      <c r="AA28" s="42">
        <f t="shared" ca="1" si="11"/>
        <v>2.5834985092352243E-3</v>
      </c>
      <c r="AB28" s="42">
        <f t="shared" ca="1" si="12"/>
        <v>5.7651684430513751E-2</v>
      </c>
      <c r="AC28" s="42">
        <f t="shared" ca="1" si="13"/>
        <v>7.032450212695486E-2</v>
      </c>
      <c r="AD28" s="42">
        <f t="shared" ca="1" si="14"/>
        <v>7.0707968902450763E-2</v>
      </c>
      <c r="AE28" s="42">
        <f t="shared" ca="1" si="15"/>
        <v>7.0729480497500163E-2</v>
      </c>
      <c r="AF28" s="42">
        <f t="shared" ca="1" si="16"/>
        <v>7.0731712130305505E-2</v>
      </c>
      <c r="AG28" s="42">
        <f t="shared" ca="1" si="17"/>
        <v>7.0732083032795143E-2</v>
      </c>
      <c r="AH28" s="42">
        <f t="shared" ca="1" si="18"/>
        <v>7.0732171305507338E-2</v>
      </c>
      <c r="AI28" s="42">
        <f t="shared" ca="1" si="19"/>
        <v>7.0732198932882184E-2</v>
      </c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</row>
    <row r="29" spans="1:66" ht="16" customHeight="1">
      <c r="E29" s="94">
        <v>10</v>
      </c>
      <c r="F29" s="98">
        <f t="shared" ca="1" si="6"/>
        <v>5.9201932035377297E-2</v>
      </c>
      <c r="G29" s="98">
        <f t="shared" ca="1" si="7"/>
        <v>-4.0798067964622708E-2</v>
      </c>
      <c r="H29" s="18">
        <f t="shared" si="8"/>
        <v>384</v>
      </c>
      <c r="I29" s="18">
        <v>102.62482144956589</v>
      </c>
      <c r="J29" s="16">
        <f t="shared" si="20"/>
        <v>3.7417848292063884</v>
      </c>
      <c r="K29" s="33">
        <v>10</v>
      </c>
      <c r="L29" s="18">
        <v>0</v>
      </c>
      <c r="M29" s="18">
        <v>0</v>
      </c>
      <c r="N29" s="18">
        <v>11</v>
      </c>
      <c r="O29" s="18">
        <v>160</v>
      </c>
      <c r="P29" s="18">
        <v>97</v>
      </c>
      <c r="Q29" s="18">
        <v>51</v>
      </c>
      <c r="R29" s="18">
        <v>29</v>
      </c>
      <c r="S29" s="18">
        <v>18</v>
      </c>
      <c r="T29" s="18">
        <v>11</v>
      </c>
      <c r="U29" s="18">
        <v>5</v>
      </c>
      <c r="V29" s="16">
        <v>2</v>
      </c>
      <c r="X29" s="47">
        <v>10</v>
      </c>
      <c r="Y29" s="42">
        <f t="shared" ca="1" si="9"/>
        <v>1.578483708978785E-9</v>
      </c>
      <c r="Z29" s="42">
        <f t="shared" ca="1" si="10"/>
        <v>4.702468642650367E-6</v>
      </c>
      <c r="AA29" s="42">
        <f t="shared" ca="1" si="11"/>
        <v>2.1623539775193741E-3</v>
      </c>
      <c r="AB29" s="42">
        <f t="shared" ca="1" si="12"/>
        <v>4.8253695016033292E-2</v>
      </c>
      <c r="AC29" s="42">
        <f t="shared" ca="1" si="13"/>
        <v>5.886067530044975E-2</v>
      </c>
      <c r="AD29" s="42">
        <f t="shared" ca="1" si="14"/>
        <v>5.9181631904169855E-2</v>
      </c>
      <c r="AE29" s="42">
        <f t="shared" ca="1" si="15"/>
        <v>5.9199636823836568E-2</v>
      </c>
      <c r="AF29" s="42">
        <f t="shared" ca="1" si="16"/>
        <v>5.9201504670888055E-2</v>
      </c>
      <c r="AG29" s="42">
        <f t="shared" ca="1" si="17"/>
        <v>5.9201815111351197E-2</v>
      </c>
      <c r="AH29" s="42">
        <f t="shared" ca="1" si="18"/>
        <v>5.9201888994440219E-2</v>
      </c>
      <c r="AI29" s="42">
        <f t="shared" ca="1" si="19"/>
        <v>5.9201912118186435E-2</v>
      </c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</row>
    <row r="30" spans="1:66">
      <c r="E30" s="94">
        <v>11</v>
      </c>
      <c r="F30" s="98">
        <f t="shared" ca="1" si="6"/>
        <v>9.9999999999999995E-7</v>
      </c>
      <c r="G30" s="98">
        <f t="shared" ca="1" si="7"/>
        <v>-0.13097431855717093</v>
      </c>
      <c r="H30" s="18">
        <f t="shared" si="8"/>
        <v>663</v>
      </c>
      <c r="I30" s="18">
        <v>260.44640221469183</v>
      </c>
      <c r="J30" s="16">
        <f t="shared" si="20"/>
        <v>2.545629328576688</v>
      </c>
      <c r="K30" s="33">
        <v>11</v>
      </c>
      <c r="L30" s="18">
        <v>0</v>
      </c>
      <c r="M30" s="18">
        <v>0</v>
      </c>
      <c r="N30" s="18">
        <v>29</v>
      </c>
      <c r="O30" s="18">
        <v>258</v>
      </c>
      <c r="P30" s="18">
        <v>179</v>
      </c>
      <c r="Q30" s="18">
        <v>91</v>
      </c>
      <c r="R30" s="18">
        <v>48</v>
      </c>
      <c r="S30" s="18">
        <v>27</v>
      </c>
      <c r="T30" s="18">
        <v>16</v>
      </c>
      <c r="U30" s="18">
        <v>10</v>
      </c>
      <c r="V30" s="16">
        <v>5</v>
      </c>
      <c r="X30" s="47">
        <v>11</v>
      </c>
      <c r="Y30" s="42">
        <f t="shared" ca="1" si="9"/>
        <v>2.666270600823518E-14</v>
      </c>
      <c r="Z30" s="42">
        <f t="shared" ca="1" si="10"/>
        <v>7.943099964778705E-11</v>
      </c>
      <c r="AA30" s="42">
        <f t="shared" ca="1" si="11"/>
        <v>3.6525057598242171E-8</v>
      </c>
      <c r="AB30" s="42">
        <f t="shared" ca="1" si="12"/>
        <v>8.1506959920156534E-7</v>
      </c>
      <c r="AC30" s="42">
        <f t="shared" ca="1" si="13"/>
        <v>9.9423571624784768E-7</v>
      </c>
      <c r="AD30" s="42">
        <f t="shared" ca="1" si="14"/>
        <v>9.9965710356892902E-7</v>
      </c>
      <c r="AE30" s="42">
        <f t="shared" ca="1" si="15"/>
        <v>9.9996123080004626E-7</v>
      </c>
      <c r="AF30" s="42">
        <f t="shared" ca="1" si="16"/>
        <v>9.999927812408387E-7</v>
      </c>
      <c r="AG30" s="42">
        <f t="shared" ca="1" si="17"/>
        <v>9.9999802499644722E-7</v>
      </c>
      <c r="AH30" s="42">
        <f t="shared" ca="1" si="18"/>
        <v>9.9999927298087078E-7</v>
      </c>
      <c r="AI30" s="42">
        <f t="shared" ca="1" si="19"/>
        <v>9.9999966357194471E-7</v>
      </c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</row>
    <row r="31" spans="1:66" ht="17" customHeight="1">
      <c r="E31" s="94">
        <v>12</v>
      </c>
      <c r="F31" s="98">
        <f t="shared" ref="F31" ca="1" si="21">MAX(0.000001,Fbar+G31)</f>
        <v>0.25473316565881177</v>
      </c>
      <c r="G31" s="98">
        <f t="shared" ca="1" si="7"/>
        <v>0.15473316565881173</v>
      </c>
      <c r="H31" s="18">
        <f t="shared" si="8"/>
        <v>600</v>
      </c>
      <c r="I31" s="18">
        <v>313.43959449316407</v>
      </c>
      <c r="J31" s="16">
        <f t="shared" si="20"/>
        <v>1.9142444366998619</v>
      </c>
      <c r="K31" s="33">
        <v>12</v>
      </c>
      <c r="L31" s="18">
        <v>0</v>
      </c>
      <c r="M31" s="18">
        <v>0</v>
      </c>
      <c r="N31" s="18">
        <v>32</v>
      </c>
      <c r="O31" s="18">
        <v>247</v>
      </c>
      <c r="P31" s="18">
        <v>139</v>
      </c>
      <c r="Q31" s="18">
        <v>88</v>
      </c>
      <c r="R31" s="18">
        <v>45</v>
      </c>
      <c r="S31" s="18">
        <v>23</v>
      </c>
      <c r="T31" s="18">
        <v>13</v>
      </c>
      <c r="U31" s="18">
        <v>8</v>
      </c>
      <c r="V31" s="16">
        <v>5</v>
      </c>
      <c r="X31" s="47">
        <v>12</v>
      </c>
      <c r="Y31" s="42">
        <f t="shared" ca="1" si="9"/>
        <v>6.7918755065079681E-9</v>
      </c>
      <c r="Z31" s="42">
        <f t="shared" ca="1" si="10"/>
        <v>2.0233709991724759E-5</v>
      </c>
      <c r="AA31" s="42">
        <f t="shared" ca="1" si="11"/>
        <v>9.3041435478706646E-3</v>
      </c>
      <c r="AB31" s="42">
        <f t="shared" ca="1" si="12"/>
        <v>0.20762525923687367</v>
      </c>
      <c r="AC31" s="42">
        <f t="shared" ca="1" si="13"/>
        <v>0.25326481141087037</v>
      </c>
      <c r="AD31" s="42">
        <f t="shared" ca="1" si="14"/>
        <v>0.25464581856543195</v>
      </c>
      <c r="AE31" s="42">
        <f t="shared" ca="1" si="15"/>
        <v>0.25472328985777748</v>
      </c>
      <c r="AF31" s="42">
        <f t="shared" ca="1" si="16"/>
        <v>0.25473132680143851</v>
      </c>
      <c r="AG31" s="42">
        <f t="shared" ca="1" si="17"/>
        <v>0.25473266255990462</v>
      </c>
      <c r="AH31" s="42">
        <f t="shared" ca="1" si="18"/>
        <v>0.25473298046292747</v>
      </c>
      <c r="AI31" s="42">
        <f t="shared" ca="1" si="19"/>
        <v>0.25473307995942823</v>
      </c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</row>
    <row r="32" spans="1:66">
      <c r="E32" s="94">
        <v>13</v>
      </c>
      <c r="F32" s="98">
        <f t="shared" ref="F32:F39" ca="1" si="22">MAX(0.000001,Fbar+G32)</f>
        <v>9.9999999999999995E-7</v>
      </c>
      <c r="G32" s="98">
        <f t="shared" ca="1" si="7"/>
        <v>-0.14283807776890028</v>
      </c>
      <c r="H32" s="18">
        <f t="shared" si="8"/>
        <v>499</v>
      </c>
      <c r="I32" s="18">
        <v>361.11903794262292</v>
      </c>
      <c r="J32" s="16">
        <f t="shared" si="20"/>
        <v>1.3818158212951501</v>
      </c>
      <c r="K32" s="33">
        <v>13</v>
      </c>
      <c r="L32" s="18">
        <v>0</v>
      </c>
      <c r="M32" s="18">
        <v>0</v>
      </c>
      <c r="N32" s="18">
        <v>28</v>
      </c>
      <c r="O32" s="18">
        <v>209</v>
      </c>
      <c r="P32" s="18">
        <v>118</v>
      </c>
      <c r="Q32" s="18">
        <v>63</v>
      </c>
      <c r="R32" s="18">
        <v>40</v>
      </c>
      <c r="S32" s="18">
        <v>20</v>
      </c>
      <c r="T32" s="18">
        <v>11</v>
      </c>
      <c r="U32" s="18">
        <v>6</v>
      </c>
      <c r="V32" s="16">
        <v>4</v>
      </c>
      <c r="X32" s="47">
        <v>13</v>
      </c>
      <c r="Y32" s="42">
        <f t="shared" ca="1" si="9"/>
        <v>2.666270600823518E-14</v>
      </c>
      <c r="Z32" s="42">
        <f t="shared" ca="1" si="10"/>
        <v>7.943099964778705E-11</v>
      </c>
      <c r="AA32" s="42">
        <f t="shared" ca="1" si="11"/>
        <v>3.6525057598242171E-8</v>
      </c>
      <c r="AB32" s="42">
        <f t="shared" ca="1" si="12"/>
        <v>8.1506959920156534E-7</v>
      </c>
      <c r="AC32" s="42">
        <f t="shared" ca="1" si="13"/>
        <v>9.9423571624784768E-7</v>
      </c>
      <c r="AD32" s="42">
        <f t="shared" ca="1" si="14"/>
        <v>9.9965710356892902E-7</v>
      </c>
      <c r="AE32" s="42">
        <f t="shared" ca="1" si="15"/>
        <v>9.9996123080004626E-7</v>
      </c>
      <c r="AF32" s="42">
        <f t="shared" ca="1" si="16"/>
        <v>9.999927812408387E-7</v>
      </c>
      <c r="AG32" s="42">
        <f t="shared" ca="1" si="17"/>
        <v>9.9999802499644722E-7</v>
      </c>
      <c r="AH32" s="42">
        <f t="shared" ca="1" si="18"/>
        <v>9.9999927298087078E-7</v>
      </c>
      <c r="AI32" s="42">
        <f t="shared" ca="1" si="19"/>
        <v>9.9999966357194471E-7</v>
      </c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</row>
    <row r="33" spans="5:66">
      <c r="E33" s="94">
        <v>14</v>
      </c>
      <c r="F33" s="98">
        <f t="shared" ca="1" si="22"/>
        <v>0.10385602897133576</v>
      </c>
      <c r="G33" s="98">
        <f t="shared" ca="1" si="7"/>
        <v>3.8560289713357554E-3</v>
      </c>
      <c r="H33" s="18">
        <f t="shared" si="8"/>
        <v>464</v>
      </c>
      <c r="I33" s="18">
        <v>559.29771094199009</v>
      </c>
      <c r="J33" s="16">
        <f t="shared" si="20"/>
        <v>0.8296118344888519</v>
      </c>
      <c r="K33" s="33">
        <v>14</v>
      </c>
      <c r="L33" s="18">
        <v>0</v>
      </c>
      <c r="M33" s="18">
        <v>0</v>
      </c>
      <c r="N33" s="18">
        <v>45</v>
      </c>
      <c r="O33" s="18">
        <v>200</v>
      </c>
      <c r="P33" s="18">
        <v>101</v>
      </c>
      <c r="Q33" s="18">
        <v>54</v>
      </c>
      <c r="R33" s="18">
        <v>29</v>
      </c>
      <c r="S33" s="18">
        <v>18</v>
      </c>
      <c r="T33" s="18">
        <v>9</v>
      </c>
      <c r="U33" s="18">
        <v>5</v>
      </c>
      <c r="V33" s="16">
        <v>3</v>
      </c>
      <c r="X33" s="47">
        <v>14</v>
      </c>
      <c r="Y33" s="42">
        <f t="shared" ca="1" si="9"/>
        <v>2.7690827676454811E-9</v>
      </c>
      <c r="Z33" s="42">
        <f t="shared" ca="1" si="10"/>
        <v>8.2493882006427334E-6</v>
      </c>
      <c r="AA33" s="42">
        <f t="shared" ca="1" si="11"/>
        <v>3.7933474401027462E-3</v>
      </c>
      <c r="AB33" s="42">
        <f t="shared" ca="1" si="12"/>
        <v>8.4649891908332803E-2</v>
      </c>
      <c r="AC33" s="42">
        <f t="shared" ca="1" si="13"/>
        <v>0.10325737335097325</v>
      </c>
      <c r="AD33" s="42">
        <f t="shared" ca="1" si="14"/>
        <v>0.10382041710965628</v>
      </c>
      <c r="AE33" s="42">
        <f t="shared" ca="1" si="15"/>
        <v>0.10385200255618218</v>
      </c>
      <c r="AF33" s="42">
        <f t="shared" ca="1" si="16"/>
        <v>0.10385527925967518</v>
      </c>
      <c r="AG33" s="42">
        <f t="shared" ca="1" si="17"/>
        <v>0.10385582385530957</v>
      </c>
      <c r="AH33" s="42">
        <f t="shared" ca="1" si="18"/>
        <v>0.10385595346601602</v>
      </c>
      <c r="AI33" s="42">
        <f t="shared" ca="1" si="19"/>
        <v>0.10385599403125391</v>
      </c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</row>
    <row r="34" spans="5:66" ht="16" customHeight="1">
      <c r="E34" s="94">
        <v>15</v>
      </c>
      <c r="F34" s="98">
        <f t="shared" ca="1" si="22"/>
        <v>0.23655935951338319</v>
      </c>
      <c r="G34" s="98">
        <f t="shared" ca="1" si="7"/>
        <v>0.13655935951338319</v>
      </c>
      <c r="H34" s="18">
        <f t="shared" si="8"/>
        <v>432</v>
      </c>
      <c r="I34" s="18">
        <v>441.87612290874796</v>
      </c>
      <c r="J34" s="16">
        <f t="shared" si="20"/>
        <v>0.97764956648090373</v>
      </c>
      <c r="K34" s="33">
        <v>15</v>
      </c>
      <c r="L34" s="18">
        <v>0</v>
      </c>
      <c r="M34" s="18">
        <v>0</v>
      </c>
      <c r="N34" s="18">
        <v>37</v>
      </c>
      <c r="O34" s="18">
        <v>206</v>
      </c>
      <c r="P34" s="18">
        <v>90</v>
      </c>
      <c r="Q34" s="18">
        <v>47</v>
      </c>
      <c r="R34" s="18">
        <v>25</v>
      </c>
      <c r="S34" s="18">
        <v>13</v>
      </c>
      <c r="T34" s="18">
        <v>8</v>
      </c>
      <c r="U34" s="18">
        <v>4</v>
      </c>
      <c r="V34" s="16">
        <v>2</v>
      </c>
      <c r="X34" s="47">
        <v>15</v>
      </c>
      <c r="Y34" s="42">
        <f t="shared" ca="1" si="9"/>
        <v>6.307312656201748E-9</v>
      </c>
      <c r="Z34" s="42">
        <f t="shared" ca="1" si="10"/>
        <v>1.8790146402188269E-5</v>
      </c>
      <c r="AA34" s="42">
        <f t="shared" ca="1" si="11"/>
        <v>8.6403442316295986E-3</v>
      </c>
      <c r="AB34" s="42">
        <f t="shared" ca="1" si="12"/>
        <v>0.19281234234595226</v>
      </c>
      <c r="AC34" s="42">
        <f t="shared" ca="1" si="13"/>
        <v>0.23519576424092067</v>
      </c>
      <c r="AD34" s="42">
        <f t="shared" ca="1" si="14"/>
        <v>0.23647824415326962</v>
      </c>
      <c r="AE34" s="42">
        <f t="shared" ca="1" si="15"/>
        <v>0.23655018829627331</v>
      </c>
      <c r="AF34" s="42">
        <f t="shared" ca="1" si="16"/>
        <v>0.23655765184833955</v>
      </c>
      <c r="AG34" s="42">
        <f t="shared" ca="1" si="17"/>
        <v>0.23655889230780772</v>
      </c>
      <c r="AH34" s="42">
        <f t="shared" ca="1" si="18"/>
        <v>0.23655918753020364</v>
      </c>
      <c r="AI34" s="42">
        <f t="shared" ca="1" si="19"/>
        <v>0.23655927992817791</v>
      </c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</row>
    <row r="35" spans="5:66">
      <c r="E35" s="94">
        <v>16</v>
      </c>
      <c r="F35" s="98">
        <f t="shared" ca="1" si="22"/>
        <v>9.9999999999999995E-7</v>
      </c>
      <c r="G35" s="98">
        <f t="shared" ca="1" si="7"/>
        <v>-0.11844163600243147</v>
      </c>
      <c r="H35" s="18">
        <f t="shared" si="8"/>
        <v>393</v>
      </c>
      <c r="I35" s="18">
        <v>524.98794467934135</v>
      </c>
      <c r="J35" s="16">
        <f t="shared" si="20"/>
        <v>0.74858861804920385</v>
      </c>
      <c r="K35" s="33">
        <v>16</v>
      </c>
      <c r="L35" s="18">
        <v>0</v>
      </c>
      <c r="M35" s="18">
        <v>0</v>
      </c>
      <c r="N35" s="18">
        <v>32</v>
      </c>
      <c r="O35" s="18">
        <v>180</v>
      </c>
      <c r="P35" s="18">
        <v>93</v>
      </c>
      <c r="Q35" s="18">
        <v>42</v>
      </c>
      <c r="R35" s="18">
        <v>22</v>
      </c>
      <c r="S35" s="18">
        <v>12</v>
      </c>
      <c r="T35" s="18">
        <v>6</v>
      </c>
      <c r="U35" s="18">
        <v>4</v>
      </c>
      <c r="V35" s="16">
        <v>2</v>
      </c>
      <c r="X35" s="47">
        <v>16</v>
      </c>
      <c r="Y35" s="42">
        <f t="shared" ca="1" si="9"/>
        <v>2.666270600823518E-14</v>
      </c>
      <c r="Z35" s="42">
        <f t="shared" ca="1" si="10"/>
        <v>7.943099964778705E-11</v>
      </c>
      <c r="AA35" s="42">
        <f t="shared" ca="1" si="11"/>
        <v>3.6525057598242171E-8</v>
      </c>
      <c r="AB35" s="42">
        <f t="shared" ca="1" si="12"/>
        <v>8.1506959920156534E-7</v>
      </c>
      <c r="AC35" s="42">
        <f t="shared" ca="1" si="13"/>
        <v>9.9423571624784768E-7</v>
      </c>
      <c r="AD35" s="42">
        <f t="shared" ca="1" si="14"/>
        <v>9.9965710356892902E-7</v>
      </c>
      <c r="AE35" s="42">
        <f t="shared" ca="1" si="15"/>
        <v>9.9996123080004626E-7</v>
      </c>
      <c r="AF35" s="42">
        <f t="shared" ca="1" si="16"/>
        <v>9.999927812408387E-7</v>
      </c>
      <c r="AG35" s="42">
        <f t="shared" ca="1" si="17"/>
        <v>9.9999802499644722E-7</v>
      </c>
      <c r="AH35" s="42">
        <f t="shared" ca="1" si="18"/>
        <v>9.9999927298087078E-7</v>
      </c>
      <c r="AI35" s="42">
        <f t="shared" ca="1" si="19"/>
        <v>9.9999966357194471E-7</v>
      </c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</row>
    <row r="36" spans="5:66">
      <c r="E36" s="94">
        <v>17</v>
      </c>
      <c r="F36" s="98">
        <f t="shared" ca="1" si="22"/>
        <v>4.5135168662392158E-2</v>
      </c>
      <c r="G36" s="98">
        <f t="shared" ca="1" si="7"/>
        <v>-5.4864831337607847E-2</v>
      </c>
      <c r="H36" s="18">
        <f t="shared" si="8"/>
        <v>336</v>
      </c>
      <c r="I36" s="18">
        <v>605.38595561470254</v>
      </c>
      <c r="J36" s="16">
        <f t="shared" si="20"/>
        <v>0.55501783099482238</v>
      </c>
      <c r="K36" s="33">
        <v>17</v>
      </c>
      <c r="L36" s="18">
        <v>0</v>
      </c>
      <c r="M36" s="18">
        <v>0</v>
      </c>
      <c r="N36" s="18">
        <v>35</v>
      </c>
      <c r="O36" s="18">
        <v>149</v>
      </c>
      <c r="P36" s="18">
        <v>76</v>
      </c>
      <c r="Q36" s="18">
        <v>40</v>
      </c>
      <c r="R36" s="18">
        <v>18</v>
      </c>
      <c r="S36" s="18">
        <v>9</v>
      </c>
      <c r="T36" s="18">
        <v>5</v>
      </c>
      <c r="U36" s="18">
        <v>3</v>
      </c>
      <c r="V36" s="16">
        <v>1</v>
      </c>
      <c r="X36" s="47">
        <v>17</v>
      </c>
      <c r="Y36" s="42">
        <f t="shared" ca="1" si="9"/>
        <v>1.2034257326774716E-9</v>
      </c>
      <c r="Z36" s="42">
        <f t="shared" ca="1" si="10"/>
        <v>3.5851315661252806E-6</v>
      </c>
      <c r="AA36" s="42">
        <f t="shared" ca="1" si="11"/>
        <v>1.6485646351002486E-3</v>
      </c>
      <c r="AB36" s="42">
        <f t="shared" ca="1" si="12"/>
        <v>3.6788303831551031E-2</v>
      </c>
      <c r="AC36" s="42">
        <f t="shared" ca="1" si="13"/>
        <v>4.4874996743020881E-2</v>
      </c>
      <c r="AD36" s="42">
        <f t="shared" ca="1" si="14"/>
        <v>4.5119691974142034E-2</v>
      </c>
      <c r="AE36" s="42">
        <f t="shared" ca="1" si="15"/>
        <v>4.5133418808013338E-2</v>
      </c>
      <c r="AF36" s="42">
        <f t="shared" ca="1" si="16"/>
        <v>4.5134842842479886E-2</v>
      </c>
      <c r="AG36" s="42">
        <f t="shared" ca="1" si="17"/>
        <v>4.5135079520273701E-2</v>
      </c>
      <c r="AH36" s="42">
        <f t="shared" ca="1" si="18"/>
        <v>4.5135135848261142E-2</v>
      </c>
      <c r="AI36" s="42">
        <f t="shared" ca="1" si="19"/>
        <v>4.5135153477655142E-2</v>
      </c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</row>
    <row r="37" spans="5:66" ht="16" customHeight="1">
      <c r="E37" s="94">
        <v>18</v>
      </c>
      <c r="F37" s="98">
        <f t="shared" ca="1" si="22"/>
        <v>9.5595304907649406E-2</v>
      </c>
      <c r="G37" s="98">
        <f t="shared" ca="1" si="7"/>
        <v>-4.4046950923506013E-3</v>
      </c>
      <c r="H37" s="18">
        <f t="shared" si="8"/>
        <v>285</v>
      </c>
      <c r="I37" s="18">
        <v>710.6361708201398</v>
      </c>
      <c r="J37" s="16">
        <f t="shared" si="20"/>
        <v>0.40104910459466714</v>
      </c>
      <c r="K37" s="33">
        <v>18</v>
      </c>
      <c r="L37" s="18">
        <v>0</v>
      </c>
      <c r="M37" s="18">
        <v>0</v>
      </c>
      <c r="N37" s="18">
        <v>35</v>
      </c>
      <c r="O37" s="18">
        <v>121</v>
      </c>
      <c r="P37" s="18">
        <v>62</v>
      </c>
      <c r="Q37" s="18">
        <v>34</v>
      </c>
      <c r="R37" s="18">
        <v>18</v>
      </c>
      <c r="S37" s="18">
        <v>8</v>
      </c>
      <c r="T37" s="18">
        <v>4</v>
      </c>
      <c r="U37" s="18">
        <v>2</v>
      </c>
      <c r="V37" s="16">
        <v>1</v>
      </c>
      <c r="X37" s="47">
        <v>18</v>
      </c>
      <c r="Y37" s="42">
        <f t="shared" ca="1" si="9"/>
        <v>2.5488295105202576E-9</v>
      </c>
      <c r="Z37" s="42">
        <f t="shared" ca="1" si="10"/>
        <v>7.5932306304495957E-6</v>
      </c>
      <c r="AA37" s="42">
        <f t="shared" ca="1" si="11"/>
        <v>3.4916240178734172E-3</v>
      </c>
      <c r="AB37" s="42">
        <f t="shared" ca="1" si="12"/>
        <v>7.7916826856629234E-2</v>
      </c>
      <c r="AC37" s="42">
        <f t="shared" ca="1" si="13"/>
        <v>9.5044266444788209E-2</v>
      </c>
      <c r="AD37" s="42">
        <f t="shared" ca="1" si="14"/>
        <v>9.5562525618769434E-2</v>
      </c>
      <c r="AE37" s="42">
        <f t="shared" ca="1" si="15"/>
        <v>9.5591598754158805E-2</v>
      </c>
      <c r="AF37" s="42">
        <f t="shared" ca="1" si="16"/>
        <v>9.5594614828166335E-2</v>
      </c>
      <c r="AG37" s="42">
        <f t="shared" ca="1" si="17"/>
        <v>9.5595116106582598E-2</v>
      </c>
      <c r="AH37" s="42">
        <f t="shared" ca="1" si="18"/>
        <v>9.5595235408034079E-2</v>
      </c>
      <c r="AI37" s="42">
        <f t="shared" ca="1" si="19"/>
        <v>9.5595272746706886E-2</v>
      </c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</row>
    <row r="38" spans="5:66">
      <c r="E38" s="94">
        <v>19</v>
      </c>
      <c r="F38" s="98">
        <f t="shared" ca="1" si="22"/>
        <v>0.17621654691286065</v>
      </c>
      <c r="G38" s="98">
        <f t="shared" ca="1" si="7"/>
        <v>7.6216546912860658E-2</v>
      </c>
      <c r="H38" s="18">
        <f t="shared" si="8"/>
        <v>260</v>
      </c>
      <c r="I38" s="18">
        <v>688.61433936124547</v>
      </c>
      <c r="J38" s="16">
        <f t="shared" si="20"/>
        <v>0.37756983138221378</v>
      </c>
      <c r="K38" s="33">
        <v>19</v>
      </c>
      <c r="L38" s="18">
        <v>0</v>
      </c>
      <c r="M38" s="18">
        <v>0</v>
      </c>
      <c r="N38" s="18">
        <v>29</v>
      </c>
      <c r="O38" s="18">
        <v>109</v>
      </c>
      <c r="P38" s="18">
        <v>56</v>
      </c>
      <c r="Q38" s="18">
        <v>32</v>
      </c>
      <c r="R38" s="18">
        <v>18</v>
      </c>
      <c r="S38" s="18">
        <v>9</v>
      </c>
      <c r="T38" s="18">
        <v>4</v>
      </c>
      <c r="U38" s="18">
        <v>2</v>
      </c>
      <c r="V38" s="16">
        <v>1</v>
      </c>
      <c r="X38" s="47">
        <v>19</v>
      </c>
      <c r="Y38" s="42">
        <f t="shared" ca="1" si="9"/>
        <v>4.6984099841239863E-9</v>
      </c>
      <c r="Z38" s="42">
        <f t="shared" ca="1" si="10"/>
        <v>1.3997056475769685E-5</v>
      </c>
      <c r="AA38" s="42">
        <f t="shared" ca="1" si="11"/>
        <v>6.4363195257555791E-3</v>
      </c>
      <c r="AB38" s="42">
        <f t="shared" ca="1" si="12"/>
        <v>0.14362875026494917</v>
      </c>
      <c r="AC38" s="42">
        <f t="shared" ca="1" si="13"/>
        <v>0.17520078473463047</v>
      </c>
      <c r="AD38" s="42">
        <f t="shared" ca="1" si="14"/>
        <v>0.17615612288782859</v>
      </c>
      <c r="AE38" s="42">
        <f t="shared" ca="1" si="15"/>
        <v>0.17620971513831823</v>
      </c>
      <c r="AF38" s="42">
        <f t="shared" ca="1" si="16"/>
        <v>0.17621527484804828</v>
      </c>
      <c r="AG38" s="42">
        <f t="shared" ca="1" si="17"/>
        <v>0.17621619888455445</v>
      </c>
      <c r="AH38" s="42">
        <f t="shared" ca="1" si="18"/>
        <v>0.17621641880006017</v>
      </c>
      <c r="AI38" s="42">
        <f t="shared" ca="1" si="19"/>
        <v>0.17621648762867045</v>
      </c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</row>
    <row r="39" spans="5:66" ht="17" thickBot="1">
      <c r="E39" s="94">
        <v>20</v>
      </c>
      <c r="F39" s="99">
        <f t="shared" ca="1" si="22"/>
        <v>4.3782360538153736E-2</v>
      </c>
      <c r="G39" s="99">
        <f t="shared" ca="1" si="7"/>
        <v>-5.6217639461846269E-2</v>
      </c>
      <c r="H39" s="18">
        <f t="shared" si="8"/>
        <v>237</v>
      </c>
      <c r="I39" s="19">
        <v>650.4674884686558</v>
      </c>
      <c r="J39" s="17">
        <f t="shared" si="20"/>
        <v>0.36435333694840055</v>
      </c>
      <c r="K39" s="34">
        <v>20</v>
      </c>
      <c r="L39" s="19">
        <v>0</v>
      </c>
      <c r="M39" s="19">
        <v>0</v>
      </c>
      <c r="N39" s="19">
        <v>25</v>
      </c>
      <c r="O39" s="19">
        <v>102</v>
      </c>
      <c r="P39" s="19">
        <v>49</v>
      </c>
      <c r="Q39" s="19">
        <v>28</v>
      </c>
      <c r="R39" s="19">
        <v>16</v>
      </c>
      <c r="S39" s="19">
        <v>9</v>
      </c>
      <c r="T39" s="19">
        <v>5</v>
      </c>
      <c r="U39" s="19">
        <v>2</v>
      </c>
      <c r="V39" s="17">
        <v>1</v>
      </c>
      <c r="X39" s="48">
        <v>20</v>
      </c>
      <c r="Y39" s="42">
        <f t="shared" ca="1" si="9"/>
        <v>1.1673562073753504E-9</v>
      </c>
      <c r="Z39" s="42">
        <f t="shared" ca="1" si="10"/>
        <v>3.4776766644853751E-6</v>
      </c>
      <c r="AA39" s="42">
        <f t="shared" ca="1" si="11"/>
        <v>1.5991532404430703E-3</v>
      </c>
      <c r="AB39" s="42">
        <f t="shared" ca="1" si="12"/>
        <v>3.5685671055931401E-2</v>
      </c>
      <c r="AC39" s="42">
        <f t="shared" ca="1" si="13"/>
        <v>4.3529986588672784E-2</v>
      </c>
      <c r="AD39" s="42">
        <f t="shared" ca="1" si="14"/>
        <v>4.376734772298134E-2</v>
      </c>
      <c r="AE39" s="42">
        <f t="shared" ca="1" si="15"/>
        <v>4.3780663131063588E-2</v>
      </c>
      <c r="AF39" s="42">
        <f t="shared" ca="1" si="16"/>
        <v>4.3782044483837504E-2</v>
      </c>
      <c r="AG39" s="42">
        <f t="shared" ca="1" si="17"/>
        <v>4.3782274067836129E-2</v>
      </c>
      <c r="AH39" s="42">
        <f t="shared" ca="1" si="18"/>
        <v>4.3782328707540105E-2</v>
      </c>
      <c r="AI39" s="42">
        <f t="shared" ca="1" si="19"/>
        <v>4.3782345808539326E-2</v>
      </c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</row>
    <row r="40" spans="5:66" ht="17" thickBot="1"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</row>
    <row r="41" spans="5:66">
      <c r="G41" s="58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X41" s="156" t="s">
        <v>49</v>
      </c>
      <c r="Y41" s="157"/>
      <c r="Z41" s="157"/>
      <c r="AA41" s="157"/>
      <c r="AB41" s="157"/>
      <c r="AC41" s="157"/>
      <c r="AD41" s="157"/>
      <c r="AE41" s="157"/>
      <c r="AF41" s="157"/>
      <c r="AG41" s="157"/>
      <c r="AH41" s="157"/>
      <c r="AI41" s="158"/>
      <c r="BA41" s="94"/>
      <c r="BB41" s="145"/>
      <c r="BC41" s="145"/>
      <c r="BD41" s="145"/>
      <c r="BE41" s="145"/>
      <c r="BF41" s="145"/>
      <c r="BG41" s="145"/>
      <c r="BH41" s="145"/>
      <c r="BI41" s="145"/>
      <c r="BJ41" s="145"/>
      <c r="BK41" s="145"/>
      <c r="BL41" s="145"/>
      <c r="BM41" s="145"/>
      <c r="BN41" s="94"/>
    </row>
    <row r="42" spans="5:66"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X42" s="37"/>
      <c r="Y42" s="41" t="s">
        <v>37</v>
      </c>
      <c r="Z42" s="41"/>
      <c r="AA42" s="41"/>
      <c r="AB42" s="41"/>
      <c r="AC42" s="41"/>
      <c r="AD42" s="41"/>
      <c r="AE42" s="41"/>
      <c r="AF42" s="41"/>
      <c r="AG42" s="41"/>
      <c r="AH42" s="41"/>
      <c r="AI42" s="43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</row>
    <row r="43" spans="5:66"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X43" s="46" t="s">
        <v>38</v>
      </c>
      <c r="Y43" s="44">
        <v>0</v>
      </c>
      <c r="Z43" s="44">
        <v>1</v>
      </c>
      <c r="AA43" s="44">
        <v>2</v>
      </c>
      <c r="AB43" s="44">
        <v>3</v>
      </c>
      <c r="AC43" s="44">
        <v>4</v>
      </c>
      <c r="AD43" s="44">
        <v>5</v>
      </c>
      <c r="AE43" s="44">
        <v>6</v>
      </c>
      <c r="AF43" s="44">
        <v>7</v>
      </c>
      <c r="AG43" s="44">
        <v>8</v>
      </c>
      <c r="AH43" s="44">
        <v>9</v>
      </c>
      <c r="AI43" s="45">
        <v>10</v>
      </c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</row>
    <row r="44" spans="5:66"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X44" s="47">
        <v>1</v>
      </c>
      <c r="Y44" s="42">
        <f t="shared" ref="Y44:AI44" ca="1" si="23">Y20+M</f>
        <v>0.25000000383079374</v>
      </c>
      <c r="Z44" s="42">
        <f t="shared" ca="1" si="23"/>
        <v>0.25001141233666441</v>
      </c>
      <c r="AA44" s="42">
        <f t="shared" ca="1" si="23"/>
        <v>0.25524777801923609</v>
      </c>
      <c r="AB44" s="42">
        <f t="shared" ca="1" si="23"/>
        <v>0.36710602550955096</v>
      </c>
      <c r="AC44" s="42">
        <f t="shared" ca="1" si="23"/>
        <v>0.39284791539701863</v>
      </c>
      <c r="AD44" s="42">
        <f t="shared" ca="1" si="23"/>
        <v>0.39362683921228747</v>
      </c>
      <c r="AE44" s="42">
        <f t="shared" ca="1" si="23"/>
        <v>0.39367053502835059</v>
      </c>
      <c r="AF44" s="42">
        <f t="shared" ca="1" si="23"/>
        <v>0.39367506807280217</v>
      </c>
      <c r="AG44" s="42">
        <f t="shared" ca="1" si="23"/>
        <v>0.39367582147518476</v>
      </c>
      <c r="AH44" s="42">
        <f t="shared" ca="1" si="23"/>
        <v>0.39367600078072612</v>
      </c>
      <c r="AI44" s="42">
        <f t="shared" ca="1" si="23"/>
        <v>0.39367605689933038</v>
      </c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</row>
    <row r="45" spans="5:66"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X45" s="47">
        <v>2</v>
      </c>
      <c r="Y45" s="42">
        <f t="shared" ref="Y45:AI45" ca="1" si="24">Y21+M</f>
        <v>0.25000000196985678</v>
      </c>
      <c r="Z45" s="42">
        <f t="shared" ca="1" si="24"/>
        <v>0.25000586841007888</v>
      </c>
      <c r="AA45" s="42">
        <f t="shared" ca="1" si="24"/>
        <v>0.25269849324686261</v>
      </c>
      <c r="AB45" s="42">
        <f t="shared" ca="1" si="24"/>
        <v>0.31021783273722398</v>
      </c>
      <c r="AC45" s="42">
        <f t="shared" ca="1" si="24"/>
        <v>0.3234547333393808</v>
      </c>
      <c r="AD45" s="42">
        <f t="shared" ca="1" si="24"/>
        <v>0.32385526869884501</v>
      </c>
      <c r="AE45" s="42">
        <f t="shared" ca="1" si="24"/>
        <v>0.32387773780179302</v>
      </c>
      <c r="AF45" s="42">
        <f t="shared" ca="1" si="24"/>
        <v>0.32388006876735509</v>
      </c>
      <c r="AG45" s="42">
        <f t="shared" ca="1" si="24"/>
        <v>0.32388045617917671</v>
      </c>
      <c r="AH45" s="42">
        <f t="shared" ca="1" si="24"/>
        <v>0.32388054838101732</v>
      </c>
      <c r="AI45" s="42">
        <f t="shared" ca="1" si="24"/>
        <v>0.32388057723812103</v>
      </c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</row>
    <row r="46" spans="5:66"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X46" s="47">
        <v>3</v>
      </c>
      <c r="Y46" s="42">
        <f t="shared" ref="Y46:AI46" ca="1" si="25">Y22+M</f>
        <v>0.25000000738800376</v>
      </c>
      <c r="Z46" s="42">
        <f t="shared" ca="1" si="25"/>
        <v>0.25002200963865195</v>
      </c>
      <c r="AA46" s="42">
        <f t="shared" ca="1" si="25"/>
        <v>0.26012077555417401</v>
      </c>
      <c r="AB46" s="42">
        <f t="shared" ca="1" si="25"/>
        <v>0.47584869174707589</v>
      </c>
      <c r="AC46" s="42">
        <f t="shared" ca="1" si="25"/>
        <v>0.52549406335699111</v>
      </c>
      <c r="AD46" s="42">
        <f t="shared" ca="1" si="25"/>
        <v>0.52699628259706555</v>
      </c>
      <c r="AE46" s="42">
        <f t="shared" ca="1" si="25"/>
        <v>0.52708055360574968</v>
      </c>
      <c r="AF46" s="42">
        <f t="shared" ca="1" si="25"/>
        <v>0.52708929595828502</v>
      </c>
      <c r="AG46" s="42">
        <f t="shared" ca="1" si="25"/>
        <v>0.52709074895732355</v>
      </c>
      <c r="AH46" s="42">
        <f t="shared" ca="1" si="25"/>
        <v>0.52709109476294524</v>
      </c>
      <c r="AI46" s="42">
        <f t="shared" ca="1" si="25"/>
        <v>0.52709120299233214</v>
      </c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</row>
    <row r="47" spans="5:66"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X47" s="47">
        <v>4</v>
      </c>
      <c r="Y47" s="42">
        <f t="shared" ref="Y47:AI47" ca="1" si="26">Y23+M</f>
        <v>0.25000000588677218</v>
      </c>
      <c r="Z47" s="42">
        <f t="shared" ca="1" si="26"/>
        <v>0.25001753731214615</v>
      </c>
      <c r="AA47" s="42">
        <f t="shared" ca="1" si="26"/>
        <v>0.25806424870764272</v>
      </c>
      <c r="AB47" s="42">
        <f t="shared" ca="1" si="26"/>
        <v>0.42995656664799964</v>
      </c>
      <c r="AC47" s="42">
        <f t="shared" ca="1" si="26"/>
        <v>0.46951407108061094</v>
      </c>
      <c r="AD47" s="42">
        <f t="shared" ca="1" si="26"/>
        <v>0.47071104155985155</v>
      </c>
      <c r="AE47" s="42">
        <f t="shared" ca="1" si="26"/>
        <v>0.47077818882235478</v>
      </c>
      <c r="AF47" s="42">
        <f t="shared" ca="1" si="26"/>
        <v>0.47078515474159266</v>
      </c>
      <c r="AG47" s="42">
        <f t="shared" ca="1" si="26"/>
        <v>0.47078631249334363</v>
      </c>
      <c r="AH47" s="42">
        <f t="shared" ca="1" si="26"/>
        <v>0.47078658803176676</v>
      </c>
      <c r="AI47" s="42">
        <f t="shared" ca="1" si="26"/>
        <v>0.47078667426909993</v>
      </c>
      <c r="AJ47" s="165"/>
      <c r="AK47" s="165"/>
      <c r="AL47" s="165"/>
      <c r="AM47" s="165"/>
      <c r="AN47" s="165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</row>
    <row r="48" spans="5:66"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X48" s="47">
        <v>5</v>
      </c>
      <c r="Y48" s="42">
        <f t="shared" ref="Y48:AI48" ca="1" si="27">Y24+M</f>
        <v>0.25000000494749014</v>
      </c>
      <c r="Z48" s="42">
        <f t="shared" ca="1" si="27"/>
        <v>0.25001473909238359</v>
      </c>
      <c r="AA48" s="42">
        <f t="shared" ca="1" si="27"/>
        <v>0.2567775327094422</v>
      </c>
      <c r="AB48" s="42">
        <f t="shared" ca="1" si="27"/>
        <v>0.40124304333270649</v>
      </c>
      <c r="AC48" s="42">
        <f t="shared" ca="1" si="27"/>
        <v>0.43448882851562615</v>
      </c>
      <c r="AD48" s="42">
        <f t="shared" ca="1" si="27"/>
        <v>0.43549481268965112</v>
      </c>
      <c r="AE48" s="42">
        <f t="shared" ca="1" si="27"/>
        <v>0.4355512460642238</v>
      </c>
      <c r="AF48" s="42">
        <f t="shared" ca="1" si="27"/>
        <v>0.43555710051479907</v>
      </c>
      <c r="AG48" s="42">
        <f t="shared" ca="1" si="27"/>
        <v>0.43555807353790965</v>
      </c>
      <c r="AH48" s="42">
        <f t="shared" ca="1" si="27"/>
        <v>0.43555830511195237</v>
      </c>
      <c r="AI48" s="42">
        <f t="shared" ca="1" si="27"/>
        <v>0.43555837758942273</v>
      </c>
      <c r="AJ48" s="165"/>
      <c r="AK48" s="165"/>
      <c r="AL48" s="165"/>
      <c r="AM48" s="165"/>
      <c r="AN48" s="165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</row>
    <row r="49" spans="11:66"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X49" s="47">
        <v>6</v>
      </c>
      <c r="Y49" s="42">
        <f t="shared" ref="Y49:AI49" ca="1" si="28">Y25+M</f>
        <v>0.25000000084247398</v>
      </c>
      <c r="Z49" s="42">
        <f t="shared" ca="1" si="28"/>
        <v>0.25000250981843264</v>
      </c>
      <c r="AA49" s="42">
        <f t="shared" ca="1" si="28"/>
        <v>0.25115409932168209</v>
      </c>
      <c r="AB49" s="42">
        <f t="shared" ca="1" si="28"/>
        <v>0.27575413519970754</v>
      </c>
      <c r="AC49" s="42">
        <f t="shared" ca="1" si="28"/>
        <v>0.28141533076648695</v>
      </c>
      <c r="AD49" s="42">
        <f t="shared" ca="1" si="28"/>
        <v>0.28158663287636065</v>
      </c>
      <c r="AE49" s="42">
        <f t="shared" ca="1" si="28"/>
        <v>0.28159624252667242</v>
      </c>
      <c r="AF49" s="42">
        <f t="shared" ca="1" si="28"/>
        <v>0.28159723944070109</v>
      </c>
      <c r="AG49" s="42">
        <f t="shared" ca="1" si="28"/>
        <v>0.28159740513009868</v>
      </c>
      <c r="AH49" s="42">
        <f t="shared" ca="1" si="28"/>
        <v>0.28159744456324598</v>
      </c>
      <c r="AI49" s="42">
        <f t="shared" ca="1" si="28"/>
        <v>0.28159745690493476</v>
      </c>
      <c r="AJ49" s="165"/>
      <c r="AK49" s="165"/>
      <c r="AL49" s="165"/>
      <c r="AM49" s="165"/>
      <c r="AN49" s="165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</row>
    <row r="50" spans="11:66"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X50" s="47">
        <v>7</v>
      </c>
      <c r="Y50" s="42">
        <f t="shared" ref="Y50:AI50" ca="1" si="29">Y26+M</f>
        <v>0.25000000100305908</v>
      </c>
      <c r="Z50" s="42">
        <f t="shared" ca="1" si="29"/>
        <v>0.25000298821824873</v>
      </c>
      <c r="AA50" s="42">
        <f t="shared" ca="1" si="29"/>
        <v>0.25137408372215037</v>
      </c>
      <c r="AB50" s="42">
        <f t="shared" ca="1" si="29"/>
        <v>0.28066316502499888</v>
      </c>
      <c r="AC50" s="42">
        <f t="shared" ca="1" si="29"/>
        <v>0.28740344857779004</v>
      </c>
      <c r="AD50" s="42">
        <f t="shared" ca="1" si="29"/>
        <v>0.28760740280973979</v>
      </c>
      <c r="AE50" s="42">
        <f t="shared" ca="1" si="29"/>
        <v>0.28761884416822681</v>
      </c>
      <c r="AF50" s="42">
        <f t="shared" ca="1" si="29"/>
        <v>0.28762003110535905</v>
      </c>
      <c r="AG50" s="42">
        <f t="shared" ca="1" si="29"/>
        <v>0.28762022837703222</v>
      </c>
      <c r="AH50" s="42">
        <f t="shared" ca="1" si="29"/>
        <v>0.28762027532658396</v>
      </c>
      <c r="AI50" s="42">
        <f t="shared" ca="1" si="29"/>
        <v>0.28762029002073836</v>
      </c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</row>
    <row r="51" spans="11:66"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X51" s="47">
        <v>8</v>
      </c>
      <c r="Y51" s="42">
        <f t="shared" ref="Y51:AI51" ca="1" si="30">Y27+M</f>
        <v>0.25000000984352716</v>
      </c>
      <c r="Z51" s="42">
        <f t="shared" ca="1" si="30"/>
        <v>0.2500293249005629</v>
      </c>
      <c r="AA51" s="42">
        <f t="shared" ca="1" si="30"/>
        <v>0.26348458016231452</v>
      </c>
      <c r="AB51" s="42">
        <f t="shared" ca="1" si="30"/>
        <v>0.55091318319585669</v>
      </c>
      <c r="AC51" s="42">
        <f t="shared" ca="1" si="30"/>
        <v>0.61705900271121017</v>
      </c>
      <c r="AD51" s="42">
        <f t="shared" ca="1" si="30"/>
        <v>0.61906050898468945</v>
      </c>
      <c r="AE51" s="42">
        <f t="shared" ca="1" si="30"/>
        <v>0.61917278883576188</v>
      </c>
      <c r="AF51" s="42">
        <f t="shared" ca="1" si="30"/>
        <v>0.61918443685156255</v>
      </c>
      <c r="AG51" s="42">
        <f t="shared" ca="1" si="30"/>
        <v>0.61918637277849886</v>
      </c>
      <c r="AH51" s="42">
        <f t="shared" ca="1" si="30"/>
        <v>0.61918683351825143</v>
      </c>
      <c r="AI51" s="42">
        <f t="shared" ca="1" si="30"/>
        <v>0.61918697771943809</v>
      </c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</row>
    <row r="52" spans="11:66"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X52" s="47">
        <v>9</v>
      </c>
      <c r="Y52" s="42">
        <f t="shared" ref="Y52:AI52" ca="1" si="31">Y28+M</f>
        <v>0.25000000188591248</v>
      </c>
      <c r="Z52" s="42">
        <f t="shared" ca="1" si="31"/>
        <v>0.2500056183311587</v>
      </c>
      <c r="AA52" s="42">
        <f t="shared" ca="1" si="31"/>
        <v>0.25258349850923523</v>
      </c>
      <c r="AB52" s="42">
        <f t="shared" ca="1" si="31"/>
        <v>0.30765168443051377</v>
      </c>
      <c r="AC52" s="42">
        <f t="shared" ca="1" si="31"/>
        <v>0.32032450212695485</v>
      </c>
      <c r="AD52" s="42">
        <f t="shared" ca="1" si="31"/>
        <v>0.32070796890245079</v>
      </c>
      <c r="AE52" s="42">
        <f t="shared" ca="1" si="31"/>
        <v>0.32072948049750016</v>
      </c>
      <c r="AF52" s="42">
        <f t="shared" ca="1" si="31"/>
        <v>0.32073171213030549</v>
      </c>
      <c r="AG52" s="42">
        <f t="shared" ca="1" si="31"/>
        <v>0.32073208303279516</v>
      </c>
      <c r="AH52" s="42">
        <f t="shared" ca="1" si="31"/>
        <v>0.32073217130550735</v>
      </c>
      <c r="AI52" s="42">
        <f t="shared" ca="1" si="31"/>
        <v>0.32073219893288218</v>
      </c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</row>
    <row r="53" spans="11:66"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X53" s="47">
        <v>10</v>
      </c>
      <c r="Y53" s="42">
        <f t="shared" ref="Y53:AI53" ca="1" si="32">Y29+M</f>
        <v>0.25000000157848373</v>
      </c>
      <c r="Z53" s="42">
        <f t="shared" ca="1" si="32"/>
        <v>0.25000470246864265</v>
      </c>
      <c r="AA53" s="42">
        <f t="shared" ca="1" si="32"/>
        <v>0.25216235397751935</v>
      </c>
      <c r="AB53" s="42">
        <f t="shared" ca="1" si="32"/>
        <v>0.29825369501603327</v>
      </c>
      <c r="AC53" s="42">
        <f t="shared" ca="1" si="32"/>
        <v>0.30886067530044975</v>
      </c>
      <c r="AD53" s="42">
        <f t="shared" ca="1" si="32"/>
        <v>0.30918163190416986</v>
      </c>
      <c r="AE53" s="42">
        <f t="shared" ca="1" si="32"/>
        <v>0.30919963682383655</v>
      </c>
      <c r="AF53" s="42">
        <f t="shared" ca="1" si="32"/>
        <v>0.30920150467088803</v>
      </c>
      <c r="AG53" s="42">
        <f t="shared" ca="1" si="32"/>
        <v>0.3092018151113512</v>
      </c>
      <c r="AH53" s="42">
        <f t="shared" ca="1" si="32"/>
        <v>0.30920188899444023</v>
      </c>
      <c r="AI53" s="42">
        <f t="shared" ca="1" si="32"/>
        <v>0.30920191211818643</v>
      </c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</row>
    <row r="54" spans="11:66"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X54" s="47">
        <v>11</v>
      </c>
      <c r="Y54" s="42">
        <f t="shared" ref="Y54:AI54" ca="1" si="33">Y30+M</f>
        <v>0.25000000000002665</v>
      </c>
      <c r="Z54" s="42">
        <f t="shared" ca="1" si="33"/>
        <v>0.25000000007943102</v>
      </c>
      <c r="AA54" s="42">
        <f t="shared" ca="1" si="33"/>
        <v>0.25000003652505759</v>
      </c>
      <c r="AB54" s="42">
        <f t="shared" ca="1" si="33"/>
        <v>0.2500008150695992</v>
      </c>
      <c r="AC54" s="42">
        <f t="shared" ca="1" si="33"/>
        <v>0.25000099423571626</v>
      </c>
      <c r="AD54" s="42">
        <f t="shared" ca="1" si="33"/>
        <v>0.2500009996571036</v>
      </c>
      <c r="AE54" s="42">
        <f t="shared" ca="1" si="33"/>
        <v>0.25000099996123082</v>
      </c>
      <c r="AF54" s="42">
        <f t="shared" ca="1" si="33"/>
        <v>0.25000099999278125</v>
      </c>
      <c r="AG54" s="42">
        <f t="shared" ca="1" si="33"/>
        <v>0.250000999998025</v>
      </c>
      <c r="AH54" s="42">
        <f t="shared" ca="1" si="33"/>
        <v>0.250000999999273</v>
      </c>
      <c r="AI54" s="42">
        <f t="shared" ca="1" si="33"/>
        <v>0.25000099999966358</v>
      </c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</row>
    <row r="55" spans="11:66"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X55" s="47">
        <v>12</v>
      </c>
      <c r="Y55" s="42">
        <f t="shared" ref="Y55:AI55" ca="1" si="34">Y31+M</f>
        <v>0.25000000679187551</v>
      </c>
      <c r="Z55" s="42">
        <f t="shared" ca="1" si="34"/>
        <v>0.25002023370999171</v>
      </c>
      <c r="AA55" s="42">
        <f t="shared" ca="1" si="34"/>
        <v>0.25930414354787068</v>
      </c>
      <c r="AB55" s="42">
        <f t="shared" ca="1" si="34"/>
        <v>0.45762525923687369</v>
      </c>
      <c r="AC55" s="42">
        <f t="shared" ca="1" si="34"/>
        <v>0.50326481141087043</v>
      </c>
      <c r="AD55" s="42">
        <f t="shared" ca="1" si="34"/>
        <v>0.50464581856543189</v>
      </c>
      <c r="AE55" s="42">
        <f t="shared" ca="1" si="34"/>
        <v>0.50472328985777748</v>
      </c>
      <c r="AF55" s="42">
        <f t="shared" ca="1" si="34"/>
        <v>0.50473132680143851</v>
      </c>
      <c r="AG55" s="42">
        <f t="shared" ca="1" si="34"/>
        <v>0.50473266255990468</v>
      </c>
      <c r="AH55" s="42">
        <f t="shared" ca="1" si="34"/>
        <v>0.50473298046292747</v>
      </c>
      <c r="AI55" s="42">
        <f t="shared" ca="1" si="34"/>
        <v>0.50473307995942829</v>
      </c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</row>
    <row r="56" spans="11:66"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X56" s="47">
        <v>13</v>
      </c>
      <c r="Y56" s="42">
        <f t="shared" ref="Y56:AI56" ca="1" si="35">Y32+M</f>
        <v>0.25000000000002665</v>
      </c>
      <c r="Z56" s="42">
        <f t="shared" ca="1" si="35"/>
        <v>0.25000000007943102</v>
      </c>
      <c r="AA56" s="42">
        <f t="shared" ca="1" si="35"/>
        <v>0.25000003652505759</v>
      </c>
      <c r="AB56" s="42">
        <f t="shared" ca="1" si="35"/>
        <v>0.2500008150695992</v>
      </c>
      <c r="AC56" s="42">
        <f t="shared" ca="1" si="35"/>
        <v>0.25000099423571626</v>
      </c>
      <c r="AD56" s="42">
        <f t="shared" ca="1" si="35"/>
        <v>0.2500009996571036</v>
      </c>
      <c r="AE56" s="42">
        <f t="shared" ca="1" si="35"/>
        <v>0.25000099996123082</v>
      </c>
      <c r="AF56" s="42">
        <f t="shared" ca="1" si="35"/>
        <v>0.25000099999278125</v>
      </c>
      <c r="AG56" s="42">
        <f t="shared" ca="1" si="35"/>
        <v>0.250000999998025</v>
      </c>
      <c r="AH56" s="42">
        <f t="shared" ca="1" si="35"/>
        <v>0.250000999999273</v>
      </c>
      <c r="AI56" s="42">
        <f t="shared" ca="1" si="35"/>
        <v>0.25000099999966358</v>
      </c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</row>
    <row r="57" spans="11:66"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X57" s="47">
        <v>14</v>
      </c>
      <c r="Y57" s="42">
        <f t="shared" ref="Y57:AI57" ca="1" si="36">Y33+M</f>
        <v>0.25000000276908274</v>
      </c>
      <c r="Z57" s="42">
        <f t="shared" ca="1" si="36"/>
        <v>0.25000824938820065</v>
      </c>
      <c r="AA57" s="42">
        <f t="shared" ca="1" si="36"/>
        <v>0.25379334744010273</v>
      </c>
      <c r="AB57" s="42">
        <f t="shared" ca="1" si="36"/>
        <v>0.33464989190833283</v>
      </c>
      <c r="AC57" s="42">
        <f t="shared" ca="1" si="36"/>
        <v>0.35325737335097324</v>
      </c>
      <c r="AD57" s="42">
        <f t="shared" ca="1" si="36"/>
        <v>0.35382041710965628</v>
      </c>
      <c r="AE57" s="42">
        <f t="shared" ca="1" si="36"/>
        <v>0.35385200255618221</v>
      </c>
      <c r="AF57" s="42">
        <f t="shared" ca="1" si="36"/>
        <v>0.35385527925967519</v>
      </c>
      <c r="AG57" s="42">
        <f t="shared" ca="1" si="36"/>
        <v>0.35385582385530956</v>
      </c>
      <c r="AH57" s="42">
        <f t="shared" ca="1" si="36"/>
        <v>0.353855953466016</v>
      </c>
      <c r="AI57" s="42">
        <f t="shared" ca="1" si="36"/>
        <v>0.3538559940312539</v>
      </c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</row>
    <row r="58" spans="11:66"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X58" s="47">
        <v>15</v>
      </c>
      <c r="Y58" s="42">
        <f t="shared" ref="Y58:AI58" ca="1" si="37">Y34+M</f>
        <v>0.25000000630731267</v>
      </c>
      <c r="Z58" s="42">
        <f t="shared" ca="1" si="37"/>
        <v>0.25001879014640221</v>
      </c>
      <c r="AA58" s="42">
        <f t="shared" ca="1" si="37"/>
        <v>0.25864034423162963</v>
      </c>
      <c r="AB58" s="42">
        <f t="shared" ca="1" si="37"/>
        <v>0.44281234234595224</v>
      </c>
      <c r="AC58" s="42">
        <f t="shared" ca="1" si="37"/>
        <v>0.4851957642409207</v>
      </c>
      <c r="AD58" s="42">
        <f t="shared" ca="1" si="37"/>
        <v>0.48647824415326962</v>
      </c>
      <c r="AE58" s="42">
        <f t="shared" ca="1" si="37"/>
        <v>0.48655018829627328</v>
      </c>
      <c r="AF58" s="42">
        <f t="shared" ca="1" si="37"/>
        <v>0.48655765184833955</v>
      </c>
      <c r="AG58" s="42">
        <f t="shared" ca="1" si="37"/>
        <v>0.48655889230780769</v>
      </c>
      <c r="AH58" s="42">
        <f t="shared" ca="1" si="37"/>
        <v>0.48655918753020366</v>
      </c>
      <c r="AI58" s="42">
        <f t="shared" ca="1" si="37"/>
        <v>0.48655927992817793</v>
      </c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</row>
    <row r="59" spans="11:66"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X59" s="47">
        <v>16</v>
      </c>
      <c r="Y59" s="42">
        <f t="shared" ref="Y59:AI59" ca="1" si="38">Y35+M</f>
        <v>0.25000000000002665</v>
      </c>
      <c r="Z59" s="42">
        <f t="shared" ca="1" si="38"/>
        <v>0.25000000007943102</v>
      </c>
      <c r="AA59" s="42">
        <f t="shared" ca="1" si="38"/>
        <v>0.25000003652505759</v>
      </c>
      <c r="AB59" s="42">
        <f t="shared" ca="1" si="38"/>
        <v>0.2500008150695992</v>
      </c>
      <c r="AC59" s="42">
        <f t="shared" ca="1" si="38"/>
        <v>0.25000099423571626</v>
      </c>
      <c r="AD59" s="42">
        <f t="shared" ca="1" si="38"/>
        <v>0.2500009996571036</v>
      </c>
      <c r="AE59" s="42">
        <f t="shared" ca="1" si="38"/>
        <v>0.25000099996123082</v>
      </c>
      <c r="AF59" s="42">
        <f t="shared" ca="1" si="38"/>
        <v>0.25000099999278125</v>
      </c>
      <c r="AG59" s="42">
        <f t="shared" ca="1" si="38"/>
        <v>0.250000999998025</v>
      </c>
      <c r="AH59" s="42">
        <f t="shared" ca="1" si="38"/>
        <v>0.250000999999273</v>
      </c>
      <c r="AI59" s="42">
        <f t="shared" ca="1" si="38"/>
        <v>0.25000099999966358</v>
      </c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</row>
    <row r="60" spans="11:66"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X60" s="47">
        <v>17</v>
      </c>
      <c r="Y60" s="42">
        <f t="shared" ref="Y60:AI60" ca="1" si="39">Y36+M</f>
        <v>0.25000000120342575</v>
      </c>
      <c r="Z60" s="42">
        <f t="shared" ca="1" si="39"/>
        <v>0.25000358513156612</v>
      </c>
      <c r="AA60" s="42">
        <f t="shared" ca="1" si="39"/>
        <v>0.25164856463510027</v>
      </c>
      <c r="AB60" s="42">
        <f t="shared" ca="1" si="39"/>
        <v>0.28678830383155102</v>
      </c>
      <c r="AC60" s="42">
        <f t="shared" ca="1" si="39"/>
        <v>0.29487499674302087</v>
      </c>
      <c r="AD60" s="42">
        <f t="shared" ca="1" si="39"/>
        <v>0.29511969197414201</v>
      </c>
      <c r="AE60" s="42">
        <f t="shared" ca="1" si="39"/>
        <v>0.29513341880801336</v>
      </c>
      <c r="AF60" s="42">
        <f t="shared" ca="1" si="39"/>
        <v>0.29513484284247987</v>
      </c>
      <c r="AG60" s="42">
        <f t="shared" ca="1" si="39"/>
        <v>0.29513507952027368</v>
      </c>
      <c r="AH60" s="42">
        <f t="shared" ca="1" si="39"/>
        <v>0.29513513584826112</v>
      </c>
      <c r="AI60" s="42">
        <f t="shared" ca="1" si="39"/>
        <v>0.29513515347765512</v>
      </c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</row>
    <row r="61" spans="11:66"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X61" s="47">
        <v>18</v>
      </c>
      <c r="Y61" s="42">
        <f t="shared" ref="Y61:AI61" ca="1" si="40">Y37+M</f>
        <v>0.25000000254882954</v>
      </c>
      <c r="Z61" s="42">
        <f t="shared" ca="1" si="40"/>
        <v>0.25000759323063043</v>
      </c>
      <c r="AA61" s="42">
        <f t="shared" ca="1" si="40"/>
        <v>0.2534916240178734</v>
      </c>
      <c r="AB61" s="42">
        <f t="shared" ca="1" si="40"/>
        <v>0.32791682685662926</v>
      </c>
      <c r="AC61" s="42">
        <f t="shared" ca="1" si="40"/>
        <v>0.34504426644478819</v>
      </c>
      <c r="AD61" s="42">
        <f t="shared" ca="1" si="40"/>
        <v>0.34556252561876943</v>
      </c>
      <c r="AE61" s="42">
        <f t="shared" ca="1" si="40"/>
        <v>0.34559159875415879</v>
      </c>
      <c r="AF61" s="42">
        <f t="shared" ca="1" si="40"/>
        <v>0.34559461482816634</v>
      </c>
      <c r="AG61" s="42">
        <f t="shared" ca="1" si="40"/>
        <v>0.34559511610658261</v>
      </c>
      <c r="AH61" s="42">
        <f t="shared" ca="1" si="40"/>
        <v>0.34559523540803405</v>
      </c>
      <c r="AI61" s="42">
        <f t="shared" ca="1" si="40"/>
        <v>0.34559527274670687</v>
      </c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</row>
    <row r="62" spans="11:66"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X62" s="47">
        <v>19</v>
      </c>
      <c r="Y62" s="42">
        <f t="shared" ref="Y62:AI62" ca="1" si="41">Y38+M</f>
        <v>0.25000000469840999</v>
      </c>
      <c r="Z62" s="42">
        <f t="shared" ca="1" si="41"/>
        <v>0.25001399705647576</v>
      </c>
      <c r="AA62" s="42">
        <f t="shared" ca="1" si="41"/>
        <v>0.25643631952575557</v>
      </c>
      <c r="AB62" s="42">
        <f t="shared" ca="1" si="41"/>
        <v>0.39362875026494915</v>
      </c>
      <c r="AC62" s="42">
        <f t="shared" ca="1" si="41"/>
        <v>0.42520078473463047</v>
      </c>
      <c r="AD62" s="42">
        <f t="shared" ca="1" si="41"/>
        <v>0.42615612288782856</v>
      </c>
      <c r="AE62" s="42">
        <f t="shared" ca="1" si="41"/>
        <v>0.42620971513831823</v>
      </c>
      <c r="AF62" s="42">
        <f t="shared" ca="1" si="41"/>
        <v>0.42621527484804828</v>
      </c>
      <c r="AG62" s="42">
        <f t="shared" ca="1" si="41"/>
        <v>0.42621619888455442</v>
      </c>
      <c r="AH62" s="42">
        <f t="shared" ca="1" si="41"/>
        <v>0.42621641880006017</v>
      </c>
      <c r="AI62" s="42">
        <f t="shared" ca="1" si="41"/>
        <v>0.42621648762867048</v>
      </c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</row>
    <row r="63" spans="11:66" ht="17" thickBot="1"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X63" s="48">
        <v>20</v>
      </c>
      <c r="Y63" s="42">
        <f t="shared" ref="Y63:AI63" ca="1" si="42">Y39+M</f>
        <v>0.25000000116735621</v>
      </c>
      <c r="Z63" s="42">
        <f t="shared" ca="1" si="42"/>
        <v>0.25000347767666448</v>
      </c>
      <c r="AA63" s="42">
        <f t="shared" ca="1" si="42"/>
        <v>0.25159915324044307</v>
      </c>
      <c r="AB63" s="42">
        <f t="shared" ca="1" si="42"/>
        <v>0.2856856710559314</v>
      </c>
      <c r="AC63" s="42">
        <f t="shared" ca="1" si="42"/>
        <v>0.2935299865886728</v>
      </c>
      <c r="AD63" s="42">
        <f t="shared" ca="1" si="42"/>
        <v>0.29376734772298135</v>
      </c>
      <c r="AE63" s="42">
        <f t="shared" ca="1" si="42"/>
        <v>0.2937806631310636</v>
      </c>
      <c r="AF63" s="42">
        <f t="shared" ca="1" si="42"/>
        <v>0.29378204448383749</v>
      </c>
      <c r="AG63" s="42">
        <f t="shared" ca="1" si="42"/>
        <v>0.29378227406783614</v>
      </c>
      <c r="AH63" s="42">
        <f t="shared" ca="1" si="42"/>
        <v>0.29378232870754012</v>
      </c>
      <c r="AI63" s="42">
        <f t="shared" ca="1" si="42"/>
        <v>0.29378234580853935</v>
      </c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</row>
    <row r="64" spans="11:66"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</row>
    <row r="65" spans="53:66"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</row>
  </sheetData>
  <mergeCells count="16">
    <mergeCell ref="AJ47:AN49"/>
    <mergeCell ref="F15:I17"/>
    <mergeCell ref="AJ17:AO19"/>
    <mergeCell ref="A1:C1"/>
    <mergeCell ref="A2:A3"/>
    <mergeCell ref="A4:A6"/>
    <mergeCell ref="A9:A10"/>
    <mergeCell ref="A13:C13"/>
    <mergeCell ref="X41:AI41"/>
    <mergeCell ref="BB41:BM41"/>
    <mergeCell ref="X17:AI17"/>
    <mergeCell ref="BB17:BM17"/>
    <mergeCell ref="A20:C20"/>
    <mergeCell ref="A23:A25"/>
    <mergeCell ref="A21:A22"/>
    <mergeCell ref="K17:V17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30D7-1AAD-F448-9DE0-6210B48E2526}">
  <dimension ref="A1:BL63"/>
  <sheetViews>
    <sheetView topLeftCell="G6" zoomScaleNormal="100" workbookViewId="0">
      <selection activeCell="Z34" sqref="Z34"/>
    </sheetView>
  </sheetViews>
  <sheetFormatPr baseColWidth="10" defaultRowHeight="16"/>
  <cols>
    <col min="1" max="1" width="12.140625" style="94" customWidth="1"/>
    <col min="2" max="2" width="10.7109375" style="94"/>
    <col min="3" max="3" width="13.42578125" style="94" bestFit="1" customWidth="1"/>
    <col min="4" max="4" width="10.7109375" style="94"/>
    <col min="5" max="5" width="8.140625" style="94" customWidth="1"/>
    <col min="6" max="6" width="7.5703125" style="94" customWidth="1"/>
    <col min="7" max="7" width="10.7109375" style="94"/>
    <col min="8" max="8" width="6.140625" style="94" customWidth="1"/>
    <col min="9" max="9" width="7.85546875" style="94" customWidth="1"/>
    <col min="10" max="10" width="6.85546875" style="94" customWidth="1"/>
    <col min="11" max="14" width="6.140625" style="94" customWidth="1"/>
    <col min="15" max="25" width="5.28515625" style="94" customWidth="1"/>
    <col min="26" max="27" width="5.42578125" style="94" customWidth="1"/>
    <col min="28" max="38" width="6.140625" style="94" customWidth="1"/>
    <col min="39" max="39" width="10.7109375" style="94"/>
    <col min="40" max="51" width="5.42578125" style="94" customWidth="1"/>
    <col min="52" max="52" width="10.7109375" style="94"/>
    <col min="53" max="64" width="4.7109375" style="94" customWidth="1"/>
    <col min="65" max="16384" width="10.7109375" style="94"/>
  </cols>
  <sheetData>
    <row r="1" spans="1:18">
      <c r="A1" s="146" t="s">
        <v>0</v>
      </c>
      <c r="B1" s="147"/>
      <c r="C1" s="148"/>
      <c r="F1" s="10" t="s">
        <v>31</v>
      </c>
      <c r="G1" s="11"/>
      <c r="H1" s="11"/>
      <c r="I1" s="11"/>
      <c r="J1" s="11"/>
      <c r="K1" s="12"/>
      <c r="L1" s="12"/>
      <c r="M1" s="12"/>
      <c r="N1" s="12"/>
      <c r="O1" s="12"/>
      <c r="P1" s="12"/>
      <c r="Q1" s="12"/>
      <c r="R1" s="13"/>
    </row>
    <row r="2" spans="1:18">
      <c r="A2" s="149" t="s">
        <v>1</v>
      </c>
      <c r="B2" s="1" t="s">
        <v>2</v>
      </c>
      <c r="C2" s="9">
        <v>1.4999999999999999E-7</v>
      </c>
      <c r="F2" s="86" t="s">
        <v>22</v>
      </c>
      <c r="G2" s="87" t="s">
        <v>23</v>
      </c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spans="1:18">
      <c r="A3" s="149"/>
      <c r="B3" s="1" t="s">
        <v>3</v>
      </c>
      <c r="C3" s="2">
        <v>3.1</v>
      </c>
      <c r="F3" s="3" t="s">
        <v>28</v>
      </c>
      <c r="G3" s="1" t="s">
        <v>24</v>
      </c>
      <c r="H3" s="1">
        <v>0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8</v>
      </c>
      <c r="Q3" s="1">
        <v>9</v>
      </c>
      <c r="R3" s="2">
        <v>10</v>
      </c>
    </row>
    <row r="4" spans="1:18">
      <c r="A4" s="150" t="s">
        <v>4</v>
      </c>
      <c r="B4" s="1" t="s">
        <v>5</v>
      </c>
      <c r="C4" s="2">
        <v>350</v>
      </c>
      <c r="F4" s="3" t="s">
        <v>81</v>
      </c>
      <c r="G4" s="1" t="s">
        <v>25</v>
      </c>
      <c r="H4" s="1">
        <f t="shared" ref="H4:R4" si="0">Linf-(Linf-Lo)*EXP(-vbk*H$3)</f>
        <v>0.60000000000002274</v>
      </c>
      <c r="I4" s="1">
        <f t="shared" si="0"/>
        <v>80.594575920233979</v>
      </c>
      <c r="J4" s="1">
        <f t="shared" si="0"/>
        <v>142.27452053921411</v>
      </c>
      <c r="K4" s="1">
        <f t="shared" si="0"/>
        <v>189.83293964995491</v>
      </c>
      <c r="L4" s="1">
        <f t="shared" si="0"/>
        <v>226.50293412360222</v>
      </c>
      <c r="M4" s="1">
        <f t="shared" si="0"/>
        <v>254.777391513916</v>
      </c>
      <c r="N4" s="1">
        <f t="shared" si="0"/>
        <v>276.57845672245281</v>
      </c>
      <c r="O4" s="1">
        <f t="shared" si="0"/>
        <v>293.38820262370206</v>
      </c>
      <c r="P4" s="1">
        <f t="shared" si="0"/>
        <v>306.34938385781533</v>
      </c>
      <c r="Q4" s="1">
        <f t="shared" si="0"/>
        <v>316.34312320226576</v>
      </c>
      <c r="R4" s="2">
        <f t="shared" si="0"/>
        <v>324.04881177191174</v>
      </c>
    </row>
    <row r="5" spans="1:18">
      <c r="A5" s="150"/>
      <c r="B5" s="1" t="s">
        <v>6</v>
      </c>
      <c r="C5" s="2">
        <v>0.26</v>
      </c>
      <c r="F5" s="3" t="s">
        <v>33</v>
      </c>
      <c r="G5" s="1" t="s">
        <v>26</v>
      </c>
      <c r="H5" s="1">
        <f t="shared" ref="H5:R5" si="1">lwa*(H$4^lwb)</f>
        <v>3.0786487014787529E-8</v>
      </c>
      <c r="I5" s="1">
        <f t="shared" si="1"/>
        <v>0.12179775510938466</v>
      </c>
      <c r="J5" s="1">
        <f t="shared" si="1"/>
        <v>0.70922716923537987</v>
      </c>
      <c r="K5" s="1">
        <f t="shared" si="1"/>
        <v>1.7339762130984733</v>
      </c>
      <c r="L5" s="1">
        <f t="shared" si="1"/>
        <v>2.997920687322178</v>
      </c>
      <c r="M5" s="1">
        <f t="shared" si="1"/>
        <v>4.3170791220003428</v>
      </c>
      <c r="N5" s="1">
        <f t="shared" si="1"/>
        <v>5.5683707165183316</v>
      </c>
      <c r="O5" s="1">
        <f t="shared" si="1"/>
        <v>6.6859552163518652</v>
      </c>
      <c r="P5" s="1">
        <f t="shared" si="1"/>
        <v>7.6447624304444846</v>
      </c>
      <c r="Q5" s="1">
        <f t="shared" si="1"/>
        <v>8.4446624168383195</v>
      </c>
      <c r="R5" s="2">
        <f t="shared" si="1"/>
        <v>9.0987891765031517</v>
      </c>
    </row>
    <row r="6" spans="1:18">
      <c r="A6" s="150"/>
      <c r="B6" s="1" t="s">
        <v>19</v>
      </c>
      <c r="C6" s="2">
        <v>0.6</v>
      </c>
      <c r="F6" s="3" t="s">
        <v>30</v>
      </c>
      <c r="G6" s="1" t="s">
        <v>27</v>
      </c>
      <c r="H6" s="1">
        <f t="shared" ref="H6:R6" si="2">MAX(0,H5-Wmat)</f>
        <v>0</v>
      </c>
      <c r="I6" s="1">
        <f t="shared" si="2"/>
        <v>0</v>
      </c>
      <c r="J6" s="1">
        <f t="shared" si="2"/>
        <v>0</v>
      </c>
      <c r="K6" s="1">
        <f t="shared" si="2"/>
        <v>0.23397621309847327</v>
      </c>
      <c r="L6" s="1">
        <f t="shared" si="2"/>
        <v>1.497920687322178</v>
      </c>
      <c r="M6" s="1">
        <f t="shared" si="2"/>
        <v>2.8170791220003428</v>
      </c>
      <c r="N6" s="1">
        <f t="shared" si="2"/>
        <v>4.0683707165183316</v>
      </c>
      <c r="O6" s="1">
        <f t="shared" si="2"/>
        <v>5.1859552163518652</v>
      </c>
      <c r="P6" s="1">
        <f t="shared" si="2"/>
        <v>6.1447624304444846</v>
      </c>
      <c r="Q6" s="1">
        <f t="shared" si="2"/>
        <v>6.9446624168383195</v>
      </c>
      <c r="R6" s="2">
        <f t="shared" si="2"/>
        <v>7.5987891765031517</v>
      </c>
    </row>
    <row r="7" spans="1:18">
      <c r="A7" s="85" t="s">
        <v>27</v>
      </c>
      <c r="B7" s="1" t="s">
        <v>7</v>
      </c>
      <c r="C7" s="2">
        <v>1.5</v>
      </c>
      <c r="F7" s="3" t="s">
        <v>29</v>
      </c>
      <c r="G7" s="1" t="s">
        <v>32</v>
      </c>
      <c r="H7" s="1">
        <f t="shared" ref="H7:R7" si="3">1/(1+EXP(-(H4-lenv50)/sdv))</f>
        <v>2.6662706008235179E-8</v>
      </c>
      <c r="I7" s="1">
        <f t="shared" si="3"/>
        <v>7.943099964778705E-5</v>
      </c>
      <c r="J7" s="1">
        <f t="shared" si="3"/>
        <v>3.6525057598242171E-2</v>
      </c>
      <c r="K7" s="1">
        <f t="shared" si="3"/>
        <v>0.81506959920156541</v>
      </c>
      <c r="L7" s="1">
        <f t="shared" si="3"/>
        <v>0.99423571624784779</v>
      </c>
      <c r="M7" s="1">
        <f t="shared" si="3"/>
        <v>0.99965710356892901</v>
      </c>
      <c r="N7" s="1">
        <f t="shared" si="3"/>
        <v>0.99996123080004629</v>
      </c>
      <c r="O7" s="1">
        <f t="shared" si="3"/>
        <v>0.99999278124083879</v>
      </c>
      <c r="P7" s="1">
        <f t="shared" si="3"/>
        <v>0.9999980249964473</v>
      </c>
      <c r="Q7" s="1">
        <f t="shared" si="3"/>
        <v>0.99999927298087077</v>
      </c>
      <c r="R7" s="2">
        <f t="shared" si="3"/>
        <v>0.9999996635719447</v>
      </c>
    </row>
    <row r="8" spans="1:18">
      <c r="A8" s="7" t="s">
        <v>13</v>
      </c>
      <c r="B8" s="1" t="s">
        <v>14</v>
      </c>
      <c r="C8" s="2">
        <v>0.25</v>
      </c>
      <c r="F8" s="3" t="s">
        <v>29</v>
      </c>
      <c r="G8" s="1" t="s">
        <v>35</v>
      </c>
      <c r="H8" s="1">
        <v>1</v>
      </c>
      <c r="I8" s="1">
        <f t="shared" ref="I8:R8" si="4">H8*EXP(-M)</f>
        <v>0.77880078307140488</v>
      </c>
      <c r="J8" s="1">
        <f t="shared" si="4"/>
        <v>0.60653065971263342</v>
      </c>
      <c r="K8" s="1">
        <f t="shared" si="4"/>
        <v>0.47236655274101469</v>
      </c>
      <c r="L8" s="1">
        <f t="shared" si="4"/>
        <v>0.36787944117144233</v>
      </c>
      <c r="M8" s="1">
        <f t="shared" si="4"/>
        <v>0.28650479686019009</v>
      </c>
      <c r="N8" s="1">
        <f t="shared" si="4"/>
        <v>0.22313016014842982</v>
      </c>
      <c r="O8" s="1">
        <f t="shared" si="4"/>
        <v>0.17377394345044511</v>
      </c>
      <c r="P8" s="1">
        <f t="shared" si="4"/>
        <v>0.13533528323661267</v>
      </c>
      <c r="Q8" s="1">
        <f t="shared" si="4"/>
        <v>0.10539922456186432</v>
      </c>
      <c r="R8" s="2">
        <f t="shared" si="4"/>
        <v>8.2084998623898786E-2</v>
      </c>
    </row>
    <row r="9" spans="1:18" ht="18" customHeight="1" thickBot="1">
      <c r="A9" s="150" t="s">
        <v>11</v>
      </c>
      <c r="B9" s="1" t="s">
        <v>34</v>
      </c>
      <c r="C9" s="2">
        <v>175</v>
      </c>
      <c r="F9" s="6" t="s">
        <v>29</v>
      </c>
      <c r="G9" s="4" t="s">
        <v>36</v>
      </c>
      <c r="H9" s="4">
        <v>1</v>
      </c>
      <c r="I9" s="4">
        <f t="shared" ref="I9:R9" si="5">H9*EXP(-(M+AVERAGE($F$20:$F$39)))</f>
        <v>0.70468808971871344</v>
      </c>
      <c r="J9" s="4">
        <f t="shared" si="5"/>
        <v>0.49658530379140953</v>
      </c>
      <c r="K9" s="4">
        <f t="shared" si="5"/>
        <v>0.34993774911115538</v>
      </c>
      <c r="L9" s="4">
        <f t="shared" si="5"/>
        <v>0.24659696394160649</v>
      </c>
      <c r="M9" s="4">
        <f t="shared" si="5"/>
        <v>0.17377394345044514</v>
      </c>
      <c r="N9" s="4">
        <f t="shared" si="5"/>
        <v>0.12245642825298192</v>
      </c>
      <c r="O9" s="4">
        <f t="shared" si="5"/>
        <v>8.6293586499370523E-2</v>
      </c>
      <c r="P9" s="4">
        <f t="shared" si="5"/>
        <v>6.0810062625217973E-2</v>
      </c>
      <c r="Q9" s="4">
        <f t="shared" si="5"/>
        <v>4.2852126867040187E-2</v>
      </c>
      <c r="R9" s="4">
        <f t="shared" si="5"/>
        <v>3.0197383422318504E-2</v>
      </c>
    </row>
    <row r="10" spans="1:18" ht="16" customHeight="1" thickBot="1">
      <c r="A10" s="151"/>
      <c r="B10" s="4" t="s">
        <v>12</v>
      </c>
      <c r="C10" s="5">
        <v>10</v>
      </c>
    </row>
    <row r="11" spans="1:18" ht="17" customHeight="1">
      <c r="J11" s="165"/>
      <c r="K11" s="165"/>
      <c r="L11" s="165"/>
      <c r="M11" s="165"/>
      <c r="N11" s="165"/>
    </row>
    <row r="12" spans="1:18" ht="16" customHeight="1" thickBot="1">
      <c r="J12" s="165"/>
      <c r="K12" s="165"/>
      <c r="L12" s="165"/>
      <c r="M12" s="165"/>
      <c r="N12" s="165"/>
    </row>
    <row r="13" spans="1:18">
      <c r="A13" s="159" t="s">
        <v>15</v>
      </c>
      <c r="B13" s="160"/>
      <c r="C13" s="161"/>
      <c r="J13" s="165"/>
      <c r="K13" s="165"/>
      <c r="L13" s="165"/>
      <c r="M13" s="165"/>
      <c r="N13" s="165"/>
    </row>
    <row r="14" spans="1:18">
      <c r="A14" s="59" t="s">
        <v>61</v>
      </c>
      <c r="B14" s="1" t="s">
        <v>41</v>
      </c>
      <c r="C14" s="67">
        <v>0.85</v>
      </c>
      <c r="J14" s="165"/>
      <c r="K14" s="165"/>
      <c r="L14" s="165"/>
      <c r="M14" s="165"/>
      <c r="N14" s="165"/>
    </row>
    <row r="15" spans="1:18">
      <c r="A15" s="62" t="s">
        <v>64</v>
      </c>
      <c r="B15" s="1" t="s">
        <v>18</v>
      </c>
      <c r="C15" s="70">
        <v>4000</v>
      </c>
      <c r="D15" s="1"/>
      <c r="J15" s="165"/>
      <c r="K15" s="165"/>
      <c r="L15" s="165"/>
      <c r="M15" s="165"/>
      <c r="N15" s="165"/>
    </row>
    <row r="16" spans="1:18" ht="17" thickBot="1">
      <c r="A16" s="72" t="s">
        <v>65</v>
      </c>
      <c r="B16" s="64" t="s">
        <v>16</v>
      </c>
      <c r="C16" s="69">
        <v>0.1</v>
      </c>
      <c r="D16" s="1"/>
      <c r="G16" s="14"/>
    </row>
    <row r="17" spans="1:64">
      <c r="A17" s="1"/>
      <c r="B17" s="1"/>
      <c r="C17" s="103"/>
      <c r="D17" s="1"/>
      <c r="N17" s="168" t="s">
        <v>40</v>
      </c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70"/>
      <c r="AA17" s="153" t="s">
        <v>39</v>
      </c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5"/>
      <c r="AN17" s="156" t="s">
        <v>50</v>
      </c>
      <c r="AO17" s="157"/>
      <c r="AP17" s="157"/>
      <c r="AQ17" s="157"/>
      <c r="AR17" s="157"/>
      <c r="AS17" s="157"/>
      <c r="AT17" s="157"/>
      <c r="AU17" s="157"/>
      <c r="AV17" s="157"/>
      <c r="AW17" s="157"/>
      <c r="AX17" s="157"/>
      <c r="AY17" s="158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</row>
    <row r="18" spans="1:64" ht="17" thickBot="1">
      <c r="A18" s="8"/>
      <c r="B18" s="8"/>
      <c r="C18" s="110"/>
      <c r="D18" s="1"/>
      <c r="N18" s="21"/>
      <c r="O18" s="22" t="s">
        <v>37</v>
      </c>
      <c r="P18" s="22"/>
      <c r="Q18" s="22"/>
      <c r="R18" s="22"/>
      <c r="S18" s="22"/>
      <c r="T18" s="22"/>
      <c r="U18" s="22"/>
      <c r="V18" s="22"/>
      <c r="W18" s="22"/>
      <c r="X18" s="22"/>
      <c r="Y18" s="23"/>
      <c r="AA18" s="15"/>
      <c r="AB18" s="28" t="s">
        <v>37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9"/>
      <c r="AN18" s="37"/>
      <c r="AO18" s="41" t="s">
        <v>37</v>
      </c>
      <c r="AP18" s="41"/>
      <c r="AQ18" s="41"/>
      <c r="AR18" s="41"/>
      <c r="AS18" s="41"/>
      <c r="AT18" s="41"/>
      <c r="AU18" s="41"/>
      <c r="AV18" s="41"/>
      <c r="AW18" s="41"/>
      <c r="AX18" s="41"/>
      <c r="AY18" s="43"/>
    </row>
    <row r="19" spans="1:64" ht="17" thickBot="1">
      <c r="E19" s="94" t="s">
        <v>38</v>
      </c>
      <c r="F19" s="97" t="s">
        <v>44</v>
      </c>
      <c r="G19" s="97" t="s">
        <v>48</v>
      </c>
      <c r="H19" s="38" t="s">
        <v>46</v>
      </c>
      <c r="I19" s="38" t="s">
        <v>85</v>
      </c>
      <c r="J19" s="111" t="s">
        <v>86</v>
      </c>
      <c r="L19" s="39" t="s">
        <v>43</v>
      </c>
      <c r="M19" s="40" t="s">
        <v>42</v>
      </c>
      <c r="N19" s="27" t="s">
        <v>38</v>
      </c>
      <c r="O19" s="20">
        <v>0</v>
      </c>
      <c r="P19" s="26">
        <v>1</v>
      </c>
      <c r="Q19" s="26">
        <v>2</v>
      </c>
      <c r="R19" s="26">
        <v>3</v>
      </c>
      <c r="S19" s="26">
        <v>4</v>
      </c>
      <c r="T19" s="26">
        <v>5</v>
      </c>
      <c r="U19" s="26">
        <v>6</v>
      </c>
      <c r="V19" s="26">
        <v>7</v>
      </c>
      <c r="W19" s="26">
        <v>8</v>
      </c>
      <c r="X19" s="26">
        <v>9</v>
      </c>
      <c r="Y19" s="78" t="s">
        <v>72</v>
      </c>
      <c r="AA19" s="32" t="s">
        <v>38</v>
      </c>
      <c r="AB19" s="30">
        <v>0</v>
      </c>
      <c r="AC19" s="30">
        <v>1</v>
      </c>
      <c r="AD19" s="30">
        <v>2</v>
      </c>
      <c r="AE19" s="30">
        <v>3</v>
      </c>
      <c r="AF19" s="30">
        <v>4</v>
      </c>
      <c r="AG19" s="30">
        <v>5</v>
      </c>
      <c r="AH19" s="30">
        <v>6</v>
      </c>
      <c r="AI19" s="30">
        <v>7</v>
      </c>
      <c r="AJ19" s="30">
        <v>8</v>
      </c>
      <c r="AK19" s="30">
        <v>9</v>
      </c>
      <c r="AL19" s="31">
        <v>10</v>
      </c>
      <c r="AN19" s="46" t="s">
        <v>38</v>
      </c>
      <c r="AO19" s="44">
        <v>0</v>
      </c>
      <c r="AP19" s="44">
        <v>1</v>
      </c>
      <c r="AQ19" s="44">
        <v>2</v>
      </c>
      <c r="AR19" s="44">
        <v>3</v>
      </c>
      <c r="AS19" s="44">
        <v>4</v>
      </c>
      <c r="AT19" s="44">
        <v>5</v>
      </c>
      <c r="AU19" s="44">
        <v>6</v>
      </c>
      <c r="AV19" s="44">
        <v>7</v>
      </c>
      <c r="AW19" s="44">
        <v>8</v>
      </c>
      <c r="AX19" s="44">
        <v>9</v>
      </c>
      <c r="AY19" s="45">
        <v>10</v>
      </c>
    </row>
    <row r="20" spans="1:64">
      <c r="A20" s="159" t="s">
        <v>17</v>
      </c>
      <c r="B20" s="160"/>
      <c r="C20" s="161"/>
      <c r="E20" s="94">
        <v>1</v>
      </c>
      <c r="F20" s="98">
        <f t="shared" ref="F20" si="6">MAX(0.000001,Fbar+G20)</f>
        <v>0.1</v>
      </c>
      <c r="G20" s="98">
        <v>0</v>
      </c>
      <c r="H20" s="18">
        <f>SUM(AB20:AL20)</f>
        <v>2806</v>
      </c>
      <c r="I20" s="18">
        <v>412.24912799128799</v>
      </c>
      <c r="J20" s="16">
        <f>H20/I20</f>
        <v>6.8065638214262005</v>
      </c>
      <c r="L20" s="35">
        <f t="shared" ref="L20:L39" si="7">SUMPRODUCT(O20:Y20,$H$6:$R$6)</f>
        <v>19859.082226496503</v>
      </c>
      <c r="M20" s="20">
        <f t="shared" ref="M20:M39" si="8">SUM(O20:Y20)</f>
        <v>16422.741563556705</v>
      </c>
      <c r="N20" s="21">
        <v>1</v>
      </c>
      <c r="O20" s="76">
        <f>Ro</f>
        <v>4000</v>
      </c>
      <c r="P20" s="77">
        <f>Ro*EXP(-(AO20+M*I3))</f>
        <v>3115.2031239796447</v>
      </c>
      <c r="Q20" s="77">
        <f>Ro*EXP(-(AP20+M*J3))</f>
        <v>2426.1033679924217</v>
      </c>
      <c r="R20" s="77">
        <f>Ro*EXP(-(AQ20+M*K3))</f>
        <v>1882.5775129085746</v>
      </c>
      <c r="S20" s="77">
        <f>Ro*EXP(-(AR20+M*L3))</f>
        <v>1356.3366168145396</v>
      </c>
      <c r="T20" s="77">
        <f>Ro*EXP(-(AS20+M*M3))</f>
        <v>1037.5589486609626</v>
      </c>
      <c r="U20" s="77">
        <f>Ro*EXP(-(AT20+M*N3))</f>
        <v>807.61376429158508</v>
      </c>
      <c r="V20" s="77">
        <f>Ro*EXP(-(AU20+M*O3))</f>
        <v>628.95110364289349</v>
      </c>
      <c r="W20" s="77">
        <f>Ro*EXP(-(AV20+M*P3))</f>
        <v>489.82606660544064</v>
      </c>
      <c r="X20" s="77">
        <f>Ro*EXP(-(AW20+M*Q3))</f>
        <v>381.47672420397953</v>
      </c>
      <c r="Y20" s="77">
        <f>Ro*EXP(-(AX20+M*R3))</f>
        <v>297.09433445666116</v>
      </c>
      <c r="AA20" s="33">
        <v>1</v>
      </c>
      <c r="AB20" s="18">
        <v>0</v>
      </c>
      <c r="AC20" s="18">
        <v>0</v>
      </c>
      <c r="AD20" s="18">
        <v>106</v>
      </c>
      <c r="AE20" s="18">
        <v>681</v>
      </c>
      <c r="AF20" s="18">
        <v>541</v>
      </c>
      <c r="AG20" s="18">
        <v>421</v>
      </c>
      <c r="AH20" s="18">
        <v>328</v>
      </c>
      <c r="AI20" s="18">
        <v>255</v>
      </c>
      <c r="AJ20" s="18">
        <v>199</v>
      </c>
      <c r="AK20" s="18">
        <v>155</v>
      </c>
      <c r="AL20" s="16">
        <v>120</v>
      </c>
      <c r="AN20" s="47">
        <v>1</v>
      </c>
      <c r="AO20" s="42">
        <f t="shared" ref="AO20:AY39" si="9">$F20*H$7</f>
        <v>2.6662706008235182E-9</v>
      </c>
      <c r="AP20" s="42">
        <f t="shared" si="9"/>
        <v>7.943099964778705E-6</v>
      </c>
      <c r="AQ20" s="42">
        <f t="shared" si="9"/>
        <v>3.6525057598242173E-3</v>
      </c>
      <c r="AR20" s="42">
        <f t="shared" si="9"/>
        <v>8.1506959920156552E-2</v>
      </c>
      <c r="AS20" s="42">
        <f t="shared" si="9"/>
        <v>9.9423571624784782E-2</v>
      </c>
      <c r="AT20" s="42">
        <f t="shared" si="9"/>
        <v>9.9965710356892903E-2</v>
      </c>
      <c r="AU20" s="42">
        <f t="shared" si="9"/>
        <v>9.9996123080004634E-2</v>
      </c>
      <c r="AV20" s="42">
        <f t="shared" si="9"/>
        <v>9.9999278124083879E-2</v>
      </c>
      <c r="AW20" s="42">
        <f t="shared" si="9"/>
        <v>9.9999802499644741E-2</v>
      </c>
      <c r="AX20" s="42">
        <f t="shared" si="9"/>
        <v>9.9999927298087085E-2</v>
      </c>
      <c r="AY20" s="42">
        <f t="shared" si="9"/>
        <v>9.9999966357194478E-2</v>
      </c>
    </row>
    <row r="21" spans="1:64" ht="16" customHeight="1">
      <c r="A21" s="164" t="s">
        <v>79</v>
      </c>
      <c r="B21" s="1" t="s">
        <v>20</v>
      </c>
      <c r="C21" s="70" cm="1">
        <f t="array" ref="C21">SUMPRODUCT(Ro*H8:R8,H6:R6)</f>
        <v>21859.821355230666</v>
      </c>
      <c r="E21" s="94">
        <v>2</v>
      </c>
      <c r="F21" s="98">
        <f t="shared" ref="F21" si="10">MAX(0.000001,Fbar+G21)</f>
        <v>0.1</v>
      </c>
      <c r="G21" s="98">
        <v>0</v>
      </c>
      <c r="H21" s="18">
        <f t="shared" ref="H21:H39" si="11">SUM(AB21:AL21)</f>
        <v>1966</v>
      </c>
      <c r="I21" s="18">
        <v>496.39116814446777</v>
      </c>
      <c r="J21" s="16">
        <f t="shared" ref="J21:J39" si="12">H21/I21</f>
        <v>3.9605861791397201</v>
      </c>
      <c r="L21" s="35">
        <f t="shared" si="7"/>
        <v>19839.153498341988</v>
      </c>
      <c r="M21" s="20">
        <f t="shared" si="8"/>
        <v>16280.774676801346</v>
      </c>
      <c r="N21" s="21">
        <v>2</v>
      </c>
      <c r="O21" s="35">
        <f t="shared" ref="O21" si="13">(bha*L20)/(1+bhb*L20)</f>
        <v>3982.2998238530126</v>
      </c>
      <c r="P21" s="20">
        <f>O20*EXP(-AO44)</f>
        <v>3115.2031239796447</v>
      </c>
      <c r="Q21" s="20">
        <f t="shared" ref="Q21:Y21" si="14">P20*EXP(-AP44)</f>
        <v>2426.1033615237734</v>
      </c>
      <c r="R21" s="20">
        <f t="shared" si="14"/>
        <v>1882.5625594665864</v>
      </c>
      <c r="S21" s="20">
        <f t="shared" si="14"/>
        <v>1351.3916258109348</v>
      </c>
      <c r="T21" s="20">
        <f t="shared" si="14"/>
        <v>956.34536527187231</v>
      </c>
      <c r="U21" s="20">
        <f t="shared" si="14"/>
        <v>731.18050499116475</v>
      </c>
      <c r="V21" s="20">
        <f t="shared" si="14"/>
        <v>569.11800720988117</v>
      </c>
      <c r="W21" s="20">
        <f t="shared" si="14"/>
        <v>443.21467169846886</v>
      </c>
      <c r="X21" s="20">
        <f t="shared" si="14"/>
        <v>345.17466334273115</v>
      </c>
      <c r="Y21" s="20">
        <f>X20*EXP(-AX44)+Y20*EXP(-AY44)</f>
        <v>478.18096965327265</v>
      </c>
      <c r="AA21" s="33">
        <v>2</v>
      </c>
      <c r="AB21" s="18">
        <v>0</v>
      </c>
      <c r="AC21" s="18">
        <v>0</v>
      </c>
      <c r="AD21" s="18">
        <v>146</v>
      </c>
      <c r="AE21" s="18">
        <v>660</v>
      </c>
      <c r="AF21" s="18">
        <v>314</v>
      </c>
      <c r="AG21" s="18">
        <v>241</v>
      </c>
      <c r="AH21" s="18">
        <v>188</v>
      </c>
      <c r="AI21" s="18">
        <v>146</v>
      </c>
      <c r="AJ21" s="18">
        <v>114</v>
      </c>
      <c r="AK21" s="18">
        <v>88</v>
      </c>
      <c r="AL21" s="16">
        <v>69</v>
      </c>
      <c r="AN21" s="47">
        <v>2</v>
      </c>
      <c r="AO21" s="42">
        <f t="shared" si="9"/>
        <v>2.6662706008235182E-9</v>
      </c>
      <c r="AP21" s="42">
        <f t="shared" si="9"/>
        <v>7.943099964778705E-6</v>
      </c>
      <c r="AQ21" s="42">
        <f t="shared" si="9"/>
        <v>3.6525057598242173E-3</v>
      </c>
      <c r="AR21" s="42">
        <f t="shared" si="9"/>
        <v>8.1506959920156552E-2</v>
      </c>
      <c r="AS21" s="42">
        <f t="shared" si="9"/>
        <v>9.9423571624784782E-2</v>
      </c>
      <c r="AT21" s="42">
        <f t="shared" si="9"/>
        <v>9.9965710356892903E-2</v>
      </c>
      <c r="AU21" s="42">
        <f t="shared" si="9"/>
        <v>9.9996123080004634E-2</v>
      </c>
      <c r="AV21" s="42">
        <f t="shared" si="9"/>
        <v>9.9999278124083879E-2</v>
      </c>
      <c r="AW21" s="42">
        <f t="shared" si="9"/>
        <v>9.9999802499644741E-2</v>
      </c>
      <c r="AX21" s="42">
        <f t="shared" si="9"/>
        <v>9.9999927298087085E-2</v>
      </c>
      <c r="AY21" s="42">
        <f t="shared" si="9"/>
        <v>9.9999966357194478E-2</v>
      </c>
    </row>
    <row r="22" spans="1:64">
      <c r="A22" s="164"/>
      <c r="B22" s="1" t="s">
        <v>21</v>
      </c>
      <c r="C22" s="70" cm="1">
        <f t="array" ref="C22">SUMPRODUCT(Ro*H8:R8,H5:R5,H7:R7)</f>
        <v>32368.296462309012</v>
      </c>
      <c r="E22" s="94">
        <v>3</v>
      </c>
      <c r="F22" s="98">
        <f t="shared" ref="F22:F30" si="15">MAX(0.000001,Fbar+G22)</f>
        <v>0.1</v>
      </c>
      <c r="G22" s="98">
        <v>0</v>
      </c>
      <c r="H22" s="18">
        <f t="shared" si="11"/>
        <v>1207</v>
      </c>
      <c r="I22" s="18">
        <v>188.24436422588224</v>
      </c>
      <c r="J22" s="16">
        <f t="shared" si="12"/>
        <v>6.4118785439529571</v>
      </c>
      <c r="L22" s="35">
        <f t="shared" si="7"/>
        <v>19605.243572678937</v>
      </c>
      <c r="M22" s="20">
        <f t="shared" si="8"/>
        <v>16179.222688720076</v>
      </c>
      <c r="N22" s="21">
        <v>3</v>
      </c>
      <c r="O22" s="35">
        <f t="shared" ref="O22:O30" si="16">(bha*L21)/(1+bhb*L21)</f>
        <v>3982.1064298297383</v>
      </c>
      <c r="P22" s="20">
        <f t="shared" ref="P22:P39" si="17">O21*EXP(-AO45)</f>
        <v>3101.4182129726237</v>
      </c>
      <c r="Q22" s="20">
        <f t="shared" ref="Q22:Q39" si="18">P21*EXP(-AP45)</f>
        <v>2426.1033615237734</v>
      </c>
      <c r="R22" s="20">
        <f t="shared" ref="R22:R39" si="19">Q21*EXP(-AQ45)</f>
        <v>1882.562554447165</v>
      </c>
      <c r="S22" s="20">
        <f t="shared" ref="S22:S39" si="20">R21*EXP(-AR45)</f>
        <v>1351.3808916147907</v>
      </c>
      <c r="T22" s="20">
        <f t="shared" ref="T22:T39" si="21">S21*EXP(-AS45)</f>
        <v>952.85867976255133</v>
      </c>
      <c r="U22" s="20">
        <f t="shared" ref="U22:U39" si="22">T21*EXP(-AT45)</f>
        <v>673.94829761517599</v>
      </c>
      <c r="V22" s="20">
        <f t="shared" ref="V22:V39" si="23">U21*EXP(-AU45)</f>
        <v>515.25619090494502</v>
      </c>
      <c r="W22" s="20">
        <f t="shared" ref="W22:W39" si="24">V21*EXP(-AV45)</f>
        <v>401.05097083418462</v>
      </c>
      <c r="X22" s="20">
        <f t="shared" ref="X22:X39" si="25">W21*EXP(-AW45)</f>
        <v>312.32816201941762</v>
      </c>
      <c r="Y22" s="20">
        <f t="shared" ref="Y22:Y39" si="26">X21*EXP(-AX45)+Y21*EXP(-AY45)</f>
        <v>580.20893719570813</v>
      </c>
      <c r="AA22" s="33">
        <v>3</v>
      </c>
      <c r="AB22" s="18">
        <v>0</v>
      </c>
      <c r="AC22" s="18">
        <v>0</v>
      </c>
      <c r="AD22" s="18">
        <v>49</v>
      </c>
      <c r="AE22" s="18">
        <v>482</v>
      </c>
      <c r="AF22" s="18">
        <v>248</v>
      </c>
      <c r="AG22" s="18">
        <v>123</v>
      </c>
      <c r="AH22" s="18">
        <v>95</v>
      </c>
      <c r="AI22" s="18">
        <v>74</v>
      </c>
      <c r="AJ22" s="18">
        <v>57</v>
      </c>
      <c r="AK22" s="18">
        <v>44</v>
      </c>
      <c r="AL22" s="16">
        <v>35</v>
      </c>
      <c r="AN22" s="47">
        <v>3</v>
      </c>
      <c r="AO22" s="42">
        <f t="shared" si="9"/>
        <v>2.6662706008235182E-9</v>
      </c>
      <c r="AP22" s="42">
        <f t="shared" si="9"/>
        <v>7.943099964778705E-6</v>
      </c>
      <c r="AQ22" s="42">
        <f t="shared" si="9"/>
        <v>3.6525057598242173E-3</v>
      </c>
      <c r="AR22" s="42">
        <f t="shared" si="9"/>
        <v>8.1506959920156552E-2</v>
      </c>
      <c r="AS22" s="42">
        <f t="shared" si="9"/>
        <v>9.9423571624784782E-2</v>
      </c>
      <c r="AT22" s="42">
        <f t="shared" si="9"/>
        <v>9.9965710356892903E-2</v>
      </c>
      <c r="AU22" s="42">
        <f t="shared" si="9"/>
        <v>9.9996123080004634E-2</v>
      </c>
      <c r="AV22" s="42">
        <f t="shared" si="9"/>
        <v>9.9999278124083879E-2</v>
      </c>
      <c r="AW22" s="42">
        <f t="shared" si="9"/>
        <v>9.9999802499644741E-2</v>
      </c>
      <c r="AX22" s="42">
        <f t="shared" si="9"/>
        <v>9.9999927298087085E-2</v>
      </c>
      <c r="AY22" s="42">
        <f t="shared" si="9"/>
        <v>9.9999966357194478E-2</v>
      </c>
    </row>
    <row r="23" spans="1:64">
      <c r="A23" s="162" t="s">
        <v>8</v>
      </c>
      <c r="B23" s="8" t="s">
        <v>9</v>
      </c>
      <c r="C23" s="67">
        <f>(4*h*Ro)/((1-h)*C21)</f>
        <v>4.1476398728652804</v>
      </c>
      <c r="E23" s="94">
        <v>4</v>
      </c>
      <c r="F23" s="98">
        <f t="shared" si="15"/>
        <v>0.1</v>
      </c>
      <c r="G23" s="98">
        <v>0</v>
      </c>
      <c r="H23" s="18">
        <f t="shared" si="11"/>
        <v>1440</v>
      </c>
      <c r="I23" s="18">
        <v>323.67359571820191</v>
      </c>
      <c r="J23" s="16">
        <f t="shared" si="12"/>
        <v>4.4489263846337934</v>
      </c>
      <c r="L23" s="35">
        <f t="shared" si="7"/>
        <v>19316.951206758335</v>
      </c>
      <c r="M23" s="20">
        <f t="shared" si="8"/>
        <v>16104.326170477791</v>
      </c>
      <c r="N23" s="21">
        <v>4</v>
      </c>
      <c r="O23" s="35">
        <f t="shared" si="16"/>
        <v>3979.8085502059075</v>
      </c>
      <c r="P23" s="20">
        <f t="shared" si="17"/>
        <v>3101.2675975562579</v>
      </c>
      <c r="Q23" s="20">
        <f t="shared" si="18"/>
        <v>2415.3677473113316</v>
      </c>
      <c r="R23" s="20">
        <f t="shared" si="19"/>
        <v>1882.562554447165</v>
      </c>
      <c r="S23" s="20">
        <f t="shared" si="20"/>
        <v>1351.3808880116435</v>
      </c>
      <c r="T23" s="20">
        <f t="shared" si="21"/>
        <v>952.85111114086476</v>
      </c>
      <c r="U23" s="20">
        <f t="shared" si="22"/>
        <v>671.49118761218199</v>
      </c>
      <c r="V23" s="20">
        <f t="shared" si="23"/>
        <v>474.92517965897343</v>
      </c>
      <c r="W23" s="20">
        <f t="shared" si="24"/>
        <v>363.09516299410524</v>
      </c>
      <c r="X23" s="20">
        <f t="shared" si="25"/>
        <v>282.61589833371181</v>
      </c>
      <c r="Y23" s="20">
        <f t="shared" si="26"/>
        <v>628.96029320565003</v>
      </c>
      <c r="AA23" s="33">
        <v>4</v>
      </c>
      <c r="AB23" s="18">
        <v>0</v>
      </c>
      <c r="AC23" s="18">
        <v>0</v>
      </c>
      <c r="AD23" s="18">
        <v>83</v>
      </c>
      <c r="AE23" s="18">
        <v>628</v>
      </c>
      <c r="AF23" s="18">
        <v>339</v>
      </c>
      <c r="AG23" s="18">
        <v>151</v>
      </c>
      <c r="AH23" s="18">
        <v>75</v>
      </c>
      <c r="AI23" s="18">
        <v>57</v>
      </c>
      <c r="AJ23" s="18">
        <v>45</v>
      </c>
      <c r="AK23" s="18">
        <v>35</v>
      </c>
      <c r="AL23" s="16">
        <v>27</v>
      </c>
      <c r="AN23" s="47">
        <v>4</v>
      </c>
      <c r="AO23" s="42">
        <f t="shared" si="9"/>
        <v>2.6662706008235182E-9</v>
      </c>
      <c r="AP23" s="42">
        <f t="shared" si="9"/>
        <v>7.943099964778705E-6</v>
      </c>
      <c r="AQ23" s="42">
        <f t="shared" si="9"/>
        <v>3.6525057598242173E-3</v>
      </c>
      <c r="AR23" s="42">
        <f t="shared" si="9"/>
        <v>8.1506959920156552E-2</v>
      </c>
      <c r="AS23" s="42">
        <f t="shared" si="9"/>
        <v>9.9423571624784782E-2</v>
      </c>
      <c r="AT23" s="42">
        <f t="shared" si="9"/>
        <v>9.9965710356892903E-2</v>
      </c>
      <c r="AU23" s="42">
        <f t="shared" si="9"/>
        <v>9.9996123080004634E-2</v>
      </c>
      <c r="AV23" s="42">
        <f t="shared" si="9"/>
        <v>9.9999278124083879E-2</v>
      </c>
      <c r="AW23" s="42">
        <f t="shared" si="9"/>
        <v>9.9999802499644741E-2</v>
      </c>
      <c r="AX23" s="42">
        <f t="shared" si="9"/>
        <v>9.9999927298087085E-2</v>
      </c>
      <c r="AY23" s="42">
        <f t="shared" si="9"/>
        <v>9.9999966357194478E-2</v>
      </c>
    </row>
    <row r="24" spans="1:64">
      <c r="A24" s="162"/>
      <c r="B24" s="8" t="s">
        <v>10</v>
      </c>
      <c r="C24" s="66">
        <f>(5*h-1)/((1-h)*C21)</f>
        <v>9.9116394020677657E-4</v>
      </c>
      <c r="E24" s="94">
        <v>5</v>
      </c>
      <c r="F24" s="98">
        <f t="shared" si="15"/>
        <v>0.1</v>
      </c>
      <c r="G24" s="98">
        <v>0</v>
      </c>
      <c r="H24" s="18">
        <f t="shared" si="11"/>
        <v>1171</v>
      </c>
      <c r="I24" s="18">
        <v>202.24580574140785</v>
      </c>
      <c r="J24" s="16">
        <f t="shared" si="12"/>
        <v>5.7899841023019505</v>
      </c>
      <c r="L24" s="35">
        <f t="shared" si="7"/>
        <v>19047.562909944769</v>
      </c>
      <c r="M24" s="20">
        <f t="shared" si="8"/>
        <v>16047.695944469542</v>
      </c>
      <c r="N24" s="21">
        <v>5</v>
      </c>
      <c r="O24" s="35">
        <f t="shared" si="16"/>
        <v>3976.9036679865399</v>
      </c>
      <c r="P24" s="20">
        <f t="shared" si="17"/>
        <v>3099.4780071105861</v>
      </c>
      <c r="Q24" s="20">
        <f t="shared" si="18"/>
        <v>2415.2504488388404</v>
      </c>
      <c r="R24" s="20">
        <f t="shared" si="19"/>
        <v>1874.2321322418061</v>
      </c>
      <c r="S24" s="20">
        <f t="shared" si="20"/>
        <v>1351.3808880116435</v>
      </c>
      <c r="T24" s="20">
        <f t="shared" si="21"/>
        <v>952.85110860030591</v>
      </c>
      <c r="U24" s="20">
        <f t="shared" si="22"/>
        <v>671.4858539117364</v>
      </c>
      <c r="V24" s="20">
        <f t="shared" si="23"/>
        <v>473.19367679184978</v>
      </c>
      <c r="W24" s="20">
        <f t="shared" si="24"/>
        <v>334.67435920647125</v>
      </c>
      <c r="X24" s="20">
        <f t="shared" si="25"/>
        <v>255.86888733061207</v>
      </c>
      <c r="Y24" s="20">
        <f t="shared" si="26"/>
        <v>642.37691443915219</v>
      </c>
      <c r="AA24" s="33">
        <v>5</v>
      </c>
      <c r="AB24" s="18">
        <v>0</v>
      </c>
      <c r="AC24" s="18">
        <v>0</v>
      </c>
      <c r="AD24" s="18">
        <v>46</v>
      </c>
      <c r="AE24" s="18">
        <v>540</v>
      </c>
      <c r="AF24" s="18">
        <v>287</v>
      </c>
      <c r="AG24" s="18">
        <v>144</v>
      </c>
      <c r="AH24" s="18">
        <v>64</v>
      </c>
      <c r="AI24" s="18">
        <v>32</v>
      </c>
      <c r="AJ24" s="18">
        <v>24</v>
      </c>
      <c r="AK24" s="18">
        <v>19</v>
      </c>
      <c r="AL24" s="16">
        <v>15</v>
      </c>
      <c r="AN24" s="47">
        <v>5</v>
      </c>
      <c r="AO24" s="42">
        <f t="shared" si="9"/>
        <v>2.6662706008235182E-9</v>
      </c>
      <c r="AP24" s="42">
        <f t="shared" si="9"/>
        <v>7.943099964778705E-6</v>
      </c>
      <c r="AQ24" s="42">
        <f t="shared" si="9"/>
        <v>3.6525057598242173E-3</v>
      </c>
      <c r="AR24" s="42">
        <f t="shared" si="9"/>
        <v>8.1506959920156552E-2</v>
      </c>
      <c r="AS24" s="42">
        <f t="shared" si="9"/>
        <v>9.9423571624784782E-2</v>
      </c>
      <c r="AT24" s="42">
        <f t="shared" si="9"/>
        <v>9.9965710356892903E-2</v>
      </c>
      <c r="AU24" s="42">
        <f t="shared" si="9"/>
        <v>9.9996123080004634E-2</v>
      </c>
      <c r="AV24" s="42">
        <f t="shared" si="9"/>
        <v>9.9999278124083879E-2</v>
      </c>
      <c r="AW24" s="42">
        <f t="shared" si="9"/>
        <v>9.9999802499644741E-2</v>
      </c>
      <c r="AX24" s="42">
        <f t="shared" si="9"/>
        <v>9.9999927298087085E-2</v>
      </c>
      <c r="AY24" s="42">
        <f t="shared" si="9"/>
        <v>9.9999966357194478E-2</v>
      </c>
    </row>
    <row r="25" spans="1:64" ht="17" thickBot="1">
      <c r="A25" s="163"/>
      <c r="B25" s="61" t="s">
        <v>75</v>
      </c>
      <c r="C25" s="69">
        <f>(4*h)/(1-h)</f>
        <v>22.666666666666664</v>
      </c>
      <c r="E25" s="94">
        <v>6</v>
      </c>
      <c r="F25" s="98">
        <f t="shared" si="15"/>
        <v>0.1</v>
      </c>
      <c r="G25" s="98">
        <v>0</v>
      </c>
      <c r="H25" s="18">
        <f t="shared" si="11"/>
        <v>1154</v>
      </c>
      <c r="I25" s="18">
        <v>221.55067447341082</v>
      </c>
      <c r="J25" s="16">
        <f t="shared" si="12"/>
        <v>5.2087406312026197</v>
      </c>
      <c r="L25" s="35">
        <f t="shared" si="7"/>
        <v>18820.599398720362</v>
      </c>
      <c r="M25" s="20">
        <f t="shared" si="8"/>
        <v>16004.533575983258</v>
      </c>
      <c r="N25" s="21">
        <v>6</v>
      </c>
      <c r="O25" s="35">
        <f t="shared" si="16"/>
        <v>3974.1137910055745</v>
      </c>
      <c r="P25" s="20">
        <f t="shared" si="17"/>
        <v>3097.2156825694442</v>
      </c>
      <c r="Q25" s="20">
        <f t="shared" si="18"/>
        <v>2413.8567254689019</v>
      </c>
      <c r="R25" s="20">
        <f t="shared" si="19"/>
        <v>1874.1411131551883</v>
      </c>
      <c r="S25" s="20">
        <f t="shared" si="20"/>
        <v>1345.4009680717743</v>
      </c>
      <c r="T25" s="20">
        <f t="shared" si="21"/>
        <v>952.85110860030591</v>
      </c>
      <c r="U25" s="20">
        <f t="shared" si="22"/>
        <v>671.48585212137345</v>
      </c>
      <c r="V25" s="20">
        <f t="shared" si="23"/>
        <v>473.18991818209986</v>
      </c>
      <c r="W25" s="20">
        <f t="shared" si="24"/>
        <v>333.45418887788412</v>
      </c>
      <c r="X25" s="20">
        <f t="shared" si="25"/>
        <v>235.84108144573551</v>
      </c>
      <c r="Y25" s="20">
        <f t="shared" si="26"/>
        <v>632.98314648497808</v>
      </c>
      <c r="AA25" s="33">
        <v>6</v>
      </c>
      <c r="AB25" s="18">
        <v>0</v>
      </c>
      <c r="AC25" s="18">
        <v>0</v>
      </c>
      <c r="AD25" s="18">
        <v>46</v>
      </c>
      <c r="AE25" s="18">
        <v>478</v>
      </c>
      <c r="AF25" s="18">
        <v>327</v>
      </c>
      <c r="AG25" s="18">
        <v>153</v>
      </c>
      <c r="AH25" s="18">
        <v>76</v>
      </c>
      <c r="AI25" s="18">
        <v>34</v>
      </c>
      <c r="AJ25" s="18">
        <v>17</v>
      </c>
      <c r="AK25" s="18">
        <v>13</v>
      </c>
      <c r="AL25" s="16">
        <v>10</v>
      </c>
      <c r="AN25" s="47">
        <v>6</v>
      </c>
      <c r="AO25" s="42">
        <f t="shared" si="9"/>
        <v>2.6662706008235182E-9</v>
      </c>
      <c r="AP25" s="42">
        <f t="shared" si="9"/>
        <v>7.943099964778705E-6</v>
      </c>
      <c r="AQ25" s="42">
        <f t="shared" si="9"/>
        <v>3.6525057598242173E-3</v>
      </c>
      <c r="AR25" s="42">
        <f t="shared" si="9"/>
        <v>8.1506959920156552E-2</v>
      </c>
      <c r="AS25" s="42">
        <f t="shared" si="9"/>
        <v>9.9423571624784782E-2</v>
      </c>
      <c r="AT25" s="42">
        <f t="shared" si="9"/>
        <v>9.9965710356892903E-2</v>
      </c>
      <c r="AU25" s="42">
        <f t="shared" si="9"/>
        <v>9.9996123080004634E-2</v>
      </c>
      <c r="AV25" s="42">
        <f t="shared" si="9"/>
        <v>9.9999278124083879E-2</v>
      </c>
      <c r="AW25" s="42">
        <f t="shared" si="9"/>
        <v>9.9999802499644741E-2</v>
      </c>
      <c r="AX25" s="42">
        <f t="shared" si="9"/>
        <v>9.9999927298087085E-2</v>
      </c>
      <c r="AY25" s="42">
        <f t="shared" si="9"/>
        <v>9.9999966357194478E-2</v>
      </c>
    </row>
    <row r="26" spans="1:64">
      <c r="E26" s="94">
        <v>7</v>
      </c>
      <c r="F26" s="98">
        <f t="shared" si="15"/>
        <v>0.1</v>
      </c>
      <c r="G26" s="98">
        <v>0</v>
      </c>
      <c r="H26" s="18">
        <f t="shared" si="11"/>
        <v>907</v>
      </c>
      <c r="I26" s="18">
        <v>235.88523360555769</v>
      </c>
      <c r="J26" s="16">
        <f t="shared" si="12"/>
        <v>3.8450901997395319</v>
      </c>
      <c r="L26" s="35">
        <f t="shared" si="7"/>
        <v>18644.837002092285</v>
      </c>
      <c r="M26" s="20">
        <f t="shared" si="8"/>
        <v>15971.230840083972</v>
      </c>
      <c r="N26" s="21">
        <v>7</v>
      </c>
      <c r="O26" s="35">
        <f t="shared" si="16"/>
        <v>3971.704443996432</v>
      </c>
      <c r="P26" s="20">
        <f t="shared" si="17"/>
        <v>3095.042924197789</v>
      </c>
      <c r="Q26" s="20">
        <f t="shared" si="18"/>
        <v>2412.0948393395925</v>
      </c>
      <c r="R26" s="20">
        <f t="shared" si="19"/>
        <v>1873.0596376215756</v>
      </c>
      <c r="S26" s="20">
        <f t="shared" si="20"/>
        <v>1345.335630825047</v>
      </c>
      <c r="T26" s="20">
        <f t="shared" si="21"/>
        <v>948.63470048428667</v>
      </c>
      <c r="U26" s="20">
        <f t="shared" si="22"/>
        <v>671.48585212137345</v>
      </c>
      <c r="V26" s="20">
        <f t="shared" si="23"/>
        <v>473.1899169204475</v>
      </c>
      <c r="W26" s="20">
        <f t="shared" si="24"/>
        <v>333.45154022844747</v>
      </c>
      <c r="X26" s="20">
        <f t="shared" si="25"/>
        <v>234.98124177793338</v>
      </c>
      <c r="Y26" s="20">
        <f t="shared" si="26"/>
        <v>612.25011257104688</v>
      </c>
      <c r="AA26" s="33">
        <v>7</v>
      </c>
      <c r="AB26" s="18">
        <v>0</v>
      </c>
      <c r="AC26" s="18">
        <v>0</v>
      </c>
      <c r="AD26" s="18">
        <v>34</v>
      </c>
      <c r="AE26" s="18">
        <v>351</v>
      </c>
      <c r="AF26" s="18">
        <v>240</v>
      </c>
      <c r="AG26" s="18">
        <v>149</v>
      </c>
      <c r="AH26" s="18">
        <v>70</v>
      </c>
      <c r="AI26" s="18">
        <v>35</v>
      </c>
      <c r="AJ26" s="18">
        <v>15</v>
      </c>
      <c r="AK26" s="18">
        <v>7</v>
      </c>
      <c r="AL26" s="16">
        <v>6</v>
      </c>
      <c r="AN26" s="47">
        <v>7</v>
      </c>
      <c r="AO26" s="42">
        <f t="shared" si="9"/>
        <v>2.6662706008235182E-9</v>
      </c>
      <c r="AP26" s="42">
        <f t="shared" si="9"/>
        <v>7.943099964778705E-6</v>
      </c>
      <c r="AQ26" s="42">
        <f t="shared" si="9"/>
        <v>3.6525057598242173E-3</v>
      </c>
      <c r="AR26" s="42">
        <f t="shared" si="9"/>
        <v>8.1506959920156552E-2</v>
      </c>
      <c r="AS26" s="42">
        <f t="shared" si="9"/>
        <v>9.9423571624784782E-2</v>
      </c>
      <c r="AT26" s="42">
        <f t="shared" si="9"/>
        <v>9.9965710356892903E-2</v>
      </c>
      <c r="AU26" s="42">
        <f t="shared" si="9"/>
        <v>9.9996123080004634E-2</v>
      </c>
      <c r="AV26" s="42">
        <f t="shared" si="9"/>
        <v>9.9999278124083879E-2</v>
      </c>
      <c r="AW26" s="42">
        <f t="shared" si="9"/>
        <v>9.9999802499644741E-2</v>
      </c>
      <c r="AX26" s="42">
        <f t="shared" si="9"/>
        <v>9.9999927298087085E-2</v>
      </c>
      <c r="AY26" s="42">
        <f t="shared" si="9"/>
        <v>9.9999966357194478E-2</v>
      </c>
    </row>
    <row r="27" spans="1:64">
      <c r="E27" s="94">
        <v>8</v>
      </c>
      <c r="F27" s="98">
        <f t="shared" si="15"/>
        <v>0.1</v>
      </c>
      <c r="G27" s="98">
        <v>0</v>
      </c>
      <c r="H27" s="18">
        <f t="shared" si="11"/>
        <v>883</v>
      </c>
      <c r="I27" s="18">
        <v>306.65970178479904</v>
      </c>
      <c r="J27" s="16">
        <f t="shared" si="12"/>
        <v>2.8794132220856734</v>
      </c>
      <c r="L27" s="35">
        <f t="shared" si="7"/>
        <v>18515.497913915373</v>
      </c>
      <c r="M27" s="20">
        <f t="shared" si="8"/>
        <v>15945.379240310705</v>
      </c>
      <c r="N27" s="21">
        <v>8</v>
      </c>
      <c r="O27" s="35">
        <f t="shared" si="16"/>
        <v>3969.8003934361195</v>
      </c>
      <c r="P27" s="20">
        <f t="shared" si="17"/>
        <v>3093.166522865381</v>
      </c>
      <c r="Q27" s="20">
        <f t="shared" si="18"/>
        <v>2410.4027068591531</v>
      </c>
      <c r="R27" s="20">
        <f t="shared" si="19"/>
        <v>1871.6924819987605</v>
      </c>
      <c r="S27" s="20">
        <f t="shared" si="20"/>
        <v>1344.5593031733979</v>
      </c>
      <c r="T27" s="20">
        <f t="shared" si="21"/>
        <v>948.58863155691824</v>
      </c>
      <c r="U27" s="20">
        <f t="shared" si="22"/>
        <v>668.51449765568395</v>
      </c>
      <c r="V27" s="20">
        <f t="shared" si="23"/>
        <v>473.1899169204475</v>
      </c>
      <c r="W27" s="20">
        <f t="shared" si="24"/>
        <v>333.45153933937542</v>
      </c>
      <c r="X27" s="20">
        <f t="shared" si="25"/>
        <v>234.9793753058529</v>
      </c>
      <c r="Y27" s="20">
        <f t="shared" si="26"/>
        <v>597.03387119961371</v>
      </c>
      <c r="AA27" s="33">
        <v>8</v>
      </c>
      <c r="AB27" s="18">
        <v>0</v>
      </c>
      <c r="AC27" s="18">
        <v>0</v>
      </c>
      <c r="AD27" s="18">
        <v>44</v>
      </c>
      <c r="AE27" s="18">
        <v>351</v>
      </c>
      <c r="AF27" s="18">
        <v>212</v>
      </c>
      <c r="AG27" s="18">
        <v>129</v>
      </c>
      <c r="AH27" s="18">
        <v>80</v>
      </c>
      <c r="AI27" s="18">
        <v>37</v>
      </c>
      <c r="AJ27" s="18">
        <v>18</v>
      </c>
      <c r="AK27" s="18">
        <v>8</v>
      </c>
      <c r="AL27" s="16">
        <v>4</v>
      </c>
      <c r="AN27" s="47">
        <v>8</v>
      </c>
      <c r="AO27" s="42">
        <f t="shared" si="9"/>
        <v>2.6662706008235182E-9</v>
      </c>
      <c r="AP27" s="42">
        <f t="shared" si="9"/>
        <v>7.943099964778705E-6</v>
      </c>
      <c r="AQ27" s="42">
        <f t="shared" si="9"/>
        <v>3.6525057598242173E-3</v>
      </c>
      <c r="AR27" s="42">
        <f t="shared" si="9"/>
        <v>8.1506959920156552E-2</v>
      </c>
      <c r="AS27" s="42">
        <f t="shared" si="9"/>
        <v>9.9423571624784782E-2</v>
      </c>
      <c r="AT27" s="42">
        <f t="shared" si="9"/>
        <v>9.9965710356892903E-2</v>
      </c>
      <c r="AU27" s="42">
        <f t="shared" si="9"/>
        <v>9.9996123080004634E-2</v>
      </c>
      <c r="AV27" s="42">
        <f t="shared" si="9"/>
        <v>9.9999278124083879E-2</v>
      </c>
      <c r="AW27" s="42">
        <f t="shared" si="9"/>
        <v>9.9999802499644741E-2</v>
      </c>
      <c r="AX27" s="42">
        <f t="shared" si="9"/>
        <v>9.9999927298087085E-2</v>
      </c>
      <c r="AY27" s="42">
        <f t="shared" si="9"/>
        <v>9.9999966357194478E-2</v>
      </c>
    </row>
    <row r="28" spans="1:64">
      <c r="E28" s="94">
        <v>9</v>
      </c>
      <c r="F28" s="98">
        <f t="shared" si="15"/>
        <v>0.1</v>
      </c>
      <c r="G28" s="98">
        <v>0</v>
      </c>
      <c r="H28" s="18">
        <f t="shared" si="11"/>
        <v>644</v>
      </c>
      <c r="I28" s="18">
        <v>267.14062033052551</v>
      </c>
      <c r="J28" s="16">
        <f t="shared" si="12"/>
        <v>2.4107153723128931</v>
      </c>
      <c r="L28" s="35">
        <f t="shared" si="7"/>
        <v>18419.698160756601</v>
      </c>
      <c r="M28" s="20">
        <f t="shared" si="8"/>
        <v>15925.319809104769</v>
      </c>
      <c r="N28" s="21">
        <v>9</v>
      </c>
      <c r="O28" s="35">
        <f t="shared" si="16"/>
        <v>3968.3773557525924</v>
      </c>
      <c r="P28" s="20">
        <f t="shared" si="17"/>
        <v>3091.6836468019555</v>
      </c>
      <c r="Q28" s="20">
        <f t="shared" si="18"/>
        <v>2408.9413756396639</v>
      </c>
      <c r="R28" s="20">
        <f t="shared" si="19"/>
        <v>1870.3794525147907</v>
      </c>
      <c r="S28" s="20">
        <f t="shared" si="20"/>
        <v>1343.5779025951033</v>
      </c>
      <c r="T28" s="20">
        <f t="shared" si="21"/>
        <v>948.04124727016892</v>
      </c>
      <c r="U28" s="20">
        <f t="shared" si="22"/>
        <v>668.48203231805553</v>
      </c>
      <c r="V28" s="20">
        <f t="shared" si="23"/>
        <v>471.09603070033</v>
      </c>
      <c r="W28" s="20">
        <f t="shared" si="24"/>
        <v>333.45153933937542</v>
      </c>
      <c r="X28" s="20">
        <f t="shared" si="25"/>
        <v>234.97937467933428</v>
      </c>
      <c r="Y28" s="20">
        <f t="shared" si="26"/>
        <v>586.30985149339733</v>
      </c>
      <c r="AA28" s="33">
        <v>9</v>
      </c>
      <c r="AB28" s="18">
        <v>0</v>
      </c>
      <c r="AC28" s="18">
        <v>0</v>
      </c>
      <c r="AD28" s="18">
        <v>28</v>
      </c>
      <c r="AE28" s="18">
        <v>261</v>
      </c>
      <c r="AF28" s="18">
        <v>155</v>
      </c>
      <c r="AG28" s="18">
        <v>88</v>
      </c>
      <c r="AH28" s="18">
        <v>53</v>
      </c>
      <c r="AI28" s="18">
        <v>33</v>
      </c>
      <c r="AJ28" s="18">
        <v>15</v>
      </c>
      <c r="AK28" s="18">
        <v>8</v>
      </c>
      <c r="AL28" s="16">
        <v>3</v>
      </c>
      <c r="AN28" s="47">
        <v>9</v>
      </c>
      <c r="AO28" s="42">
        <f t="shared" si="9"/>
        <v>2.6662706008235182E-9</v>
      </c>
      <c r="AP28" s="42">
        <f t="shared" si="9"/>
        <v>7.943099964778705E-6</v>
      </c>
      <c r="AQ28" s="42">
        <f t="shared" si="9"/>
        <v>3.6525057598242173E-3</v>
      </c>
      <c r="AR28" s="42">
        <f t="shared" si="9"/>
        <v>8.1506959920156552E-2</v>
      </c>
      <c r="AS28" s="42">
        <f t="shared" si="9"/>
        <v>9.9423571624784782E-2</v>
      </c>
      <c r="AT28" s="42">
        <f t="shared" si="9"/>
        <v>9.9965710356892903E-2</v>
      </c>
      <c r="AU28" s="42">
        <f t="shared" si="9"/>
        <v>9.9996123080004634E-2</v>
      </c>
      <c r="AV28" s="42">
        <f t="shared" si="9"/>
        <v>9.9999278124083879E-2</v>
      </c>
      <c r="AW28" s="42">
        <f t="shared" si="9"/>
        <v>9.9999802499644741E-2</v>
      </c>
      <c r="AX28" s="42">
        <f t="shared" si="9"/>
        <v>9.9999927298087085E-2</v>
      </c>
      <c r="AY28" s="42">
        <f t="shared" si="9"/>
        <v>9.9999966357194478E-2</v>
      </c>
    </row>
    <row r="29" spans="1:64" ht="16" customHeight="1">
      <c r="E29" s="94">
        <v>10</v>
      </c>
      <c r="F29" s="98">
        <f t="shared" si="15"/>
        <v>0.1</v>
      </c>
      <c r="G29" s="98">
        <v>0</v>
      </c>
      <c r="H29" s="18">
        <f t="shared" si="11"/>
        <v>384</v>
      </c>
      <c r="I29" s="18">
        <v>102.62482144956589</v>
      </c>
      <c r="J29" s="16">
        <f t="shared" si="12"/>
        <v>3.7417848292063884</v>
      </c>
      <c r="L29" s="35">
        <f t="shared" si="7"/>
        <v>18347.89205195535</v>
      </c>
      <c r="M29" s="20">
        <f t="shared" si="8"/>
        <v>15909.780734001148</v>
      </c>
      <c r="N29" s="21">
        <v>10</v>
      </c>
      <c r="O29" s="35">
        <f t="shared" si="16"/>
        <v>3967.3111165003852</v>
      </c>
      <c r="P29" s="20">
        <f t="shared" si="17"/>
        <v>3090.5753839426397</v>
      </c>
      <c r="Q29" s="20">
        <f t="shared" si="18"/>
        <v>2407.7865197734423</v>
      </c>
      <c r="R29" s="20">
        <f t="shared" si="19"/>
        <v>1869.2455158997707</v>
      </c>
      <c r="S29" s="20">
        <f t="shared" si="20"/>
        <v>1342.6353559871084</v>
      </c>
      <c r="T29" s="20">
        <f t="shared" si="21"/>
        <v>947.34926720939939</v>
      </c>
      <c r="U29" s="20">
        <f t="shared" si="22"/>
        <v>668.09628390373553</v>
      </c>
      <c r="V29" s="20">
        <f t="shared" si="23"/>
        <v>471.07315267487843</v>
      </c>
      <c r="W29" s="20">
        <f t="shared" si="24"/>
        <v>331.97600159367772</v>
      </c>
      <c r="X29" s="20">
        <f t="shared" si="25"/>
        <v>234.97937467933428</v>
      </c>
      <c r="Y29" s="20">
        <f t="shared" si="26"/>
        <v>578.7527618367759</v>
      </c>
      <c r="AA29" s="33">
        <v>10</v>
      </c>
      <c r="AB29" s="18">
        <v>0</v>
      </c>
      <c r="AC29" s="18">
        <v>0</v>
      </c>
      <c r="AD29" s="18">
        <v>11</v>
      </c>
      <c r="AE29" s="18">
        <v>160</v>
      </c>
      <c r="AF29" s="18">
        <v>97</v>
      </c>
      <c r="AG29" s="18">
        <v>51</v>
      </c>
      <c r="AH29" s="18">
        <v>29</v>
      </c>
      <c r="AI29" s="18">
        <v>18</v>
      </c>
      <c r="AJ29" s="18">
        <v>11</v>
      </c>
      <c r="AK29" s="18">
        <v>5</v>
      </c>
      <c r="AL29" s="16">
        <v>2</v>
      </c>
      <c r="AN29" s="47">
        <v>10</v>
      </c>
      <c r="AO29" s="42">
        <f t="shared" si="9"/>
        <v>2.6662706008235182E-9</v>
      </c>
      <c r="AP29" s="42">
        <f t="shared" si="9"/>
        <v>7.943099964778705E-6</v>
      </c>
      <c r="AQ29" s="42">
        <f t="shared" si="9"/>
        <v>3.6525057598242173E-3</v>
      </c>
      <c r="AR29" s="42">
        <f t="shared" si="9"/>
        <v>8.1506959920156552E-2</v>
      </c>
      <c r="AS29" s="42">
        <f t="shared" si="9"/>
        <v>9.9423571624784782E-2</v>
      </c>
      <c r="AT29" s="42">
        <f t="shared" si="9"/>
        <v>9.9965710356892903E-2</v>
      </c>
      <c r="AU29" s="42">
        <f t="shared" si="9"/>
        <v>9.9996123080004634E-2</v>
      </c>
      <c r="AV29" s="42">
        <f t="shared" si="9"/>
        <v>9.9999278124083879E-2</v>
      </c>
      <c r="AW29" s="42">
        <f t="shared" si="9"/>
        <v>9.9999802499644741E-2</v>
      </c>
      <c r="AX29" s="42">
        <f t="shared" si="9"/>
        <v>9.9999927298087085E-2</v>
      </c>
      <c r="AY29" s="42">
        <f t="shared" si="9"/>
        <v>9.9999966357194478E-2</v>
      </c>
    </row>
    <row r="30" spans="1:64">
      <c r="E30" s="94">
        <v>11</v>
      </c>
      <c r="F30" s="98">
        <f t="shared" si="15"/>
        <v>0.1</v>
      </c>
      <c r="G30" s="98">
        <v>0</v>
      </c>
      <c r="H30" s="18">
        <f t="shared" si="11"/>
        <v>663</v>
      </c>
      <c r="I30" s="18">
        <v>260.44640221469183</v>
      </c>
      <c r="J30" s="16">
        <f t="shared" si="12"/>
        <v>2.545629328576688</v>
      </c>
      <c r="L30" s="35">
        <f t="shared" si="7"/>
        <v>18293.410653469193</v>
      </c>
      <c r="M30" s="20">
        <f t="shared" si="8"/>
        <v>15897.765642195855</v>
      </c>
      <c r="N30" s="21">
        <v>11</v>
      </c>
      <c r="O30" s="35">
        <f t="shared" si="16"/>
        <v>3966.5050034873775</v>
      </c>
      <c r="P30" s="20">
        <f t="shared" si="17"/>
        <v>3089.7449959802934</v>
      </c>
      <c r="Q30" s="20">
        <f t="shared" si="18"/>
        <v>2406.9234106465474</v>
      </c>
      <c r="R30" s="20">
        <f t="shared" si="19"/>
        <v>1868.3493923281158</v>
      </c>
      <c r="S30" s="20">
        <f t="shared" si="20"/>
        <v>1341.8213696119228</v>
      </c>
      <c r="T30" s="20">
        <f t="shared" si="21"/>
        <v>946.68468286585664</v>
      </c>
      <c r="U30" s="20">
        <f t="shared" si="22"/>
        <v>667.60863707563931</v>
      </c>
      <c r="V30" s="20">
        <f t="shared" si="23"/>
        <v>470.8013193078051</v>
      </c>
      <c r="W30" s="20">
        <f t="shared" si="24"/>
        <v>331.95987970998772</v>
      </c>
      <c r="X30" s="20">
        <f t="shared" si="25"/>
        <v>233.93958059865105</v>
      </c>
      <c r="Y30" s="20">
        <f t="shared" si="26"/>
        <v>573.42737058365719</v>
      </c>
      <c r="AA30" s="33">
        <v>11</v>
      </c>
      <c r="AB30" s="18">
        <v>0</v>
      </c>
      <c r="AC30" s="18">
        <v>0</v>
      </c>
      <c r="AD30" s="18">
        <v>29</v>
      </c>
      <c r="AE30" s="18">
        <v>258</v>
      </c>
      <c r="AF30" s="18">
        <v>179</v>
      </c>
      <c r="AG30" s="18">
        <v>91</v>
      </c>
      <c r="AH30" s="18">
        <v>48</v>
      </c>
      <c r="AI30" s="18">
        <v>27</v>
      </c>
      <c r="AJ30" s="18">
        <v>16</v>
      </c>
      <c r="AK30" s="18">
        <v>10</v>
      </c>
      <c r="AL30" s="16">
        <v>5</v>
      </c>
      <c r="AN30" s="47">
        <v>11</v>
      </c>
      <c r="AO30" s="42">
        <f t="shared" si="9"/>
        <v>2.6662706008235182E-9</v>
      </c>
      <c r="AP30" s="42">
        <f t="shared" si="9"/>
        <v>7.943099964778705E-6</v>
      </c>
      <c r="AQ30" s="42">
        <f t="shared" si="9"/>
        <v>3.6525057598242173E-3</v>
      </c>
      <c r="AR30" s="42">
        <f t="shared" si="9"/>
        <v>8.1506959920156552E-2</v>
      </c>
      <c r="AS30" s="42">
        <f t="shared" si="9"/>
        <v>9.9423571624784782E-2</v>
      </c>
      <c r="AT30" s="42">
        <f t="shared" si="9"/>
        <v>9.9965710356892903E-2</v>
      </c>
      <c r="AU30" s="42">
        <f t="shared" si="9"/>
        <v>9.9996123080004634E-2</v>
      </c>
      <c r="AV30" s="42">
        <f t="shared" si="9"/>
        <v>9.9999278124083879E-2</v>
      </c>
      <c r="AW30" s="42">
        <f t="shared" si="9"/>
        <v>9.9999802499644741E-2</v>
      </c>
      <c r="AX30" s="42">
        <f t="shared" si="9"/>
        <v>9.9999927298087085E-2</v>
      </c>
      <c r="AY30" s="42">
        <f t="shared" si="9"/>
        <v>9.9999966357194478E-2</v>
      </c>
    </row>
    <row r="31" spans="1:64" ht="17" customHeight="1">
      <c r="E31" s="94">
        <v>12</v>
      </c>
      <c r="F31" s="98">
        <f t="shared" ref="F31" si="27">MAX(0.000001,Fbar+G31)</f>
        <v>0.1</v>
      </c>
      <c r="G31" s="98">
        <v>0</v>
      </c>
      <c r="H31" s="18">
        <f t="shared" si="11"/>
        <v>600</v>
      </c>
      <c r="I31" s="18">
        <v>313.43959449316407</v>
      </c>
      <c r="J31" s="16">
        <f t="shared" si="12"/>
        <v>1.9142444366998619</v>
      </c>
      <c r="L31" s="35">
        <f t="shared" si="7"/>
        <v>18251.645943390271</v>
      </c>
      <c r="M31" s="20">
        <f t="shared" si="8"/>
        <v>15888.488194720161</v>
      </c>
      <c r="N31" s="21">
        <v>12</v>
      </c>
      <c r="O31" s="35">
        <f t="shared" ref="O31" si="28">(bha*L30)/(1+bhb*L30)</f>
        <v>3965.8893803285373</v>
      </c>
      <c r="P31" s="20">
        <f t="shared" si="17"/>
        <v>3089.1171945361925</v>
      </c>
      <c r="Q31" s="20">
        <f t="shared" si="18"/>
        <v>2406.2767089880554</v>
      </c>
      <c r="R31" s="20">
        <f t="shared" si="19"/>
        <v>1867.6796529639721</v>
      </c>
      <c r="S31" s="20">
        <f t="shared" si="20"/>
        <v>1341.178095227669</v>
      </c>
      <c r="T31" s="20">
        <f t="shared" si="21"/>
        <v>946.11074562369083</v>
      </c>
      <c r="U31" s="20">
        <f t="shared" si="22"/>
        <v>667.1402963451701</v>
      </c>
      <c r="V31" s="20">
        <f t="shared" si="23"/>
        <v>470.45767906379342</v>
      </c>
      <c r="W31" s="20">
        <f t="shared" si="24"/>
        <v>331.76832183554205</v>
      </c>
      <c r="X31" s="20">
        <f t="shared" si="25"/>
        <v>233.92821969698707</v>
      </c>
      <c r="Y31" s="20">
        <f t="shared" si="26"/>
        <v>568.94190011055116</v>
      </c>
      <c r="AA31" s="33">
        <v>12</v>
      </c>
      <c r="AB31" s="18">
        <v>0</v>
      </c>
      <c r="AC31" s="18">
        <v>0</v>
      </c>
      <c r="AD31" s="18">
        <v>32</v>
      </c>
      <c r="AE31" s="18">
        <v>247</v>
      </c>
      <c r="AF31" s="18">
        <v>139</v>
      </c>
      <c r="AG31" s="18">
        <v>88</v>
      </c>
      <c r="AH31" s="18">
        <v>45</v>
      </c>
      <c r="AI31" s="18">
        <v>23</v>
      </c>
      <c r="AJ31" s="18">
        <v>13</v>
      </c>
      <c r="AK31" s="18">
        <v>8</v>
      </c>
      <c r="AL31" s="16">
        <v>5</v>
      </c>
      <c r="AN31" s="47">
        <v>12</v>
      </c>
      <c r="AO31" s="42">
        <f t="shared" si="9"/>
        <v>2.6662706008235182E-9</v>
      </c>
      <c r="AP31" s="42">
        <f t="shared" si="9"/>
        <v>7.943099964778705E-6</v>
      </c>
      <c r="AQ31" s="42">
        <f t="shared" si="9"/>
        <v>3.6525057598242173E-3</v>
      </c>
      <c r="AR31" s="42">
        <f t="shared" si="9"/>
        <v>8.1506959920156552E-2</v>
      </c>
      <c r="AS31" s="42">
        <f t="shared" si="9"/>
        <v>9.9423571624784782E-2</v>
      </c>
      <c r="AT31" s="42">
        <f t="shared" si="9"/>
        <v>9.9965710356892903E-2</v>
      </c>
      <c r="AU31" s="42">
        <f t="shared" si="9"/>
        <v>9.9996123080004634E-2</v>
      </c>
      <c r="AV31" s="42">
        <f t="shared" si="9"/>
        <v>9.9999278124083879E-2</v>
      </c>
      <c r="AW31" s="42">
        <f t="shared" si="9"/>
        <v>9.9999802499644741E-2</v>
      </c>
      <c r="AX31" s="42">
        <f t="shared" si="9"/>
        <v>9.9999927298087085E-2</v>
      </c>
      <c r="AY31" s="42">
        <f t="shared" si="9"/>
        <v>9.9999966357194478E-2</v>
      </c>
    </row>
    <row r="32" spans="1:64">
      <c r="E32" s="94">
        <v>13</v>
      </c>
      <c r="F32" s="98">
        <f t="shared" ref="F32:F39" si="29">MAX(0.000001,Fbar+G32)</f>
        <v>0.1</v>
      </c>
      <c r="G32" s="98">
        <v>0</v>
      </c>
      <c r="H32" s="18">
        <f t="shared" si="11"/>
        <v>499</v>
      </c>
      <c r="I32" s="18">
        <v>361.11903794262292</v>
      </c>
      <c r="J32" s="16">
        <f t="shared" si="12"/>
        <v>1.3818158212951501</v>
      </c>
      <c r="L32" s="35">
        <f t="shared" si="7"/>
        <v>18219.66860719589</v>
      </c>
      <c r="M32" s="20">
        <f t="shared" si="8"/>
        <v>15881.328873075208</v>
      </c>
      <c r="N32" s="21">
        <v>13</v>
      </c>
      <c r="O32" s="35">
        <f t="shared" ref="O32:O38" si="30">(bha*L31)/(1+bhb*L31)</f>
        <v>3965.4150936105962</v>
      </c>
      <c r="P32" s="20">
        <f t="shared" si="17"/>
        <v>3088.6377467392895</v>
      </c>
      <c r="Q32" s="20">
        <f t="shared" si="18"/>
        <v>2405.7877806153983</v>
      </c>
      <c r="R32" s="20">
        <f t="shared" si="19"/>
        <v>1867.1778374414002</v>
      </c>
      <c r="S32" s="20">
        <f t="shared" si="20"/>
        <v>1340.6973287455594</v>
      </c>
      <c r="T32" s="20">
        <f t="shared" si="21"/>
        <v>945.65717645188442</v>
      </c>
      <c r="U32" s="20">
        <f t="shared" si="22"/>
        <v>666.73583573779774</v>
      </c>
      <c r="V32" s="20">
        <f t="shared" si="23"/>
        <v>470.12764364958321</v>
      </c>
      <c r="W32" s="20">
        <f t="shared" si="24"/>
        <v>331.52616247363005</v>
      </c>
      <c r="X32" s="20">
        <f t="shared" si="25"/>
        <v>233.79323111771311</v>
      </c>
      <c r="Y32" s="20">
        <f t="shared" si="26"/>
        <v>565.77303649235512</v>
      </c>
      <c r="AA32" s="33">
        <v>13</v>
      </c>
      <c r="AB32" s="18">
        <v>0</v>
      </c>
      <c r="AC32" s="18">
        <v>0</v>
      </c>
      <c r="AD32" s="18">
        <v>28</v>
      </c>
      <c r="AE32" s="18">
        <v>209</v>
      </c>
      <c r="AF32" s="18">
        <v>118</v>
      </c>
      <c r="AG32" s="18">
        <v>63</v>
      </c>
      <c r="AH32" s="18">
        <v>40</v>
      </c>
      <c r="AI32" s="18">
        <v>20</v>
      </c>
      <c r="AJ32" s="18">
        <v>11</v>
      </c>
      <c r="AK32" s="18">
        <v>6</v>
      </c>
      <c r="AL32" s="16">
        <v>4</v>
      </c>
      <c r="AN32" s="47">
        <v>13</v>
      </c>
      <c r="AO32" s="42">
        <f t="shared" si="9"/>
        <v>2.6662706008235182E-9</v>
      </c>
      <c r="AP32" s="42">
        <f t="shared" si="9"/>
        <v>7.943099964778705E-6</v>
      </c>
      <c r="AQ32" s="42">
        <f t="shared" si="9"/>
        <v>3.6525057598242173E-3</v>
      </c>
      <c r="AR32" s="42">
        <f t="shared" si="9"/>
        <v>8.1506959920156552E-2</v>
      </c>
      <c r="AS32" s="42">
        <f t="shared" si="9"/>
        <v>9.9423571624784782E-2</v>
      </c>
      <c r="AT32" s="42">
        <f t="shared" si="9"/>
        <v>9.9965710356892903E-2</v>
      </c>
      <c r="AU32" s="42">
        <f t="shared" si="9"/>
        <v>9.9996123080004634E-2</v>
      </c>
      <c r="AV32" s="42">
        <f t="shared" si="9"/>
        <v>9.9999278124083879E-2</v>
      </c>
      <c r="AW32" s="42">
        <f t="shared" si="9"/>
        <v>9.9999802499644741E-2</v>
      </c>
      <c r="AX32" s="42">
        <f t="shared" si="9"/>
        <v>9.9999927298087085E-2</v>
      </c>
      <c r="AY32" s="42">
        <f t="shared" si="9"/>
        <v>9.9999966357194478E-2</v>
      </c>
    </row>
    <row r="33" spans="5:64">
      <c r="E33" s="94">
        <v>14</v>
      </c>
      <c r="F33" s="98">
        <f t="shared" si="29"/>
        <v>0.1</v>
      </c>
      <c r="G33" s="98">
        <v>0</v>
      </c>
      <c r="H33" s="18">
        <f t="shared" si="11"/>
        <v>464</v>
      </c>
      <c r="I33" s="18">
        <v>559.29771094199009</v>
      </c>
      <c r="J33" s="16">
        <f t="shared" si="12"/>
        <v>0.8296118344888519</v>
      </c>
      <c r="L33" s="35">
        <f t="shared" si="7"/>
        <v>18195.001231113783</v>
      </c>
      <c r="M33" s="20">
        <f t="shared" si="8"/>
        <v>15875.806915478322</v>
      </c>
      <c r="N33" s="21">
        <v>14</v>
      </c>
      <c r="O33" s="35">
        <f t="shared" si="30"/>
        <v>3965.0505612246502</v>
      </c>
      <c r="P33" s="20">
        <f t="shared" si="17"/>
        <v>3088.2683718729413</v>
      </c>
      <c r="Q33" s="20">
        <f t="shared" si="18"/>
        <v>2405.4143892616253</v>
      </c>
      <c r="R33" s="20">
        <f t="shared" si="19"/>
        <v>1866.7984478981648</v>
      </c>
      <c r="S33" s="20">
        <f t="shared" si="20"/>
        <v>1340.3371049086891</v>
      </c>
      <c r="T33" s="20">
        <f t="shared" si="21"/>
        <v>945.31819069330231</v>
      </c>
      <c r="U33" s="20">
        <f t="shared" si="22"/>
        <v>666.41619998455417</v>
      </c>
      <c r="V33" s="20">
        <f t="shared" si="23"/>
        <v>469.84262397181112</v>
      </c>
      <c r="W33" s="20">
        <f t="shared" si="24"/>
        <v>331.2935902801625</v>
      </c>
      <c r="X33" s="20">
        <f t="shared" si="25"/>
        <v>233.62258426585703</v>
      </c>
      <c r="Y33" s="20">
        <f t="shared" si="26"/>
        <v>563.44485111656491</v>
      </c>
      <c r="AA33" s="33">
        <v>14</v>
      </c>
      <c r="AB33" s="18">
        <v>0</v>
      </c>
      <c r="AC33" s="18">
        <v>0</v>
      </c>
      <c r="AD33" s="18">
        <v>45</v>
      </c>
      <c r="AE33" s="18">
        <v>200</v>
      </c>
      <c r="AF33" s="18">
        <v>101</v>
      </c>
      <c r="AG33" s="18">
        <v>54</v>
      </c>
      <c r="AH33" s="18">
        <v>29</v>
      </c>
      <c r="AI33" s="18">
        <v>18</v>
      </c>
      <c r="AJ33" s="18">
        <v>9</v>
      </c>
      <c r="AK33" s="18">
        <v>5</v>
      </c>
      <c r="AL33" s="16">
        <v>3</v>
      </c>
      <c r="AN33" s="47">
        <v>14</v>
      </c>
      <c r="AO33" s="42">
        <f t="shared" si="9"/>
        <v>2.6662706008235182E-9</v>
      </c>
      <c r="AP33" s="42">
        <f t="shared" si="9"/>
        <v>7.943099964778705E-6</v>
      </c>
      <c r="AQ33" s="42">
        <f t="shared" si="9"/>
        <v>3.6525057598242173E-3</v>
      </c>
      <c r="AR33" s="42">
        <f t="shared" si="9"/>
        <v>8.1506959920156552E-2</v>
      </c>
      <c r="AS33" s="42">
        <f t="shared" si="9"/>
        <v>9.9423571624784782E-2</v>
      </c>
      <c r="AT33" s="42">
        <f t="shared" si="9"/>
        <v>9.9965710356892903E-2</v>
      </c>
      <c r="AU33" s="42">
        <f t="shared" si="9"/>
        <v>9.9996123080004634E-2</v>
      </c>
      <c r="AV33" s="42">
        <f t="shared" si="9"/>
        <v>9.9999278124083879E-2</v>
      </c>
      <c r="AW33" s="42">
        <f t="shared" si="9"/>
        <v>9.9999802499644741E-2</v>
      </c>
      <c r="AX33" s="42">
        <f t="shared" si="9"/>
        <v>9.9999927298087085E-2</v>
      </c>
      <c r="AY33" s="42">
        <f t="shared" si="9"/>
        <v>9.9999966357194478E-2</v>
      </c>
    </row>
    <row r="34" spans="5:64" ht="16" customHeight="1">
      <c r="E34" s="94">
        <v>15</v>
      </c>
      <c r="F34" s="98">
        <f t="shared" si="29"/>
        <v>0.1</v>
      </c>
      <c r="G34" s="98">
        <v>0</v>
      </c>
      <c r="H34" s="18">
        <f t="shared" si="11"/>
        <v>432</v>
      </c>
      <c r="I34" s="18">
        <v>441.87612290874796</v>
      </c>
      <c r="J34" s="16">
        <f t="shared" si="12"/>
        <v>0.97764956648090373</v>
      </c>
      <c r="L34" s="35">
        <f t="shared" si="7"/>
        <v>18175.916957697998</v>
      </c>
      <c r="M34" s="20">
        <f t="shared" si="8"/>
        <v>15871.547479127526</v>
      </c>
      <c r="N34" s="21">
        <v>15</v>
      </c>
      <c r="O34" s="35">
        <f t="shared" si="30"/>
        <v>3964.7685308275559</v>
      </c>
      <c r="P34" s="20">
        <f t="shared" si="17"/>
        <v>3087.9844737660687</v>
      </c>
      <c r="Q34" s="20">
        <f t="shared" si="18"/>
        <v>2405.1267221114445</v>
      </c>
      <c r="R34" s="20">
        <f t="shared" si="19"/>
        <v>1866.5087106215444</v>
      </c>
      <c r="S34" s="20">
        <f t="shared" si="20"/>
        <v>1340.06476347885</v>
      </c>
      <c r="T34" s="20">
        <f t="shared" si="21"/>
        <v>945.06419887992752</v>
      </c>
      <c r="U34" s="20">
        <f t="shared" si="22"/>
        <v>666.17731256667321</v>
      </c>
      <c r="V34" s="20">
        <f t="shared" si="23"/>
        <v>469.61737959019939</v>
      </c>
      <c r="W34" s="20">
        <f t="shared" si="24"/>
        <v>331.09274016291226</v>
      </c>
      <c r="X34" s="20">
        <f t="shared" si="25"/>
        <v>233.45869337875217</v>
      </c>
      <c r="Y34" s="20">
        <f t="shared" si="26"/>
        <v>561.68395374359875</v>
      </c>
      <c r="AA34" s="33">
        <v>15</v>
      </c>
      <c r="AB34" s="18">
        <v>0</v>
      </c>
      <c r="AC34" s="18">
        <v>0</v>
      </c>
      <c r="AD34" s="18">
        <v>37</v>
      </c>
      <c r="AE34" s="18">
        <v>206</v>
      </c>
      <c r="AF34" s="18">
        <v>90</v>
      </c>
      <c r="AG34" s="18">
        <v>47</v>
      </c>
      <c r="AH34" s="18">
        <v>25</v>
      </c>
      <c r="AI34" s="18">
        <v>13</v>
      </c>
      <c r="AJ34" s="18">
        <v>8</v>
      </c>
      <c r="AK34" s="18">
        <v>4</v>
      </c>
      <c r="AL34" s="16">
        <v>2</v>
      </c>
      <c r="AN34" s="47">
        <v>15</v>
      </c>
      <c r="AO34" s="42">
        <f t="shared" si="9"/>
        <v>2.6662706008235182E-9</v>
      </c>
      <c r="AP34" s="42">
        <f t="shared" si="9"/>
        <v>7.943099964778705E-6</v>
      </c>
      <c r="AQ34" s="42">
        <f t="shared" si="9"/>
        <v>3.6525057598242173E-3</v>
      </c>
      <c r="AR34" s="42">
        <f t="shared" si="9"/>
        <v>8.1506959920156552E-2</v>
      </c>
      <c r="AS34" s="42">
        <f t="shared" si="9"/>
        <v>9.9423571624784782E-2</v>
      </c>
      <c r="AT34" s="42">
        <f t="shared" si="9"/>
        <v>9.9965710356892903E-2</v>
      </c>
      <c r="AU34" s="42">
        <f t="shared" si="9"/>
        <v>9.9996123080004634E-2</v>
      </c>
      <c r="AV34" s="42">
        <f t="shared" si="9"/>
        <v>9.9999278124083879E-2</v>
      </c>
      <c r="AW34" s="42">
        <f t="shared" si="9"/>
        <v>9.9999802499644741E-2</v>
      </c>
      <c r="AX34" s="42">
        <f t="shared" si="9"/>
        <v>9.9999927298087085E-2</v>
      </c>
      <c r="AY34" s="42">
        <f t="shared" si="9"/>
        <v>9.9999966357194478E-2</v>
      </c>
    </row>
    <row r="35" spans="5:64">
      <c r="E35" s="94">
        <v>16</v>
      </c>
      <c r="F35" s="98">
        <f t="shared" si="29"/>
        <v>0.1</v>
      </c>
      <c r="G35" s="98">
        <v>0</v>
      </c>
      <c r="H35" s="18">
        <f t="shared" si="11"/>
        <v>393</v>
      </c>
      <c r="I35" s="18">
        <v>524.98794467934135</v>
      </c>
      <c r="J35" s="16">
        <f t="shared" si="12"/>
        <v>0.74858861804920385</v>
      </c>
      <c r="L35" s="35">
        <f t="shared" si="7"/>
        <v>18161.145939370337</v>
      </c>
      <c r="M35" s="20">
        <f t="shared" si="8"/>
        <v>15868.26083825477</v>
      </c>
      <c r="N35" s="21">
        <v>16</v>
      </c>
      <c r="O35" s="35">
        <f t="shared" si="30"/>
        <v>3964.5498363134043</v>
      </c>
      <c r="P35" s="20">
        <f t="shared" si="17"/>
        <v>3087.7648282725472</v>
      </c>
      <c r="Q35" s="20">
        <f t="shared" si="18"/>
        <v>2404.9056237997124</v>
      </c>
      <c r="R35" s="20">
        <f t="shared" si="19"/>
        <v>1866.2854920177274</v>
      </c>
      <c r="S35" s="20">
        <f t="shared" si="20"/>
        <v>1339.8567781360816</v>
      </c>
      <c r="T35" s="20">
        <f t="shared" si="21"/>
        <v>944.872172460402</v>
      </c>
      <c r="U35" s="20">
        <f t="shared" si="22"/>
        <v>665.99832142346474</v>
      </c>
      <c r="V35" s="20">
        <f t="shared" si="23"/>
        <v>469.44903781938871</v>
      </c>
      <c r="W35" s="20">
        <f t="shared" si="24"/>
        <v>330.93401301533316</v>
      </c>
      <c r="X35" s="20">
        <f t="shared" si="25"/>
        <v>233.31715666535376</v>
      </c>
      <c r="Y35" s="20">
        <f t="shared" si="26"/>
        <v>560.32757833135304</v>
      </c>
      <c r="AA35" s="33">
        <v>16</v>
      </c>
      <c r="AB35" s="18">
        <v>0</v>
      </c>
      <c r="AC35" s="18">
        <v>0</v>
      </c>
      <c r="AD35" s="18">
        <v>32</v>
      </c>
      <c r="AE35" s="18">
        <v>180</v>
      </c>
      <c r="AF35" s="18">
        <v>93</v>
      </c>
      <c r="AG35" s="18">
        <v>42</v>
      </c>
      <c r="AH35" s="18">
        <v>22</v>
      </c>
      <c r="AI35" s="18">
        <v>12</v>
      </c>
      <c r="AJ35" s="18">
        <v>6</v>
      </c>
      <c r="AK35" s="18">
        <v>4</v>
      </c>
      <c r="AL35" s="16">
        <v>2</v>
      </c>
      <c r="AN35" s="47">
        <v>16</v>
      </c>
      <c r="AO35" s="42">
        <f t="shared" si="9"/>
        <v>2.6662706008235182E-9</v>
      </c>
      <c r="AP35" s="42">
        <f t="shared" si="9"/>
        <v>7.943099964778705E-6</v>
      </c>
      <c r="AQ35" s="42">
        <f t="shared" si="9"/>
        <v>3.6525057598242173E-3</v>
      </c>
      <c r="AR35" s="42">
        <f t="shared" si="9"/>
        <v>8.1506959920156552E-2</v>
      </c>
      <c r="AS35" s="42">
        <f t="shared" si="9"/>
        <v>9.9423571624784782E-2</v>
      </c>
      <c r="AT35" s="42">
        <f t="shared" si="9"/>
        <v>9.9965710356892903E-2</v>
      </c>
      <c r="AU35" s="42">
        <f t="shared" si="9"/>
        <v>9.9996123080004634E-2</v>
      </c>
      <c r="AV35" s="42">
        <f t="shared" si="9"/>
        <v>9.9999278124083879E-2</v>
      </c>
      <c r="AW35" s="42">
        <f t="shared" si="9"/>
        <v>9.9999802499644741E-2</v>
      </c>
      <c r="AX35" s="42">
        <f t="shared" si="9"/>
        <v>9.9999927298087085E-2</v>
      </c>
      <c r="AY35" s="42">
        <f t="shared" si="9"/>
        <v>9.9999966357194478E-2</v>
      </c>
    </row>
    <row r="36" spans="5:64">
      <c r="E36" s="94">
        <v>17</v>
      </c>
      <c r="F36" s="98">
        <f t="shared" si="29"/>
        <v>0.1</v>
      </c>
      <c r="G36" s="98">
        <v>0</v>
      </c>
      <c r="H36" s="18">
        <f t="shared" si="11"/>
        <v>336</v>
      </c>
      <c r="I36" s="18">
        <v>605.38595561470254</v>
      </c>
      <c r="J36" s="16">
        <f t="shared" si="12"/>
        <v>0.55501783099482238</v>
      </c>
      <c r="L36" s="35">
        <f t="shared" si="7"/>
        <v>18149.72127584702</v>
      </c>
      <c r="M36" s="20">
        <f t="shared" si="8"/>
        <v>15865.723946084621</v>
      </c>
      <c r="N36" s="21">
        <v>17</v>
      </c>
      <c r="O36" s="35">
        <f t="shared" si="30"/>
        <v>3964.380270223548</v>
      </c>
      <c r="P36" s="20">
        <f t="shared" si="17"/>
        <v>3087.5945088141266</v>
      </c>
      <c r="Q36" s="20">
        <f t="shared" si="18"/>
        <v>2404.7345650761017</v>
      </c>
      <c r="R36" s="20">
        <f t="shared" si="19"/>
        <v>1866.113928262811</v>
      </c>
      <c r="S36" s="20">
        <f t="shared" si="20"/>
        <v>1339.6965426345657</v>
      </c>
      <c r="T36" s="20">
        <f t="shared" si="21"/>
        <v>944.72552315805694</v>
      </c>
      <c r="U36" s="20">
        <f t="shared" si="22"/>
        <v>665.86299805260319</v>
      </c>
      <c r="V36" s="20">
        <f t="shared" si="23"/>
        <v>469.32290440359634</v>
      </c>
      <c r="W36" s="20">
        <f t="shared" si="24"/>
        <v>330.81538448880565</v>
      </c>
      <c r="X36" s="20">
        <f t="shared" si="25"/>
        <v>233.20530351284873</v>
      </c>
      <c r="Y36" s="20">
        <f t="shared" si="26"/>
        <v>559.2720174575586</v>
      </c>
      <c r="AA36" s="33">
        <v>17</v>
      </c>
      <c r="AB36" s="18">
        <v>0</v>
      </c>
      <c r="AC36" s="18">
        <v>0</v>
      </c>
      <c r="AD36" s="18">
        <v>35</v>
      </c>
      <c r="AE36" s="18">
        <v>149</v>
      </c>
      <c r="AF36" s="18">
        <v>76</v>
      </c>
      <c r="AG36" s="18">
        <v>40</v>
      </c>
      <c r="AH36" s="18">
        <v>18</v>
      </c>
      <c r="AI36" s="18">
        <v>9</v>
      </c>
      <c r="AJ36" s="18">
        <v>5</v>
      </c>
      <c r="AK36" s="18">
        <v>3</v>
      </c>
      <c r="AL36" s="16">
        <v>1</v>
      </c>
      <c r="AN36" s="47">
        <v>17</v>
      </c>
      <c r="AO36" s="42">
        <f t="shared" si="9"/>
        <v>2.6662706008235182E-9</v>
      </c>
      <c r="AP36" s="42">
        <f t="shared" si="9"/>
        <v>7.943099964778705E-6</v>
      </c>
      <c r="AQ36" s="42">
        <f t="shared" si="9"/>
        <v>3.6525057598242173E-3</v>
      </c>
      <c r="AR36" s="42">
        <f t="shared" si="9"/>
        <v>8.1506959920156552E-2</v>
      </c>
      <c r="AS36" s="42">
        <f t="shared" si="9"/>
        <v>9.9423571624784782E-2</v>
      </c>
      <c r="AT36" s="42">
        <f t="shared" si="9"/>
        <v>9.9965710356892903E-2</v>
      </c>
      <c r="AU36" s="42">
        <f t="shared" si="9"/>
        <v>9.9996123080004634E-2</v>
      </c>
      <c r="AV36" s="42">
        <f t="shared" si="9"/>
        <v>9.9999278124083879E-2</v>
      </c>
      <c r="AW36" s="42">
        <f t="shared" si="9"/>
        <v>9.9999802499644741E-2</v>
      </c>
      <c r="AX36" s="42">
        <f t="shared" si="9"/>
        <v>9.9999927298087085E-2</v>
      </c>
      <c r="AY36" s="42">
        <f t="shared" si="9"/>
        <v>9.9999966357194478E-2</v>
      </c>
    </row>
    <row r="37" spans="5:64" ht="16" customHeight="1">
      <c r="E37" s="94">
        <v>18</v>
      </c>
      <c r="F37" s="98">
        <f t="shared" si="29"/>
        <v>0.1</v>
      </c>
      <c r="G37" s="98">
        <v>0</v>
      </c>
      <c r="H37" s="18">
        <f t="shared" si="11"/>
        <v>285</v>
      </c>
      <c r="I37" s="18">
        <v>710.6361708201398</v>
      </c>
      <c r="J37" s="16">
        <f t="shared" si="12"/>
        <v>0.40104910459466714</v>
      </c>
      <c r="L37" s="35">
        <f t="shared" si="7"/>
        <v>18140.894514473985</v>
      </c>
      <c r="M37" s="20">
        <f t="shared" si="8"/>
        <v>15863.765191526929</v>
      </c>
      <c r="N37" s="21">
        <v>18</v>
      </c>
      <c r="O37" s="35">
        <f t="shared" si="30"/>
        <v>3964.2489397852119</v>
      </c>
      <c r="P37" s="20">
        <f t="shared" si="17"/>
        <v>3087.4624506109162</v>
      </c>
      <c r="Q37" s="20">
        <f t="shared" si="18"/>
        <v>2404.6019212021192</v>
      </c>
      <c r="R37" s="20">
        <f t="shared" si="19"/>
        <v>1865.9811932966145</v>
      </c>
      <c r="S37" s="20">
        <f t="shared" si="20"/>
        <v>1339.5733871097086</v>
      </c>
      <c r="T37" s="20">
        <f t="shared" si="21"/>
        <v>944.61254200181077</v>
      </c>
      <c r="U37" s="20">
        <f t="shared" si="22"/>
        <v>665.75965249225351</v>
      </c>
      <c r="V37" s="20">
        <f t="shared" si="23"/>
        <v>469.22754326618281</v>
      </c>
      <c r="W37" s="20">
        <f t="shared" si="24"/>
        <v>330.72649970881747</v>
      </c>
      <c r="X37" s="20">
        <f t="shared" si="25"/>
        <v>233.12170738659364</v>
      </c>
      <c r="Y37" s="20">
        <f t="shared" si="26"/>
        <v>558.44935466669938</v>
      </c>
      <c r="AA37" s="33">
        <v>18</v>
      </c>
      <c r="AB37" s="18">
        <v>0</v>
      </c>
      <c r="AC37" s="18">
        <v>0</v>
      </c>
      <c r="AD37" s="18">
        <v>35</v>
      </c>
      <c r="AE37" s="18">
        <v>121</v>
      </c>
      <c r="AF37" s="18">
        <v>62</v>
      </c>
      <c r="AG37" s="18">
        <v>34</v>
      </c>
      <c r="AH37" s="18">
        <v>18</v>
      </c>
      <c r="AI37" s="18">
        <v>8</v>
      </c>
      <c r="AJ37" s="18">
        <v>4</v>
      </c>
      <c r="AK37" s="18">
        <v>2</v>
      </c>
      <c r="AL37" s="16">
        <v>1</v>
      </c>
      <c r="AN37" s="47">
        <v>18</v>
      </c>
      <c r="AO37" s="42">
        <f t="shared" si="9"/>
        <v>2.6662706008235182E-9</v>
      </c>
      <c r="AP37" s="42">
        <f t="shared" si="9"/>
        <v>7.943099964778705E-6</v>
      </c>
      <c r="AQ37" s="42">
        <f t="shared" si="9"/>
        <v>3.6525057598242173E-3</v>
      </c>
      <c r="AR37" s="42">
        <f t="shared" si="9"/>
        <v>8.1506959920156552E-2</v>
      </c>
      <c r="AS37" s="42">
        <f t="shared" si="9"/>
        <v>9.9423571624784782E-2</v>
      </c>
      <c r="AT37" s="42">
        <f t="shared" si="9"/>
        <v>9.9965710356892903E-2</v>
      </c>
      <c r="AU37" s="42">
        <f t="shared" si="9"/>
        <v>9.9996123080004634E-2</v>
      </c>
      <c r="AV37" s="42">
        <f t="shared" si="9"/>
        <v>9.9999278124083879E-2</v>
      </c>
      <c r="AW37" s="42">
        <f t="shared" si="9"/>
        <v>9.9999802499644741E-2</v>
      </c>
      <c r="AX37" s="42">
        <f t="shared" si="9"/>
        <v>9.9999927298087085E-2</v>
      </c>
      <c r="AY37" s="42">
        <f t="shared" si="9"/>
        <v>9.9999966357194478E-2</v>
      </c>
    </row>
    <row r="38" spans="5:64">
      <c r="E38" s="94">
        <v>19</v>
      </c>
      <c r="F38" s="98">
        <f t="shared" si="29"/>
        <v>0.1</v>
      </c>
      <c r="G38" s="98">
        <v>0</v>
      </c>
      <c r="H38" s="18">
        <f t="shared" si="11"/>
        <v>260</v>
      </c>
      <c r="I38" s="18">
        <v>688.61433936124547</v>
      </c>
      <c r="J38" s="16">
        <f t="shared" si="12"/>
        <v>0.37756983138221378</v>
      </c>
      <c r="L38" s="35">
        <f t="shared" si="7"/>
        <v>18134.080757748467</v>
      </c>
      <c r="M38" s="20">
        <f t="shared" si="8"/>
        <v>15862.252533954628</v>
      </c>
      <c r="N38" s="21">
        <v>19</v>
      </c>
      <c r="O38" s="35">
        <f t="shared" si="30"/>
        <v>3964.1473658223608</v>
      </c>
      <c r="P38" s="20">
        <f t="shared" si="17"/>
        <v>3087.360170362972</v>
      </c>
      <c r="Q38" s="20">
        <f t="shared" si="18"/>
        <v>2404.4990749869689</v>
      </c>
      <c r="R38" s="20">
        <f t="shared" si="19"/>
        <v>1865.8782667708133</v>
      </c>
      <c r="S38" s="20">
        <f t="shared" si="20"/>
        <v>1339.4781044875906</v>
      </c>
      <c r="T38" s="20">
        <f t="shared" si="21"/>
        <v>944.52570572979346</v>
      </c>
      <c r="U38" s="20">
        <f t="shared" si="22"/>
        <v>665.68003328701684</v>
      </c>
      <c r="V38" s="20">
        <f t="shared" si="23"/>
        <v>469.15471659833651</v>
      </c>
      <c r="W38" s="20">
        <f t="shared" si="24"/>
        <v>330.65929980255015</v>
      </c>
      <c r="X38" s="20">
        <f t="shared" si="25"/>
        <v>233.05907132840807</v>
      </c>
      <c r="Y38" s="20">
        <f t="shared" si="26"/>
        <v>557.81072477782129</v>
      </c>
      <c r="AA38" s="33">
        <v>19</v>
      </c>
      <c r="AB38" s="18">
        <v>0</v>
      </c>
      <c r="AC38" s="18">
        <v>0</v>
      </c>
      <c r="AD38" s="18">
        <v>29</v>
      </c>
      <c r="AE38" s="18">
        <v>109</v>
      </c>
      <c r="AF38" s="18">
        <v>56</v>
      </c>
      <c r="AG38" s="18">
        <v>32</v>
      </c>
      <c r="AH38" s="18">
        <v>18</v>
      </c>
      <c r="AI38" s="18">
        <v>9</v>
      </c>
      <c r="AJ38" s="18">
        <v>4</v>
      </c>
      <c r="AK38" s="18">
        <v>2</v>
      </c>
      <c r="AL38" s="16">
        <v>1</v>
      </c>
      <c r="AN38" s="47">
        <v>19</v>
      </c>
      <c r="AO38" s="42">
        <f t="shared" si="9"/>
        <v>2.6662706008235182E-9</v>
      </c>
      <c r="AP38" s="42">
        <f t="shared" si="9"/>
        <v>7.943099964778705E-6</v>
      </c>
      <c r="AQ38" s="42">
        <f t="shared" si="9"/>
        <v>3.6525057598242173E-3</v>
      </c>
      <c r="AR38" s="42">
        <f t="shared" si="9"/>
        <v>8.1506959920156552E-2</v>
      </c>
      <c r="AS38" s="42">
        <f t="shared" si="9"/>
        <v>9.9423571624784782E-2</v>
      </c>
      <c r="AT38" s="42">
        <f t="shared" si="9"/>
        <v>9.9965710356892903E-2</v>
      </c>
      <c r="AU38" s="42">
        <f t="shared" si="9"/>
        <v>9.9996123080004634E-2</v>
      </c>
      <c r="AV38" s="42">
        <f t="shared" si="9"/>
        <v>9.9999278124083879E-2</v>
      </c>
      <c r="AW38" s="42">
        <f t="shared" si="9"/>
        <v>9.9999802499644741E-2</v>
      </c>
      <c r="AX38" s="42">
        <f t="shared" si="9"/>
        <v>9.9999927298087085E-2</v>
      </c>
      <c r="AY38" s="42">
        <f t="shared" si="9"/>
        <v>9.9999966357194478E-2</v>
      </c>
    </row>
    <row r="39" spans="5:64" ht="17" thickBot="1">
      <c r="E39" s="94">
        <v>20</v>
      </c>
      <c r="F39" s="99">
        <f t="shared" si="29"/>
        <v>0.1</v>
      </c>
      <c r="G39" s="99">
        <v>0</v>
      </c>
      <c r="H39" s="18">
        <f t="shared" si="11"/>
        <v>237</v>
      </c>
      <c r="I39" s="19">
        <v>650.4674884686558</v>
      </c>
      <c r="J39" s="17">
        <f t="shared" si="12"/>
        <v>0.36435333694840055</v>
      </c>
      <c r="L39" s="36">
        <f t="shared" si="7"/>
        <v>18128.822884176981</v>
      </c>
      <c r="M39" s="25">
        <f t="shared" si="8"/>
        <v>15831.386049916753</v>
      </c>
      <c r="N39" s="24">
        <v>20</v>
      </c>
      <c r="O39" s="36" cm="1">
        <f t="array" ref="O39">(bha*SUM(O38:Y38))/(1+bhb*SUM(O38:Y38))</f>
        <v>3934.3706661967012</v>
      </c>
      <c r="P39" s="20">
        <f t="shared" si="17"/>
        <v>3087.2810644813749</v>
      </c>
      <c r="Q39" s="20">
        <f t="shared" si="18"/>
        <v>2404.4194196824897</v>
      </c>
      <c r="R39" s="20">
        <f t="shared" si="19"/>
        <v>1865.7984620779964</v>
      </c>
      <c r="S39" s="20">
        <f t="shared" si="20"/>
        <v>1339.4042195909062</v>
      </c>
      <c r="T39" s="20">
        <f t="shared" si="21"/>
        <v>944.45852248566075</v>
      </c>
      <c r="U39" s="20">
        <f t="shared" si="22"/>
        <v>665.61883870206611</v>
      </c>
      <c r="V39" s="20">
        <f t="shared" si="23"/>
        <v>469.0986096751717</v>
      </c>
      <c r="W39" s="20">
        <f t="shared" si="24"/>
        <v>330.60797968005824</v>
      </c>
      <c r="X39" s="20">
        <f t="shared" si="25"/>
        <v>233.01171634547865</v>
      </c>
      <c r="Y39" s="20">
        <f t="shared" si="26"/>
        <v>557.31655099885086</v>
      </c>
      <c r="AA39" s="34">
        <v>20</v>
      </c>
      <c r="AB39" s="19">
        <v>0</v>
      </c>
      <c r="AC39" s="19">
        <v>0</v>
      </c>
      <c r="AD39" s="19">
        <v>25</v>
      </c>
      <c r="AE39" s="19">
        <v>102</v>
      </c>
      <c r="AF39" s="19">
        <v>49</v>
      </c>
      <c r="AG39" s="19">
        <v>28</v>
      </c>
      <c r="AH39" s="19">
        <v>16</v>
      </c>
      <c r="AI39" s="19">
        <v>9</v>
      </c>
      <c r="AJ39" s="19">
        <v>5</v>
      </c>
      <c r="AK39" s="19">
        <v>2</v>
      </c>
      <c r="AL39" s="17">
        <v>1</v>
      </c>
      <c r="AN39" s="48">
        <v>20</v>
      </c>
      <c r="AO39" s="42">
        <f t="shared" si="9"/>
        <v>2.6662706008235182E-9</v>
      </c>
      <c r="AP39" s="42">
        <f t="shared" si="9"/>
        <v>7.943099964778705E-6</v>
      </c>
      <c r="AQ39" s="42">
        <f t="shared" si="9"/>
        <v>3.6525057598242173E-3</v>
      </c>
      <c r="AR39" s="42">
        <f t="shared" si="9"/>
        <v>8.1506959920156552E-2</v>
      </c>
      <c r="AS39" s="42">
        <f t="shared" si="9"/>
        <v>9.9423571624784782E-2</v>
      </c>
      <c r="AT39" s="42">
        <f t="shared" si="9"/>
        <v>9.9965710356892903E-2</v>
      </c>
      <c r="AU39" s="42">
        <f t="shared" si="9"/>
        <v>9.9996123080004634E-2</v>
      </c>
      <c r="AV39" s="42">
        <f t="shared" si="9"/>
        <v>9.9999278124083879E-2</v>
      </c>
      <c r="AW39" s="42">
        <f t="shared" si="9"/>
        <v>9.9999802499644741E-2</v>
      </c>
      <c r="AX39" s="42">
        <f t="shared" si="9"/>
        <v>9.9999927298087085E-2</v>
      </c>
      <c r="AY39" s="42">
        <f t="shared" si="9"/>
        <v>9.9999966357194478E-2</v>
      </c>
    </row>
    <row r="40" spans="5:64" ht="17" thickBot="1"/>
    <row r="41" spans="5:64">
      <c r="F41" s="58"/>
      <c r="K41" s="167" t="s">
        <v>83</v>
      </c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00"/>
      <c r="X41" s="100"/>
      <c r="Y41" s="100"/>
      <c r="Z41" s="100"/>
      <c r="AA41" s="100"/>
      <c r="AN41" s="156" t="s">
        <v>49</v>
      </c>
      <c r="AO41" s="157"/>
      <c r="AP41" s="157"/>
      <c r="AQ41" s="157"/>
      <c r="AR41" s="157"/>
      <c r="AS41" s="157"/>
      <c r="AT41" s="157"/>
      <c r="AU41" s="157"/>
      <c r="AV41" s="157"/>
      <c r="AW41" s="157"/>
      <c r="AX41" s="157"/>
      <c r="AY41" s="158"/>
      <c r="BA41" s="145"/>
      <c r="BB41" s="145"/>
      <c r="BC41" s="145"/>
      <c r="BD41" s="145"/>
      <c r="BE41" s="145"/>
      <c r="BF41" s="145"/>
      <c r="BG41" s="145"/>
      <c r="BH41" s="145"/>
      <c r="BI41" s="145"/>
      <c r="BJ41" s="145"/>
      <c r="BK41" s="145"/>
      <c r="BL41" s="145"/>
    </row>
    <row r="42" spans="5:64">
      <c r="K42" s="167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00"/>
      <c r="X42" s="100"/>
      <c r="Y42" s="100"/>
      <c r="Z42" s="100"/>
      <c r="AA42" s="100"/>
      <c r="AN42" s="37"/>
      <c r="AO42" s="41" t="s">
        <v>37</v>
      </c>
      <c r="AP42" s="41"/>
      <c r="AQ42" s="41"/>
      <c r="AR42" s="41"/>
      <c r="AS42" s="41"/>
      <c r="AT42" s="41"/>
      <c r="AU42" s="41"/>
      <c r="AV42" s="41"/>
      <c r="AW42" s="41"/>
      <c r="AX42" s="41"/>
      <c r="AY42" s="43"/>
    </row>
    <row r="43" spans="5:64">
      <c r="K43" s="167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00"/>
      <c r="X43" s="100"/>
      <c r="Y43" s="100"/>
      <c r="Z43" s="100"/>
      <c r="AA43" s="100"/>
      <c r="AN43" s="46" t="s">
        <v>38</v>
      </c>
      <c r="AO43" s="44">
        <v>0</v>
      </c>
      <c r="AP43" s="44">
        <v>1</v>
      </c>
      <c r="AQ43" s="44">
        <v>2</v>
      </c>
      <c r="AR43" s="44">
        <v>3</v>
      </c>
      <c r="AS43" s="44">
        <v>4</v>
      </c>
      <c r="AT43" s="44">
        <v>5</v>
      </c>
      <c r="AU43" s="44">
        <v>6</v>
      </c>
      <c r="AV43" s="44">
        <v>7</v>
      </c>
      <c r="AW43" s="44">
        <v>8</v>
      </c>
      <c r="AX43" s="44">
        <v>9</v>
      </c>
      <c r="AY43" s="45">
        <v>10</v>
      </c>
    </row>
    <row r="44" spans="5:64">
      <c r="K44" s="167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00"/>
      <c r="X44" s="100"/>
      <c r="Y44" s="100"/>
      <c r="Z44" s="100"/>
      <c r="AA44" s="100"/>
      <c r="AN44" s="47">
        <v>1</v>
      </c>
      <c r="AO44" s="42">
        <f t="shared" ref="AO44:AY44" si="31">AO20+M</f>
        <v>0.25000000266627059</v>
      </c>
      <c r="AP44" s="42">
        <f t="shared" si="31"/>
        <v>0.25000794309996477</v>
      </c>
      <c r="AQ44" s="42">
        <f t="shared" si="31"/>
        <v>0.25365250575982423</v>
      </c>
      <c r="AR44" s="42">
        <f t="shared" si="31"/>
        <v>0.33150695992015655</v>
      </c>
      <c r="AS44" s="42">
        <f t="shared" si="31"/>
        <v>0.34942357162478477</v>
      </c>
      <c r="AT44" s="42">
        <f t="shared" si="31"/>
        <v>0.34996571035689289</v>
      </c>
      <c r="AU44" s="42">
        <f t="shared" si="31"/>
        <v>0.34999612308000461</v>
      </c>
      <c r="AV44" s="42">
        <f t="shared" si="31"/>
        <v>0.34999927812408388</v>
      </c>
      <c r="AW44" s="42">
        <f t="shared" si="31"/>
        <v>0.34999980249964474</v>
      </c>
      <c r="AX44" s="42">
        <f t="shared" si="31"/>
        <v>0.3499999272980871</v>
      </c>
      <c r="AY44" s="42">
        <f t="shared" si="31"/>
        <v>0.34999996635719449</v>
      </c>
    </row>
    <row r="45" spans="5:64">
      <c r="K45" s="167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00"/>
      <c r="X45" s="100"/>
      <c r="Y45" s="100"/>
      <c r="Z45" s="100"/>
      <c r="AA45" s="100"/>
      <c r="AN45" s="47">
        <v>2</v>
      </c>
      <c r="AO45" s="42">
        <f t="shared" ref="AO45:AY45" si="32">AO21+M</f>
        <v>0.25000000266627059</v>
      </c>
      <c r="AP45" s="42">
        <f t="shared" si="32"/>
        <v>0.25000794309996477</v>
      </c>
      <c r="AQ45" s="42">
        <f t="shared" si="32"/>
        <v>0.25365250575982423</v>
      </c>
      <c r="AR45" s="42">
        <f t="shared" si="32"/>
        <v>0.33150695992015655</v>
      </c>
      <c r="AS45" s="42">
        <f t="shared" si="32"/>
        <v>0.34942357162478477</v>
      </c>
      <c r="AT45" s="42">
        <f t="shared" si="32"/>
        <v>0.34996571035689289</v>
      </c>
      <c r="AU45" s="42">
        <f t="shared" si="32"/>
        <v>0.34999612308000461</v>
      </c>
      <c r="AV45" s="42">
        <f t="shared" si="32"/>
        <v>0.34999927812408388</v>
      </c>
      <c r="AW45" s="42">
        <f t="shared" si="32"/>
        <v>0.34999980249964474</v>
      </c>
      <c r="AX45" s="42">
        <f t="shared" si="32"/>
        <v>0.3499999272980871</v>
      </c>
      <c r="AY45" s="42">
        <f t="shared" si="32"/>
        <v>0.34999996635719449</v>
      </c>
    </row>
    <row r="46" spans="5:64">
      <c r="K46" s="167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00"/>
      <c r="X46" s="100"/>
      <c r="Y46" s="100"/>
      <c r="Z46" s="100"/>
      <c r="AA46" s="100"/>
      <c r="AN46" s="47">
        <v>3</v>
      </c>
      <c r="AO46" s="42">
        <f t="shared" ref="AO46:AY46" si="33">AO22+M</f>
        <v>0.25000000266627059</v>
      </c>
      <c r="AP46" s="42">
        <f t="shared" si="33"/>
        <v>0.25000794309996477</v>
      </c>
      <c r="AQ46" s="42">
        <f t="shared" si="33"/>
        <v>0.25365250575982423</v>
      </c>
      <c r="AR46" s="42">
        <f t="shared" si="33"/>
        <v>0.33150695992015655</v>
      </c>
      <c r="AS46" s="42">
        <f t="shared" si="33"/>
        <v>0.34942357162478477</v>
      </c>
      <c r="AT46" s="42">
        <f t="shared" si="33"/>
        <v>0.34996571035689289</v>
      </c>
      <c r="AU46" s="42">
        <f t="shared" si="33"/>
        <v>0.34999612308000461</v>
      </c>
      <c r="AV46" s="42">
        <f t="shared" si="33"/>
        <v>0.34999927812408388</v>
      </c>
      <c r="AW46" s="42">
        <f t="shared" si="33"/>
        <v>0.34999980249964474</v>
      </c>
      <c r="AX46" s="42">
        <f t="shared" si="33"/>
        <v>0.3499999272980871</v>
      </c>
      <c r="AY46" s="42">
        <f t="shared" si="33"/>
        <v>0.34999996635719449</v>
      </c>
    </row>
    <row r="47" spans="5:64">
      <c r="K47" s="167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00"/>
      <c r="X47" s="100"/>
      <c r="Y47" s="100"/>
      <c r="Z47" s="100"/>
      <c r="AA47" s="100"/>
      <c r="AN47" s="47">
        <v>4</v>
      </c>
      <c r="AO47" s="42">
        <f t="shared" ref="AO47:AY47" si="34">AO23+M</f>
        <v>0.25000000266627059</v>
      </c>
      <c r="AP47" s="42">
        <f t="shared" si="34"/>
        <v>0.25000794309996477</v>
      </c>
      <c r="AQ47" s="42">
        <f t="shared" si="34"/>
        <v>0.25365250575982423</v>
      </c>
      <c r="AR47" s="42">
        <f t="shared" si="34"/>
        <v>0.33150695992015655</v>
      </c>
      <c r="AS47" s="42">
        <f t="shared" si="34"/>
        <v>0.34942357162478477</v>
      </c>
      <c r="AT47" s="42">
        <f t="shared" si="34"/>
        <v>0.34996571035689289</v>
      </c>
      <c r="AU47" s="42">
        <f t="shared" si="34"/>
        <v>0.34999612308000461</v>
      </c>
      <c r="AV47" s="42">
        <f t="shared" si="34"/>
        <v>0.34999927812408388</v>
      </c>
      <c r="AW47" s="42">
        <f t="shared" si="34"/>
        <v>0.34999980249964474</v>
      </c>
      <c r="AX47" s="42">
        <f t="shared" si="34"/>
        <v>0.3499999272980871</v>
      </c>
      <c r="AY47" s="42">
        <f t="shared" si="34"/>
        <v>0.34999996635719449</v>
      </c>
    </row>
    <row r="48" spans="5:64">
      <c r="K48" s="167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00"/>
      <c r="X48" s="100"/>
      <c r="Y48" s="100"/>
      <c r="Z48" s="100"/>
      <c r="AA48" s="100"/>
      <c r="AN48" s="47">
        <v>5</v>
      </c>
      <c r="AO48" s="42">
        <f t="shared" ref="AO48:AY48" si="35">AO24+M</f>
        <v>0.25000000266627059</v>
      </c>
      <c r="AP48" s="42">
        <f t="shared" si="35"/>
        <v>0.25000794309996477</v>
      </c>
      <c r="AQ48" s="42">
        <f t="shared" si="35"/>
        <v>0.25365250575982423</v>
      </c>
      <c r="AR48" s="42">
        <f t="shared" si="35"/>
        <v>0.33150695992015655</v>
      </c>
      <c r="AS48" s="42">
        <f t="shared" si="35"/>
        <v>0.34942357162478477</v>
      </c>
      <c r="AT48" s="42">
        <f t="shared" si="35"/>
        <v>0.34996571035689289</v>
      </c>
      <c r="AU48" s="42">
        <f t="shared" si="35"/>
        <v>0.34999612308000461</v>
      </c>
      <c r="AV48" s="42">
        <f t="shared" si="35"/>
        <v>0.34999927812408388</v>
      </c>
      <c r="AW48" s="42">
        <f t="shared" si="35"/>
        <v>0.34999980249964474</v>
      </c>
      <c r="AX48" s="42">
        <f t="shared" si="35"/>
        <v>0.3499999272980871</v>
      </c>
      <c r="AY48" s="42">
        <f t="shared" si="35"/>
        <v>0.34999996635719449</v>
      </c>
    </row>
    <row r="49" spans="11:51"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N49" s="47">
        <v>6</v>
      </c>
      <c r="AO49" s="42">
        <f t="shared" ref="AO49:AY49" si="36">AO25+M</f>
        <v>0.25000000266627059</v>
      </c>
      <c r="AP49" s="42">
        <f t="shared" si="36"/>
        <v>0.25000794309996477</v>
      </c>
      <c r="AQ49" s="42">
        <f t="shared" si="36"/>
        <v>0.25365250575982423</v>
      </c>
      <c r="AR49" s="42">
        <f t="shared" si="36"/>
        <v>0.33150695992015655</v>
      </c>
      <c r="AS49" s="42">
        <f t="shared" si="36"/>
        <v>0.34942357162478477</v>
      </c>
      <c r="AT49" s="42">
        <f t="shared" si="36"/>
        <v>0.34996571035689289</v>
      </c>
      <c r="AU49" s="42">
        <f t="shared" si="36"/>
        <v>0.34999612308000461</v>
      </c>
      <c r="AV49" s="42">
        <f t="shared" si="36"/>
        <v>0.34999927812408388</v>
      </c>
      <c r="AW49" s="42">
        <f t="shared" si="36"/>
        <v>0.34999980249964474</v>
      </c>
      <c r="AX49" s="42">
        <f t="shared" si="36"/>
        <v>0.3499999272980871</v>
      </c>
      <c r="AY49" s="42">
        <f t="shared" si="36"/>
        <v>0.34999996635719449</v>
      </c>
    </row>
    <row r="50" spans="11:51">
      <c r="AN50" s="47">
        <v>7</v>
      </c>
      <c r="AO50" s="42">
        <f t="shared" ref="AO50:AY50" si="37">AO26+M</f>
        <v>0.25000000266627059</v>
      </c>
      <c r="AP50" s="42">
        <f t="shared" si="37"/>
        <v>0.25000794309996477</v>
      </c>
      <c r="AQ50" s="42">
        <f t="shared" si="37"/>
        <v>0.25365250575982423</v>
      </c>
      <c r="AR50" s="42">
        <f t="shared" si="37"/>
        <v>0.33150695992015655</v>
      </c>
      <c r="AS50" s="42">
        <f t="shared" si="37"/>
        <v>0.34942357162478477</v>
      </c>
      <c r="AT50" s="42">
        <f t="shared" si="37"/>
        <v>0.34996571035689289</v>
      </c>
      <c r="AU50" s="42">
        <f t="shared" si="37"/>
        <v>0.34999612308000461</v>
      </c>
      <c r="AV50" s="42">
        <f t="shared" si="37"/>
        <v>0.34999927812408388</v>
      </c>
      <c r="AW50" s="42">
        <f t="shared" si="37"/>
        <v>0.34999980249964474</v>
      </c>
      <c r="AX50" s="42">
        <f t="shared" si="37"/>
        <v>0.3499999272980871</v>
      </c>
      <c r="AY50" s="42">
        <f t="shared" si="37"/>
        <v>0.34999996635719449</v>
      </c>
    </row>
    <row r="51" spans="11:51">
      <c r="K51" s="167" t="s">
        <v>84</v>
      </c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N51" s="47">
        <v>8</v>
      </c>
      <c r="AO51" s="42">
        <f t="shared" ref="AO51:AY51" si="38">AO27+M</f>
        <v>0.25000000266627059</v>
      </c>
      <c r="AP51" s="42">
        <f t="shared" si="38"/>
        <v>0.25000794309996477</v>
      </c>
      <c r="AQ51" s="42">
        <f t="shared" si="38"/>
        <v>0.25365250575982423</v>
      </c>
      <c r="AR51" s="42">
        <f t="shared" si="38"/>
        <v>0.33150695992015655</v>
      </c>
      <c r="AS51" s="42">
        <f t="shared" si="38"/>
        <v>0.34942357162478477</v>
      </c>
      <c r="AT51" s="42">
        <f t="shared" si="38"/>
        <v>0.34996571035689289</v>
      </c>
      <c r="AU51" s="42">
        <f t="shared" si="38"/>
        <v>0.34999612308000461</v>
      </c>
      <c r="AV51" s="42">
        <f t="shared" si="38"/>
        <v>0.34999927812408388</v>
      </c>
      <c r="AW51" s="42">
        <f t="shared" si="38"/>
        <v>0.34999980249964474</v>
      </c>
      <c r="AX51" s="42">
        <f t="shared" si="38"/>
        <v>0.3499999272980871</v>
      </c>
      <c r="AY51" s="42">
        <f t="shared" si="38"/>
        <v>0.34999996635719449</v>
      </c>
    </row>
    <row r="52" spans="11:51">
      <c r="K52" s="167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N52" s="47">
        <v>9</v>
      </c>
      <c r="AO52" s="42">
        <f t="shared" ref="AO52:AY52" si="39">AO28+M</f>
        <v>0.25000000266627059</v>
      </c>
      <c r="AP52" s="42">
        <f t="shared" si="39"/>
        <v>0.25000794309996477</v>
      </c>
      <c r="AQ52" s="42">
        <f t="shared" si="39"/>
        <v>0.25365250575982423</v>
      </c>
      <c r="AR52" s="42">
        <f t="shared" si="39"/>
        <v>0.33150695992015655</v>
      </c>
      <c r="AS52" s="42">
        <f t="shared" si="39"/>
        <v>0.34942357162478477</v>
      </c>
      <c r="AT52" s="42">
        <f t="shared" si="39"/>
        <v>0.34996571035689289</v>
      </c>
      <c r="AU52" s="42">
        <f t="shared" si="39"/>
        <v>0.34999612308000461</v>
      </c>
      <c r="AV52" s="42">
        <f t="shared" si="39"/>
        <v>0.34999927812408388</v>
      </c>
      <c r="AW52" s="42">
        <f t="shared" si="39"/>
        <v>0.34999980249964474</v>
      </c>
      <c r="AX52" s="42">
        <f t="shared" si="39"/>
        <v>0.3499999272980871</v>
      </c>
      <c r="AY52" s="42">
        <f t="shared" si="39"/>
        <v>0.34999996635719449</v>
      </c>
    </row>
    <row r="53" spans="11:51">
      <c r="K53" s="167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N53" s="47">
        <v>10</v>
      </c>
      <c r="AO53" s="42">
        <f t="shared" ref="AO53:AY53" si="40">AO29+M</f>
        <v>0.25000000266627059</v>
      </c>
      <c r="AP53" s="42">
        <f t="shared" si="40"/>
        <v>0.25000794309996477</v>
      </c>
      <c r="AQ53" s="42">
        <f t="shared" si="40"/>
        <v>0.25365250575982423</v>
      </c>
      <c r="AR53" s="42">
        <f t="shared" si="40"/>
        <v>0.33150695992015655</v>
      </c>
      <c r="AS53" s="42">
        <f t="shared" si="40"/>
        <v>0.34942357162478477</v>
      </c>
      <c r="AT53" s="42">
        <f t="shared" si="40"/>
        <v>0.34996571035689289</v>
      </c>
      <c r="AU53" s="42">
        <f t="shared" si="40"/>
        <v>0.34999612308000461</v>
      </c>
      <c r="AV53" s="42">
        <f t="shared" si="40"/>
        <v>0.34999927812408388</v>
      </c>
      <c r="AW53" s="42">
        <f t="shared" si="40"/>
        <v>0.34999980249964474</v>
      </c>
      <c r="AX53" s="42">
        <f t="shared" si="40"/>
        <v>0.3499999272980871</v>
      </c>
      <c r="AY53" s="42">
        <f t="shared" si="40"/>
        <v>0.34999996635719449</v>
      </c>
    </row>
    <row r="54" spans="11:51">
      <c r="K54" s="167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N54" s="47">
        <v>11</v>
      </c>
      <c r="AO54" s="42">
        <f t="shared" ref="AO54:AY54" si="41">AO30+M</f>
        <v>0.25000000266627059</v>
      </c>
      <c r="AP54" s="42">
        <f t="shared" si="41"/>
        <v>0.25000794309996477</v>
      </c>
      <c r="AQ54" s="42">
        <f t="shared" si="41"/>
        <v>0.25365250575982423</v>
      </c>
      <c r="AR54" s="42">
        <f t="shared" si="41"/>
        <v>0.33150695992015655</v>
      </c>
      <c r="AS54" s="42">
        <f t="shared" si="41"/>
        <v>0.34942357162478477</v>
      </c>
      <c r="AT54" s="42">
        <f t="shared" si="41"/>
        <v>0.34996571035689289</v>
      </c>
      <c r="AU54" s="42">
        <f t="shared" si="41"/>
        <v>0.34999612308000461</v>
      </c>
      <c r="AV54" s="42">
        <f t="shared" si="41"/>
        <v>0.34999927812408388</v>
      </c>
      <c r="AW54" s="42">
        <f t="shared" si="41"/>
        <v>0.34999980249964474</v>
      </c>
      <c r="AX54" s="42">
        <f t="shared" si="41"/>
        <v>0.3499999272980871</v>
      </c>
      <c r="AY54" s="42">
        <f t="shared" si="41"/>
        <v>0.34999996635719449</v>
      </c>
    </row>
    <row r="55" spans="11:51">
      <c r="K55" s="167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N55" s="47">
        <v>12</v>
      </c>
      <c r="AO55" s="42">
        <f t="shared" ref="AO55:AY55" si="42">AO31+M</f>
        <v>0.25000000266627059</v>
      </c>
      <c r="AP55" s="42">
        <f t="shared" si="42"/>
        <v>0.25000794309996477</v>
      </c>
      <c r="AQ55" s="42">
        <f t="shared" si="42"/>
        <v>0.25365250575982423</v>
      </c>
      <c r="AR55" s="42">
        <f t="shared" si="42"/>
        <v>0.33150695992015655</v>
      </c>
      <c r="AS55" s="42">
        <f t="shared" si="42"/>
        <v>0.34942357162478477</v>
      </c>
      <c r="AT55" s="42">
        <f t="shared" si="42"/>
        <v>0.34996571035689289</v>
      </c>
      <c r="AU55" s="42">
        <f t="shared" si="42"/>
        <v>0.34999612308000461</v>
      </c>
      <c r="AV55" s="42">
        <f t="shared" si="42"/>
        <v>0.34999927812408388</v>
      </c>
      <c r="AW55" s="42">
        <f t="shared" si="42"/>
        <v>0.34999980249964474</v>
      </c>
      <c r="AX55" s="42">
        <f t="shared" si="42"/>
        <v>0.3499999272980871</v>
      </c>
      <c r="AY55" s="42">
        <f t="shared" si="42"/>
        <v>0.34999996635719449</v>
      </c>
    </row>
    <row r="56" spans="11:51">
      <c r="K56" s="167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N56" s="47">
        <v>13</v>
      </c>
      <c r="AO56" s="42">
        <f t="shared" ref="AO56:AY56" si="43">AO32+M</f>
        <v>0.25000000266627059</v>
      </c>
      <c r="AP56" s="42">
        <f t="shared" si="43"/>
        <v>0.25000794309996477</v>
      </c>
      <c r="AQ56" s="42">
        <f t="shared" si="43"/>
        <v>0.25365250575982423</v>
      </c>
      <c r="AR56" s="42">
        <f t="shared" si="43"/>
        <v>0.33150695992015655</v>
      </c>
      <c r="AS56" s="42">
        <f t="shared" si="43"/>
        <v>0.34942357162478477</v>
      </c>
      <c r="AT56" s="42">
        <f t="shared" si="43"/>
        <v>0.34996571035689289</v>
      </c>
      <c r="AU56" s="42">
        <f t="shared" si="43"/>
        <v>0.34999612308000461</v>
      </c>
      <c r="AV56" s="42">
        <f t="shared" si="43"/>
        <v>0.34999927812408388</v>
      </c>
      <c r="AW56" s="42">
        <f t="shared" si="43"/>
        <v>0.34999980249964474</v>
      </c>
      <c r="AX56" s="42">
        <f t="shared" si="43"/>
        <v>0.3499999272980871</v>
      </c>
      <c r="AY56" s="42">
        <f t="shared" si="43"/>
        <v>0.34999996635719449</v>
      </c>
    </row>
    <row r="57" spans="11:51">
      <c r="K57" s="167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N57" s="47">
        <v>14</v>
      </c>
      <c r="AO57" s="42">
        <f t="shared" ref="AO57:AY57" si="44">AO33+M</f>
        <v>0.25000000266627059</v>
      </c>
      <c r="AP57" s="42">
        <f t="shared" si="44"/>
        <v>0.25000794309996477</v>
      </c>
      <c r="AQ57" s="42">
        <f t="shared" si="44"/>
        <v>0.25365250575982423</v>
      </c>
      <c r="AR57" s="42">
        <f t="shared" si="44"/>
        <v>0.33150695992015655</v>
      </c>
      <c r="AS57" s="42">
        <f t="shared" si="44"/>
        <v>0.34942357162478477</v>
      </c>
      <c r="AT57" s="42">
        <f t="shared" si="44"/>
        <v>0.34996571035689289</v>
      </c>
      <c r="AU57" s="42">
        <f t="shared" si="44"/>
        <v>0.34999612308000461</v>
      </c>
      <c r="AV57" s="42">
        <f t="shared" si="44"/>
        <v>0.34999927812408388</v>
      </c>
      <c r="AW57" s="42">
        <f t="shared" si="44"/>
        <v>0.34999980249964474</v>
      </c>
      <c r="AX57" s="42">
        <f t="shared" si="44"/>
        <v>0.3499999272980871</v>
      </c>
      <c r="AY57" s="42">
        <f t="shared" si="44"/>
        <v>0.34999996635719449</v>
      </c>
    </row>
    <row r="58" spans="11:51">
      <c r="K58" s="167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N58" s="47">
        <v>15</v>
      </c>
      <c r="AO58" s="42">
        <f t="shared" ref="AO58:AY58" si="45">AO34+M</f>
        <v>0.25000000266627059</v>
      </c>
      <c r="AP58" s="42">
        <f t="shared" si="45"/>
        <v>0.25000794309996477</v>
      </c>
      <c r="AQ58" s="42">
        <f t="shared" si="45"/>
        <v>0.25365250575982423</v>
      </c>
      <c r="AR58" s="42">
        <f t="shared" si="45"/>
        <v>0.33150695992015655</v>
      </c>
      <c r="AS58" s="42">
        <f t="shared" si="45"/>
        <v>0.34942357162478477</v>
      </c>
      <c r="AT58" s="42">
        <f t="shared" si="45"/>
        <v>0.34996571035689289</v>
      </c>
      <c r="AU58" s="42">
        <f t="shared" si="45"/>
        <v>0.34999612308000461</v>
      </c>
      <c r="AV58" s="42">
        <f t="shared" si="45"/>
        <v>0.34999927812408388</v>
      </c>
      <c r="AW58" s="42">
        <f t="shared" si="45"/>
        <v>0.34999980249964474</v>
      </c>
      <c r="AX58" s="42">
        <f t="shared" si="45"/>
        <v>0.3499999272980871</v>
      </c>
      <c r="AY58" s="42">
        <f t="shared" si="45"/>
        <v>0.34999996635719449</v>
      </c>
    </row>
    <row r="59" spans="11:51">
      <c r="K59" s="167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N59" s="47">
        <v>16</v>
      </c>
      <c r="AO59" s="42">
        <f t="shared" ref="AO59:AY59" si="46">AO35+M</f>
        <v>0.25000000266627059</v>
      </c>
      <c r="AP59" s="42">
        <f t="shared" si="46"/>
        <v>0.25000794309996477</v>
      </c>
      <c r="AQ59" s="42">
        <f t="shared" si="46"/>
        <v>0.25365250575982423</v>
      </c>
      <c r="AR59" s="42">
        <f t="shared" si="46"/>
        <v>0.33150695992015655</v>
      </c>
      <c r="AS59" s="42">
        <f t="shared" si="46"/>
        <v>0.34942357162478477</v>
      </c>
      <c r="AT59" s="42">
        <f t="shared" si="46"/>
        <v>0.34996571035689289</v>
      </c>
      <c r="AU59" s="42">
        <f t="shared" si="46"/>
        <v>0.34999612308000461</v>
      </c>
      <c r="AV59" s="42">
        <f t="shared" si="46"/>
        <v>0.34999927812408388</v>
      </c>
      <c r="AW59" s="42">
        <f t="shared" si="46"/>
        <v>0.34999980249964474</v>
      </c>
      <c r="AX59" s="42">
        <f t="shared" si="46"/>
        <v>0.3499999272980871</v>
      </c>
      <c r="AY59" s="42">
        <f t="shared" si="46"/>
        <v>0.34999996635719449</v>
      </c>
    </row>
    <row r="60" spans="11:51">
      <c r="AN60" s="47">
        <v>17</v>
      </c>
      <c r="AO60" s="42">
        <f t="shared" ref="AO60:AY60" si="47">AO36+M</f>
        <v>0.25000000266627059</v>
      </c>
      <c r="AP60" s="42">
        <f t="shared" si="47"/>
        <v>0.25000794309996477</v>
      </c>
      <c r="AQ60" s="42">
        <f t="shared" si="47"/>
        <v>0.25365250575982423</v>
      </c>
      <c r="AR60" s="42">
        <f t="shared" si="47"/>
        <v>0.33150695992015655</v>
      </c>
      <c r="AS60" s="42">
        <f t="shared" si="47"/>
        <v>0.34942357162478477</v>
      </c>
      <c r="AT60" s="42">
        <f t="shared" si="47"/>
        <v>0.34996571035689289</v>
      </c>
      <c r="AU60" s="42">
        <f t="shared" si="47"/>
        <v>0.34999612308000461</v>
      </c>
      <c r="AV60" s="42">
        <f t="shared" si="47"/>
        <v>0.34999927812408388</v>
      </c>
      <c r="AW60" s="42">
        <f t="shared" si="47"/>
        <v>0.34999980249964474</v>
      </c>
      <c r="AX60" s="42">
        <f t="shared" si="47"/>
        <v>0.3499999272980871</v>
      </c>
      <c r="AY60" s="42">
        <f t="shared" si="47"/>
        <v>0.34999996635719449</v>
      </c>
    </row>
    <row r="61" spans="11:51">
      <c r="AN61" s="47">
        <v>18</v>
      </c>
      <c r="AO61" s="42">
        <f t="shared" ref="AO61:AY61" si="48">AO37+M</f>
        <v>0.25000000266627059</v>
      </c>
      <c r="AP61" s="42">
        <f t="shared" si="48"/>
        <v>0.25000794309996477</v>
      </c>
      <c r="AQ61" s="42">
        <f t="shared" si="48"/>
        <v>0.25365250575982423</v>
      </c>
      <c r="AR61" s="42">
        <f t="shared" si="48"/>
        <v>0.33150695992015655</v>
      </c>
      <c r="AS61" s="42">
        <f t="shared" si="48"/>
        <v>0.34942357162478477</v>
      </c>
      <c r="AT61" s="42">
        <f t="shared" si="48"/>
        <v>0.34996571035689289</v>
      </c>
      <c r="AU61" s="42">
        <f t="shared" si="48"/>
        <v>0.34999612308000461</v>
      </c>
      <c r="AV61" s="42">
        <f t="shared" si="48"/>
        <v>0.34999927812408388</v>
      </c>
      <c r="AW61" s="42">
        <f t="shared" si="48"/>
        <v>0.34999980249964474</v>
      </c>
      <c r="AX61" s="42">
        <f t="shared" si="48"/>
        <v>0.3499999272980871</v>
      </c>
      <c r="AY61" s="42">
        <f t="shared" si="48"/>
        <v>0.34999996635719449</v>
      </c>
    </row>
    <row r="62" spans="11:51">
      <c r="AN62" s="47">
        <v>19</v>
      </c>
      <c r="AO62" s="42">
        <f t="shared" ref="AO62:AY62" si="49">AO38+M</f>
        <v>0.25000000266627059</v>
      </c>
      <c r="AP62" s="42">
        <f t="shared" si="49"/>
        <v>0.25000794309996477</v>
      </c>
      <c r="AQ62" s="42">
        <f t="shared" si="49"/>
        <v>0.25365250575982423</v>
      </c>
      <c r="AR62" s="42">
        <f t="shared" si="49"/>
        <v>0.33150695992015655</v>
      </c>
      <c r="AS62" s="42">
        <f t="shared" si="49"/>
        <v>0.34942357162478477</v>
      </c>
      <c r="AT62" s="42">
        <f t="shared" si="49"/>
        <v>0.34996571035689289</v>
      </c>
      <c r="AU62" s="42">
        <f t="shared" si="49"/>
        <v>0.34999612308000461</v>
      </c>
      <c r="AV62" s="42">
        <f t="shared" si="49"/>
        <v>0.34999927812408388</v>
      </c>
      <c r="AW62" s="42">
        <f t="shared" si="49"/>
        <v>0.34999980249964474</v>
      </c>
      <c r="AX62" s="42">
        <f t="shared" si="49"/>
        <v>0.3499999272980871</v>
      </c>
      <c r="AY62" s="42">
        <f t="shared" si="49"/>
        <v>0.34999996635719449</v>
      </c>
    </row>
    <row r="63" spans="11:51" ht="17" thickBot="1">
      <c r="AN63" s="48">
        <v>20</v>
      </c>
      <c r="AO63" s="42">
        <f t="shared" ref="AO63:AY63" si="50">AO39+M</f>
        <v>0.25000000266627059</v>
      </c>
      <c r="AP63" s="42">
        <f t="shared" si="50"/>
        <v>0.25000794309996477</v>
      </c>
      <c r="AQ63" s="42">
        <f t="shared" si="50"/>
        <v>0.25365250575982423</v>
      </c>
      <c r="AR63" s="42">
        <f t="shared" si="50"/>
        <v>0.33150695992015655</v>
      </c>
      <c r="AS63" s="42">
        <f t="shared" si="50"/>
        <v>0.34942357162478477</v>
      </c>
      <c r="AT63" s="42">
        <f t="shared" si="50"/>
        <v>0.34996571035689289</v>
      </c>
      <c r="AU63" s="42">
        <f t="shared" si="50"/>
        <v>0.34999612308000461</v>
      </c>
      <c r="AV63" s="42">
        <f t="shared" si="50"/>
        <v>0.34999927812408388</v>
      </c>
      <c r="AW63" s="42">
        <f t="shared" si="50"/>
        <v>0.34999980249964474</v>
      </c>
      <c r="AX63" s="42">
        <f t="shared" si="50"/>
        <v>0.3499999272980871</v>
      </c>
      <c r="AY63" s="42">
        <f t="shared" si="50"/>
        <v>0.34999996635719449</v>
      </c>
    </row>
  </sheetData>
  <mergeCells count="19">
    <mergeCell ref="AN41:AY41"/>
    <mergeCell ref="BA41:BL41"/>
    <mergeCell ref="J11:N15"/>
    <mergeCell ref="L51:AA59"/>
    <mergeCell ref="L41:V48"/>
    <mergeCell ref="K41:K48"/>
    <mergeCell ref="K51:K59"/>
    <mergeCell ref="AA17:AL17"/>
    <mergeCell ref="AN17:AY17"/>
    <mergeCell ref="BA17:BL17"/>
    <mergeCell ref="N17:Y17"/>
    <mergeCell ref="A20:C20"/>
    <mergeCell ref="A21:A22"/>
    <mergeCell ref="A23:A25"/>
    <mergeCell ref="A1:C1"/>
    <mergeCell ref="A2:A3"/>
    <mergeCell ref="A4:A6"/>
    <mergeCell ref="A9:A10"/>
    <mergeCell ref="A13:C13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4530-3A4D-ED4D-936E-5E8250C8C0C1}">
  <dimension ref="A1:BV63"/>
  <sheetViews>
    <sheetView topLeftCell="X15" zoomScale="115" zoomScaleNormal="115" workbookViewId="0">
      <selection activeCell="Y21" sqref="Y21:Y39"/>
    </sheetView>
  </sheetViews>
  <sheetFormatPr baseColWidth="10" defaultRowHeight="16"/>
  <cols>
    <col min="1" max="1" width="12.140625" style="94" customWidth="1"/>
    <col min="2" max="2" width="10.7109375" style="94"/>
    <col min="3" max="3" width="13.42578125" style="94" bestFit="1" customWidth="1"/>
    <col min="4" max="4" width="10.7109375" style="94"/>
    <col min="5" max="5" width="8.140625" style="94" customWidth="1"/>
    <col min="6" max="6" width="7.5703125" style="94" customWidth="1"/>
    <col min="7" max="7" width="10.7109375" style="94"/>
    <col min="8" max="8" width="6.140625" style="94" customWidth="1"/>
    <col min="9" max="9" width="7.85546875" style="94" customWidth="1"/>
    <col min="10" max="10" width="6.85546875" style="94" customWidth="1"/>
    <col min="11" max="14" width="6.140625" style="94" customWidth="1"/>
    <col min="15" max="25" width="5.28515625" style="94" customWidth="1"/>
    <col min="26" max="27" width="5.42578125" style="94" customWidth="1"/>
    <col min="28" max="38" width="6.140625" style="94" customWidth="1"/>
    <col min="39" max="39" width="10.7109375" style="94"/>
    <col min="40" max="51" width="5.42578125" style="94" customWidth="1"/>
    <col min="52" max="52" width="10.7109375" style="94"/>
    <col min="53" max="64" width="4.7109375" style="94" customWidth="1"/>
    <col min="65" max="16384" width="10.7109375" style="94"/>
  </cols>
  <sheetData>
    <row r="1" spans="1:18">
      <c r="A1" s="146" t="s">
        <v>0</v>
      </c>
      <c r="B1" s="147"/>
      <c r="C1" s="148"/>
      <c r="F1" s="10" t="s">
        <v>31</v>
      </c>
      <c r="G1" s="11"/>
      <c r="H1" s="11"/>
      <c r="I1" s="11"/>
      <c r="J1" s="11"/>
      <c r="K1" s="12"/>
      <c r="L1" s="12"/>
      <c r="M1" s="12"/>
      <c r="N1" s="12"/>
      <c r="O1" s="12"/>
      <c r="P1" s="12"/>
      <c r="Q1" s="12"/>
      <c r="R1" s="13"/>
    </row>
    <row r="2" spans="1:18">
      <c r="A2" s="149" t="s">
        <v>1</v>
      </c>
      <c r="B2" s="1" t="s">
        <v>2</v>
      </c>
      <c r="C2" s="9">
        <v>1.4999999999999999E-7</v>
      </c>
      <c r="F2" s="86" t="s">
        <v>22</v>
      </c>
      <c r="G2" s="87" t="s">
        <v>23</v>
      </c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spans="1:18">
      <c r="A3" s="149"/>
      <c r="B3" s="1" t="s">
        <v>3</v>
      </c>
      <c r="C3" s="2">
        <v>3.1</v>
      </c>
      <c r="F3" s="3" t="s">
        <v>28</v>
      </c>
      <c r="G3" s="1" t="s">
        <v>24</v>
      </c>
      <c r="H3" s="1">
        <v>0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8</v>
      </c>
      <c r="Q3" s="1">
        <v>9</v>
      </c>
      <c r="R3" s="2">
        <v>10</v>
      </c>
    </row>
    <row r="4" spans="1:18">
      <c r="A4" s="150" t="s">
        <v>4</v>
      </c>
      <c r="B4" s="1" t="s">
        <v>5</v>
      </c>
      <c r="C4" s="2">
        <v>350</v>
      </c>
      <c r="F4" s="3" t="s">
        <v>81</v>
      </c>
      <c r="G4" s="1" t="s">
        <v>25</v>
      </c>
      <c r="H4" s="1">
        <f t="shared" ref="H4:R4" si="0">Linf-(Linf-Lo)*EXP(-vbk*H$3)</f>
        <v>0.60000000000002274</v>
      </c>
      <c r="I4" s="1">
        <f t="shared" si="0"/>
        <v>80.594575920233979</v>
      </c>
      <c r="J4" s="1">
        <f t="shared" si="0"/>
        <v>142.27452053921411</v>
      </c>
      <c r="K4" s="1">
        <f t="shared" si="0"/>
        <v>189.83293964995491</v>
      </c>
      <c r="L4" s="1">
        <f t="shared" si="0"/>
        <v>226.50293412360222</v>
      </c>
      <c r="M4" s="1">
        <f t="shared" si="0"/>
        <v>254.777391513916</v>
      </c>
      <c r="N4" s="1">
        <f t="shared" si="0"/>
        <v>276.57845672245281</v>
      </c>
      <c r="O4" s="1">
        <f t="shared" si="0"/>
        <v>293.38820262370206</v>
      </c>
      <c r="P4" s="1">
        <f t="shared" si="0"/>
        <v>306.34938385781533</v>
      </c>
      <c r="Q4" s="1">
        <f t="shared" si="0"/>
        <v>316.34312320226576</v>
      </c>
      <c r="R4" s="2">
        <f t="shared" si="0"/>
        <v>324.04881177191174</v>
      </c>
    </row>
    <row r="5" spans="1:18">
      <c r="A5" s="150"/>
      <c r="B5" s="1" t="s">
        <v>6</v>
      </c>
      <c r="C5" s="2">
        <v>0.26</v>
      </c>
      <c r="F5" s="3" t="s">
        <v>33</v>
      </c>
      <c r="G5" s="1" t="s">
        <v>26</v>
      </c>
      <c r="H5" s="1">
        <f t="shared" ref="H5:R5" si="1">lwa*(H$4^lwb)</f>
        <v>3.0786487014787529E-8</v>
      </c>
      <c r="I5" s="1">
        <f t="shared" si="1"/>
        <v>0.12179775510938466</v>
      </c>
      <c r="J5" s="1">
        <f t="shared" si="1"/>
        <v>0.70922716923537987</v>
      </c>
      <c r="K5" s="1">
        <f t="shared" si="1"/>
        <v>1.7339762130984733</v>
      </c>
      <c r="L5" s="1">
        <f t="shared" si="1"/>
        <v>2.997920687322178</v>
      </c>
      <c r="M5" s="1">
        <f t="shared" si="1"/>
        <v>4.3170791220003428</v>
      </c>
      <c r="N5" s="1">
        <f t="shared" si="1"/>
        <v>5.5683707165183316</v>
      </c>
      <c r="O5" s="1">
        <f t="shared" si="1"/>
        <v>6.6859552163518652</v>
      </c>
      <c r="P5" s="1">
        <f t="shared" si="1"/>
        <v>7.6447624304444846</v>
      </c>
      <c r="Q5" s="1">
        <f t="shared" si="1"/>
        <v>8.4446624168383195</v>
      </c>
      <c r="R5" s="2">
        <f t="shared" si="1"/>
        <v>9.0987891765031517</v>
      </c>
    </row>
    <row r="6" spans="1:18">
      <c r="A6" s="150"/>
      <c r="B6" s="1" t="s">
        <v>19</v>
      </c>
      <c r="C6" s="2">
        <v>0.6</v>
      </c>
      <c r="F6" s="3" t="s">
        <v>30</v>
      </c>
      <c r="G6" s="1" t="s">
        <v>27</v>
      </c>
      <c r="H6" s="1">
        <f t="shared" ref="H6:R6" si="2">MAX(0,H5-Wmat)</f>
        <v>0</v>
      </c>
      <c r="I6" s="1">
        <f t="shared" si="2"/>
        <v>0</v>
      </c>
      <c r="J6" s="1">
        <f t="shared" si="2"/>
        <v>0</v>
      </c>
      <c r="K6" s="1">
        <f t="shared" si="2"/>
        <v>0.23397621309847327</v>
      </c>
      <c r="L6" s="1">
        <f t="shared" si="2"/>
        <v>1.497920687322178</v>
      </c>
      <c r="M6" s="1">
        <f t="shared" si="2"/>
        <v>2.8170791220003428</v>
      </c>
      <c r="N6" s="1">
        <f t="shared" si="2"/>
        <v>4.0683707165183316</v>
      </c>
      <c r="O6" s="1">
        <f t="shared" si="2"/>
        <v>5.1859552163518652</v>
      </c>
      <c r="P6" s="1">
        <f t="shared" si="2"/>
        <v>6.1447624304444846</v>
      </c>
      <c r="Q6" s="1">
        <f t="shared" si="2"/>
        <v>6.9446624168383195</v>
      </c>
      <c r="R6" s="2">
        <f t="shared" si="2"/>
        <v>7.5987891765031517</v>
      </c>
    </row>
    <row r="7" spans="1:18">
      <c r="A7" s="85" t="s">
        <v>27</v>
      </c>
      <c r="B7" s="1" t="s">
        <v>7</v>
      </c>
      <c r="C7" s="2">
        <v>1.5</v>
      </c>
      <c r="F7" s="3" t="s">
        <v>29</v>
      </c>
      <c r="G7" s="1" t="s">
        <v>32</v>
      </c>
      <c r="H7" s="1">
        <f t="shared" ref="H7:R7" si="3">1/(1+EXP(-(H4-lenv50)/sdv))</f>
        <v>2.6662706008235179E-8</v>
      </c>
      <c r="I7" s="1">
        <f t="shared" si="3"/>
        <v>7.943099964778705E-5</v>
      </c>
      <c r="J7" s="1">
        <f t="shared" si="3"/>
        <v>3.6525057598242171E-2</v>
      </c>
      <c r="K7" s="1">
        <f t="shared" si="3"/>
        <v>0.81506959920156541</v>
      </c>
      <c r="L7" s="1">
        <f t="shared" si="3"/>
        <v>0.99423571624784779</v>
      </c>
      <c r="M7" s="1">
        <f t="shared" si="3"/>
        <v>0.99965710356892901</v>
      </c>
      <c r="N7" s="1">
        <f t="shared" si="3"/>
        <v>0.99996123080004629</v>
      </c>
      <c r="O7" s="1">
        <f t="shared" si="3"/>
        <v>0.99999278124083879</v>
      </c>
      <c r="P7" s="1">
        <f t="shared" si="3"/>
        <v>0.9999980249964473</v>
      </c>
      <c r="Q7" s="1">
        <f t="shared" si="3"/>
        <v>0.99999927298087077</v>
      </c>
      <c r="R7" s="2">
        <f t="shared" si="3"/>
        <v>0.9999996635719447</v>
      </c>
    </row>
    <row r="8" spans="1:18">
      <c r="A8" s="7" t="s">
        <v>13</v>
      </c>
      <c r="B8" s="1" t="s">
        <v>14</v>
      </c>
      <c r="C8" s="2">
        <v>0.25</v>
      </c>
      <c r="F8" s="3" t="s">
        <v>29</v>
      </c>
      <c r="G8" s="1" t="s">
        <v>35</v>
      </c>
      <c r="H8" s="1">
        <v>1</v>
      </c>
      <c r="I8" s="1">
        <f t="shared" ref="I8:R8" si="4">H8*EXP(-M)</f>
        <v>0.77880078307140488</v>
      </c>
      <c r="J8" s="1">
        <f t="shared" si="4"/>
        <v>0.60653065971263342</v>
      </c>
      <c r="K8" s="1">
        <f t="shared" si="4"/>
        <v>0.47236655274101469</v>
      </c>
      <c r="L8" s="1">
        <f t="shared" si="4"/>
        <v>0.36787944117144233</v>
      </c>
      <c r="M8" s="1">
        <f t="shared" si="4"/>
        <v>0.28650479686019009</v>
      </c>
      <c r="N8" s="1">
        <f t="shared" si="4"/>
        <v>0.22313016014842982</v>
      </c>
      <c r="O8" s="1">
        <f t="shared" si="4"/>
        <v>0.17377394345044511</v>
      </c>
      <c r="P8" s="1">
        <f t="shared" si="4"/>
        <v>0.13533528323661267</v>
      </c>
      <c r="Q8" s="1">
        <f t="shared" si="4"/>
        <v>0.10539922456186432</v>
      </c>
      <c r="R8" s="2">
        <f t="shared" si="4"/>
        <v>8.2084998623898786E-2</v>
      </c>
    </row>
    <row r="9" spans="1:18" ht="18" customHeight="1" thickBot="1">
      <c r="A9" s="150" t="s">
        <v>11</v>
      </c>
      <c r="B9" s="1" t="s">
        <v>34</v>
      </c>
      <c r="C9" s="2">
        <v>175</v>
      </c>
      <c r="F9" s="6" t="s">
        <v>29</v>
      </c>
      <c r="G9" s="4" t="s">
        <v>36</v>
      </c>
      <c r="H9" s="4">
        <v>1</v>
      </c>
      <c r="I9" s="4">
        <f t="shared" ref="I9:R9" si="5">H9*EXP(-(M+AVERAGE($F$20:$F$39)))</f>
        <v>0.70468808971871344</v>
      </c>
      <c r="J9" s="4">
        <f t="shared" si="5"/>
        <v>0.49658530379140953</v>
      </c>
      <c r="K9" s="4">
        <f t="shared" si="5"/>
        <v>0.34993774911115538</v>
      </c>
      <c r="L9" s="4">
        <f t="shared" si="5"/>
        <v>0.24659696394160649</v>
      </c>
      <c r="M9" s="4">
        <f t="shared" si="5"/>
        <v>0.17377394345044514</v>
      </c>
      <c r="N9" s="4">
        <f t="shared" si="5"/>
        <v>0.12245642825298192</v>
      </c>
      <c r="O9" s="4">
        <f t="shared" si="5"/>
        <v>8.6293586499370523E-2</v>
      </c>
      <c r="P9" s="4">
        <f t="shared" si="5"/>
        <v>6.0810062625217973E-2</v>
      </c>
      <c r="Q9" s="4">
        <f t="shared" si="5"/>
        <v>4.2852126867040187E-2</v>
      </c>
      <c r="R9" s="4">
        <f t="shared" si="5"/>
        <v>3.0197383422318504E-2</v>
      </c>
    </row>
    <row r="10" spans="1:18" ht="16" customHeight="1" thickBot="1">
      <c r="A10" s="151"/>
      <c r="B10" s="4" t="s">
        <v>12</v>
      </c>
      <c r="C10" s="5">
        <v>10</v>
      </c>
    </row>
    <row r="11" spans="1:18" ht="17" customHeight="1"/>
    <row r="12" spans="1:18" ht="16" customHeight="1" thickBot="1"/>
    <row r="13" spans="1:18">
      <c r="A13" s="159" t="s">
        <v>15</v>
      </c>
      <c r="B13" s="160"/>
      <c r="C13" s="161"/>
    </row>
    <row r="14" spans="1:18">
      <c r="A14" s="59" t="s">
        <v>61</v>
      </c>
      <c r="B14" s="1" t="s">
        <v>41</v>
      </c>
      <c r="C14" s="67">
        <v>0.85</v>
      </c>
    </row>
    <row r="15" spans="1:18">
      <c r="A15" s="62" t="s">
        <v>64</v>
      </c>
      <c r="B15" s="1" t="s">
        <v>18</v>
      </c>
      <c r="C15" s="70">
        <v>4000</v>
      </c>
      <c r="D15" s="1"/>
    </row>
    <row r="16" spans="1:18" ht="17" thickBot="1">
      <c r="A16" s="62" t="s">
        <v>65</v>
      </c>
      <c r="B16" s="64" t="s">
        <v>16</v>
      </c>
      <c r="C16" s="67">
        <v>0.1</v>
      </c>
      <c r="D16" s="1"/>
      <c r="G16" s="14"/>
    </row>
    <row r="17" spans="1:70" ht="17" thickBot="1">
      <c r="A17" s="60" t="s">
        <v>60</v>
      </c>
      <c r="B17" s="64" t="s">
        <v>52</v>
      </c>
      <c r="C17" s="69">
        <v>0.5</v>
      </c>
      <c r="D17" s="1"/>
      <c r="N17" s="168" t="s">
        <v>40</v>
      </c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70"/>
      <c r="AA17" s="153" t="s">
        <v>39</v>
      </c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5"/>
      <c r="AN17" s="156" t="s">
        <v>50</v>
      </c>
      <c r="AO17" s="157"/>
      <c r="AP17" s="157"/>
      <c r="AQ17" s="157"/>
      <c r="AR17" s="157"/>
      <c r="AS17" s="157"/>
      <c r="AT17" s="157"/>
      <c r="AU17" s="157"/>
      <c r="AV17" s="157"/>
      <c r="AW17" s="157"/>
      <c r="AX17" s="157"/>
      <c r="AY17" s="158"/>
      <c r="BA17" s="171" t="s">
        <v>47</v>
      </c>
      <c r="BB17" s="172"/>
      <c r="BC17" s="172"/>
      <c r="BD17" s="172"/>
      <c r="BE17" s="172"/>
      <c r="BF17" s="172"/>
      <c r="BG17" s="172"/>
      <c r="BH17" s="172"/>
      <c r="BI17" s="172"/>
      <c r="BJ17" s="172"/>
      <c r="BK17" s="172"/>
      <c r="BL17" s="173"/>
      <c r="BM17" s="165"/>
      <c r="BN17" s="165"/>
      <c r="BO17" s="165"/>
      <c r="BP17" s="165"/>
      <c r="BQ17" s="165"/>
      <c r="BR17" s="165"/>
    </row>
    <row r="18" spans="1:70" ht="17" thickBot="1">
      <c r="A18" s="8"/>
      <c r="B18" s="8"/>
      <c r="C18" s="110"/>
      <c r="D18" s="1"/>
      <c r="N18" s="21"/>
      <c r="O18" s="22" t="s">
        <v>37</v>
      </c>
      <c r="P18" s="22"/>
      <c r="Q18" s="22"/>
      <c r="R18" s="22"/>
      <c r="S18" s="22"/>
      <c r="T18" s="22"/>
      <c r="U18" s="22"/>
      <c r="V18" s="22"/>
      <c r="W18" s="22"/>
      <c r="X18" s="22"/>
      <c r="Y18" s="23"/>
      <c r="AA18" s="15"/>
      <c r="AB18" s="28" t="s">
        <v>37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9"/>
      <c r="AN18" s="37"/>
      <c r="AO18" s="41" t="s">
        <v>37</v>
      </c>
      <c r="AP18" s="41"/>
      <c r="AQ18" s="41"/>
      <c r="AR18" s="41"/>
      <c r="AS18" s="41"/>
      <c r="AT18" s="41"/>
      <c r="AU18" s="41"/>
      <c r="AV18" s="41"/>
      <c r="AW18" s="41"/>
      <c r="AX18" s="41"/>
      <c r="AY18" s="43"/>
      <c r="BA18" s="52"/>
      <c r="BB18" s="49" t="s">
        <v>37</v>
      </c>
      <c r="BC18" s="49"/>
      <c r="BD18" s="49"/>
      <c r="BE18" s="49"/>
      <c r="BF18" s="49"/>
      <c r="BG18" s="49"/>
      <c r="BH18" s="49"/>
      <c r="BI18" s="49"/>
      <c r="BJ18" s="49"/>
      <c r="BK18" s="49"/>
      <c r="BL18" s="53"/>
      <c r="BM18" s="165"/>
      <c r="BN18" s="165"/>
      <c r="BO18" s="165"/>
      <c r="BP18" s="165"/>
      <c r="BQ18" s="165"/>
      <c r="BR18" s="165"/>
    </row>
    <row r="19" spans="1:70" ht="17" thickBot="1">
      <c r="E19" s="94" t="s">
        <v>38</v>
      </c>
      <c r="F19" s="97" t="s">
        <v>44</v>
      </c>
      <c r="G19" s="97" t="s">
        <v>48</v>
      </c>
      <c r="H19" s="38" t="s">
        <v>46</v>
      </c>
      <c r="I19" s="38" t="s">
        <v>85</v>
      </c>
      <c r="J19" s="111" t="s">
        <v>86</v>
      </c>
      <c r="L19" s="39" t="s">
        <v>43</v>
      </c>
      <c r="M19" s="40" t="s">
        <v>42</v>
      </c>
      <c r="N19" s="27" t="s">
        <v>38</v>
      </c>
      <c r="O19" s="20">
        <v>0</v>
      </c>
      <c r="P19" s="26">
        <v>1</v>
      </c>
      <c r="Q19" s="26">
        <v>2</v>
      </c>
      <c r="R19" s="26">
        <v>3</v>
      </c>
      <c r="S19" s="26">
        <v>4</v>
      </c>
      <c r="T19" s="26">
        <v>5</v>
      </c>
      <c r="U19" s="26">
        <v>6</v>
      </c>
      <c r="V19" s="26">
        <v>7</v>
      </c>
      <c r="W19" s="26">
        <v>8</v>
      </c>
      <c r="X19" s="26">
        <v>9</v>
      </c>
      <c r="Y19" s="78" t="s">
        <v>72</v>
      </c>
      <c r="AA19" s="32" t="s">
        <v>38</v>
      </c>
      <c r="AB19" s="30">
        <v>0</v>
      </c>
      <c r="AC19" s="30">
        <v>1</v>
      </c>
      <c r="AD19" s="30">
        <v>2</v>
      </c>
      <c r="AE19" s="30">
        <v>3</v>
      </c>
      <c r="AF19" s="30">
        <v>4</v>
      </c>
      <c r="AG19" s="30">
        <v>5</v>
      </c>
      <c r="AH19" s="30">
        <v>6</v>
      </c>
      <c r="AI19" s="30">
        <v>7</v>
      </c>
      <c r="AJ19" s="30">
        <v>8</v>
      </c>
      <c r="AK19" s="30">
        <v>9</v>
      </c>
      <c r="AL19" s="31">
        <v>10</v>
      </c>
      <c r="AN19" s="46" t="s">
        <v>38</v>
      </c>
      <c r="AO19" s="44">
        <v>0</v>
      </c>
      <c r="AP19" s="44">
        <v>1</v>
      </c>
      <c r="AQ19" s="44">
        <v>2</v>
      </c>
      <c r="AR19" s="44">
        <v>3</v>
      </c>
      <c r="AS19" s="44">
        <v>4</v>
      </c>
      <c r="AT19" s="44">
        <v>5</v>
      </c>
      <c r="AU19" s="44">
        <v>6</v>
      </c>
      <c r="AV19" s="44">
        <v>7</v>
      </c>
      <c r="AW19" s="44">
        <v>8</v>
      </c>
      <c r="AX19" s="44">
        <v>9</v>
      </c>
      <c r="AY19" s="45">
        <v>10</v>
      </c>
      <c r="BA19" s="54" t="s">
        <v>38</v>
      </c>
      <c r="BB19" s="51">
        <v>0</v>
      </c>
      <c r="BC19" s="51">
        <v>1</v>
      </c>
      <c r="BD19" s="51">
        <v>2</v>
      </c>
      <c r="BE19" s="51">
        <v>3</v>
      </c>
      <c r="BF19" s="51">
        <v>4</v>
      </c>
      <c r="BG19" s="51">
        <v>5</v>
      </c>
      <c r="BH19" s="51">
        <v>6</v>
      </c>
      <c r="BI19" s="51">
        <v>7</v>
      </c>
      <c r="BJ19" s="51">
        <v>8</v>
      </c>
      <c r="BK19" s="51">
        <v>9</v>
      </c>
      <c r="BL19" s="55">
        <v>10</v>
      </c>
      <c r="BM19" s="165"/>
      <c r="BN19" s="165"/>
      <c r="BO19" s="165"/>
      <c r="BP19" s="165"/>
      <c r="BQ19" s="165"/>
      <c r="BR19" s="165"/>
    </row>
    <row r="20" spans="1:70">
      <c r="A20" s="159" t="s">
        <v>53</v>
      </c>
      <c r="B20" s="160"/>
      <c r="C20" s="161"/>
      <c r="E20" s="94">
        <v>1</v>
      </c>
      <c r="F20" s="98">
        <f t="shared" ref="F20:F30" si="6">MAX(0.000001,Fbar+G20)</f>
        <v>0.1</v>
      </c>
      <c r="G20" s="98">
        <v>0</v>
      </c>
      <c r="H20" s="18">
        <f t="shared" ref="H20:H39" si="7">SUM(AB20:AL20)</f>
        <v>2806</v>
      </c>
      <c r="I20" s="18">
        <v>412.24912799128799</v>
      </c>
      <c r="J20" s="16">
        <f>H20/I20</f>
        <v>6.8065638214262005</v>
      </c>
      <c r="L20" s="35">
        <f t="shared" ref="L20:L39" si="8">SUMPRODUCT(O20:Y20,$H$6:$R$6)</f>
        <v>19859.082226496503</v>
      </c>
      <c r="M20" s="20">
        <f t="shared" ref="M20:M39" si="9">SUM(O20:Y20)</f>
        <v>16422.741563556705</v>
      </c>
      <c r="N20" s="21">
        <v>1</v>
      </c>
      <c r="O20" s="142">
        <f>Ro</f>
        <v>4000</v>
      </c>
      <c r="P20" s="130">
        <f t="shared" ref="P20:X20" si="10">Ro*EXP(-(AO20+M*P19))</f>
        <v>3115.2031239796447</v>
      </c>
      <c r="Q20" s="130">
        <f t="shared" si="10"/>
        <v>2426.1033679924217</v>
      </c>
      <c r="R20" s="130">
        <f t="shared" si="10"/>
        <v>1882.5775129085746</v>
      </c>
      <c r="S20" s="130">
        <f t="shared" si="10"/>
        <v>1356.3366168145396</v>
      </c>
      <c r="T20" s="130">
        <f t="shared" si="10"/>
        <v>1037.5589486609626</v>
      </c>
      <c r="U20" s="130">
        <f t="shared" si="10"/>
        <v>807.61376429158508</v>
      </c>
      <c r="V20" s="130">
        <f t="shared" si="10"/>
        <v>628.95110364289349</v>
      </c>
      <c r="W20" s="130">
        <f t="shared" si="10"/>
        <v>489.82606660544064</v>
      </c>
      <c r="X20" s="130">
        <f t="shared" si="10"/>
        <v>381.47672420397953</v>
      </c>
      <c r="Y20" s="130">
        <f>Ro*EXP(-(AX20+M*10))</f>
        <v>297.09433445666116</v>
      </c>
      <c r="AA20" s="33">
        <v>1</v>
      </c>
      <c r="AB20" s="18">
        <v>0</v>
      </c>
      <c r="AC20" s="18">
        <v>0</v>
      </c>
      <c r="AD20" s="18">
        <v>106</v>
      </c>
      <c r="AE20" s="18">
        <v>681</v>
      </c>
      <c r="AF20" s="18">
        <v>541</v>
      </c>
      <c r="AG20" s="18">
        <v>421</v>
      </c>
      <c r="AH20" s="18">
        <v>328</v>
      </c>
      <c r="AI20" s="18">
        <v>255</v>
      </c>
      <c r="AJ20" s="18">
        <v>199</v>
      </c>
      <c r="AK20" s="18">
        <v>155</v>
      </c>
      <c r="AL20" s="16">
        <v>120</v>
      </c>
      <c r="AN20" s="47">
        <v>1</v>
      </c>
      <c r="AO20" s="42">
        <f t="shared" ref="AO20:AO39" si="11">$F20*H$7</f>
        <v>2.6662706008235182E-9</v>
      </c>
      <c r="AP20" s="42">
        <f t="shared" ref="AP20:AP39" si="12">$F20*I$7</f>
        <v>7.943099964778705E-6</v>
      </c>
      <c r="AQ20" s="42">
        <f t="shared" ref="AQ20:AQ39" si="13">$F20*J$7</f>
        <v>3.6525057598242173E-3</v>
      </c>
      <c r="AR20" s="42">
        <f t="shared" ref="AR20:AR39" si="14">$F20*K$7</f>
        <v>8.1506959920156552E-2</v>
      </c>
      <c r="AS20" s="42">
        <f t="shared" ref="AS20:AS39" si="15">$F20*L$7</f>
        <v>9.9423571624784782E-2</v>
      </c>
      <c r="AT20" s="42">
        <f t="shared" ref="AT20:AT39" si="16">$F20*M$7</f>
        <v>9.9965710356892903E-2</v>
      </c>
      <c r="AU20" s="42">
        <f t="shared" ref="AU20:AU39" si="17">$F20*N$7</f>
        <v>9.9996123080004634E-2</v>
      </c>
      <c r="AV20" s="42">
        <f t="shared" ref="AV20:AV39" si="18">$F20*O$7</f>
        <v>9.9999278124083879E-2</v>
      </c>
      <c r="AW20" s="42">
        <f t="shared" ref="AW20:AW39" si="19">$F20*P$7</f>
        <v>9.9999802499644741E-2</v>
      </c>
      <c r="AX20" s="42">
        <f t="shared" ref="AX20:AX39" si="20">$F20*Q$7</f>
        <v>9.9999927298087085E-2</v>
      </c>
      <c r="AY20" s="42">
        <f t="shared" ref="AY20:AY39" si="21">$F20*R$7</f>
        <v>9.9999966357194478E-2</v>
      </c>
      <c r="BA20" s="56">
        <v>1</v>
      </c>
      <c r="BB20" s="50">
        <f>(AO20/AO44)*(1-EXP(-AO44))*O20</f>
        <v>9.4364314922939377E-6</v>
      </c>
      <c r="BC20" s="50">
        <f t="shared" ref="BC20:BL20" si="22">(AP20/AP44)*(1-EXP(-AP44))*P20</f>
        <v>2.1893657581525915E-2</v>
      </c>
      <c r="BD20" s="50">
        <f t="shared" si="22"/>
        <v>7.8267940933330724</v>
      </c>
      <c r="BE20" s="50">
        <f t="shared" si="22"/>
        <v>130.60162242218931</v>
      </c>
      <c r="BF20" s="50">
        <f t="shared" si="22"/>
        <v>113.81189500788359</v>
      </c>
      <c r="BG20" s="50">
        <f t="shared" si="22"/>
        <v>87.515256075393992</v>
      </c>
      <c r="BH20" s="50">
        <f t="shared" si="22"/>
        <v>68.139757861687656</v>
      </c>
      <c r="BI20" s="50">
        <f t="shared" si="22"/>
        <v>53.067278353644774</v>
      </c>
      <c r="BJ20" s="50">
        <f t="shared" si="22"/>
        <v>41.32891405726464</v>
      </c>
      <c r="BK20" s="50">
        <f t="shared" si="22"/>
        <v>32.187012030619037</v>
      </c>
      <c r="BL20" s="50">
        <f t="shared" si="22"/>
        <v>25.067276375823017</v>
      </c>
      <c r="BM20" s="165"/>
      <c r="BN20" s="165"/>
      <c r="BO20" s="165"/>
      <c r="BP20" s="165"/>
      <c r="BQ20" s="165"/>
      <c r="BR20" s="165"/>
    </row>
    <row r="21" spans="1:70">
      <c r="A21" s="59" t="s">
        <v>54</v>
      </c>
      <c r="B21" s="1" t="s">
        <v>55</v>
      </c>
      <c r="C21" s="63">
        <f>IFERROR(SUM(BB44:BL63),10000)</f>
        <v>-537.94305489870101</v>
      </c>
      <c r="E21" s="94">
        <v>2</v>
      </c>
      <c r="F21" s="98">
        <f t="shared" si="6"/>
        <v>0.1</v>
      </c>
      <c r="G21" s="98">
        <v>0</v>
      </c>
      <c r="H21" s="18">
        <f t="shared" si="7"/>
        <v>1966</v>
      </c>
      <c r="I21" s="18">
        <v>496.39116814446777</v>
      </c>
      <c r="J21" s="16">
        <f t="shared" ref="J21:J39" si="23">H21/I21</f>
        <v>3.9605861791397201</v>
      </c>
      <c r="L21" s="35">
        <f t="shared" si="8"/>
        <v>19839.153498341988</v>
      </c>
      <c r="M21" s="20">
        <f t="shared" si="9"/>
        <v>16280.774676801346</v>
      </c>
      <c r="N21" s="21">
        <v>2</v>
      </c>
      <c r="O21" s="143">
        <f t="shared" ref="O21:O30" si="24">(bha*L20)/(1+bhb*L20)</f>
        <v>3982.2998238530126</v>
      </c>
      <c r="P21" s="132">
        <f>O20*EXP(-AO44)</f>
        <v>3115.2031239796447</v>
      </c>
      <c r="Q21" s="132">
        <f t="shared" ref="Q21:Y36" si="25">P20*EXP(-AP44)</f>
        <v>2426.1033615237734</v>
      </c>
      <c r="R21" s="132">
        <f t="shared" si="25"/>
        <v>1882.5625594665864</v>
      </c>
      <c r="S21" s="132">
        <f t="shared" si="25"/>
        <v>1351.3916258109348</v>
      </c>
      <c r="T21" s="132">
        <f t="shared" si="25"/>
        <v>956.34536527187231</v>
      </c>
      <c r="U21" s="132">
        <f t="shared" si="25"/>
        <v>731.18050499116475</v>
      </c>
      <c r="V21" s="132">
        <f t="shared" si="25"/>
        <v>569.11800720988117</v>
      </c>
      <c r="W21" s="132">
        <f t="shared" si="25"/>
        <v>443.21467169846886</v>
      </c>
      <c r="X21" s="132">
        <f t="shared" si="25"/>
        <v>345.17466334273115</v>
      </c>
      <c r="Y21" s="132">
        <f>X20*EXP(-AX44)+Y20*EXP(-AY44)</f>
        <v>478.18096965327265</v>
      </c>
      <c r="AA21" s="33">
        <v>2</v>
      </c>
      <c r="AB21" s="18">
        <v>0</v>
      </c>
      <c r="AC21" s="18">
        <v>0</v>
      </c>
      <c r="AD21" s="18">
        <v>146</v>
      </c>
      <c r="AE21" s="18">
        <v>660</v>
      </c>
      <c r="AF21" s="18">
        <v>314</v>
      </c>
      <c r="AG21" s="18">
        <v>241</v>
      </c>
      <c r="AH21" s="18">
        <v>188</v>
      </c>
      <c r="AI21" s="18">
        <v>146</v>
      </c>
      <c r="AJ21" s="18">
        <v>114</v>
      </c>
      <c r="AK21" s="18">
        <v>88</v>
      </c>
      <c r="AL21" s="16">
        <v>69</v>
      </c>
      <c r="AN21" s="47">
        <v>2</v>
      </c>
      <c r="AO21" s="42">
        <f t="shared" si="11"/>
        <v>2.6662706008235182E-9</v>
      </c>
      <c r="AP21" s="42">
        <f t="shared" si="12"/>
        <v>7.943099964778705E-6</v>
      </c>
      <c r="AQ21" s="42">
        <f t="shared" si="13"/>
        <v>3.6525057598242173E-3</v>
      </c>
      <c r="AR21" s="42">
        <f t="shared" si="14"/>
        <v>8.1506959920156552E-2</v>
      </c>
      <c r="AS21" s="42">
        <f t="shared" si="15"/>
        <v>9.9423571624784782E-2</v>
      </c>
      <c r="AT21" s="42">
        <f t="shared" si="16"/>
        <v>9.9965710356892903E-2</v>
      </c>
      <c r="AU21" s="42">
        <f t="shared" si="17"/>
        <v>9.9996123080004634E-2</v>
      </c>
      <c r="AV21" s="42">
        <f t="shared" si="18"/>
        <v>9.9999278124083879E-2</v>
      </c>
      <c r="AW21" s="42">
        <f t="shared" si="19"/>
        <v>9.9999802499644741E-2</v>
      </c>
      <c r="AX21" s="42">
        <f t="shared" si="20"/>
        <v>9.9999927298087085E-2</v>
      </c>
      <c r="AY21" s="42">
        <f t="shared" si="21"/>
        <v>9.9999966357194478E-2</v>
      </c>
      <c r="BA21" s="56">
        <v>2</v>
      </c>
      <c r="BB21" s="50">
        <f t="shared" ref="BB21:BB39" si="26">(AO21/AO45)*(1-EXP(-AO45))*O21</f>
        <v>9.3946748673907918E-6</v>
      </c>
      <c r="BC21" s="50">
        <f t="shared" ref="BC21:BC39" si="27">(AP21/AP45)*(1-EXP(-AP45))*P21</f>
        <v>2.1893657581525915E-2</v>
      </c>
      <c r="BD21" s="50">
        <f t="shared" ref="BD21:BD39" si="28">(AQ21/AQ45)*(1-EXP(-AQ45))*Q21</f>
        <v>7.8267940724647209</v>
      </c>
      <c r="BE21" s="50">
        <f t="shared" ref="BE21:BE39" si="29">(AR21/AR45)*(1-EXP(-AR45))*R21</f>
        <v>130.60058504456686</v>
      </c>
      <c r="BF21" s="50">
        <f t="shared" ref="BF21:BF39" si="30">(AS21/AS45)*(1-EXP(-AS45))*S21</f>
        <v>113.39695465315147</v>
      </c>
      <c r="BG21" s="50">
        <f t="shared" ref="BG21:BG39" si="31">(AT21/AT45)*(1-EXP(-AT45))*T21</f>
        <v>80.665112711232183</v>
      </c>
      <c r="BH21" s="50">
        <f t="shared" ref="BH21:BH39" si="32">(AU21/AU45)*(1-EXP(-AU45))*U21</f>
        <v>61.690952737769727</v>
      </c>
      <c r="BI21" s="50">
        <f t="shared" ref="BI21:BI39" si="33">(AV21/AV45)*(1-EXP(-AV45))*V21</f>
        <v>48.01890565061516</v>
      </c>
      <c r="BJ21" s="50">
        <f t="shared" ref="BJ21:BJ39" si="34">(AW21/AW45)*(1-EXP(-AW45))*W21</f>
        <v>37.396092867184549</v>
      </c>
      <c r="BK21" s="50">
        <f t="shared" ref="BK21:BK39" si="35">(AX21/AX45)*(1-EXP(-AX45))*X21</f>
        <v>29.124033884008757</v>
      </c>
      <c r="BL21" s="50">
        <f t="shared" ref="BL21:BL39" si="36">(AY21/AY45)*(1-EXP(-AY45))*Y21</f>
        <v>40.346425810776246</v>
      </c>
      <c r="BM21" s="165"/>
      <c r="BN21" s="165"/>
      <c r="BO21" s="165"/>
      <c r="BP21" s="165"/>
      <c r="BQ21" s="165"/>
      <c r="BR21" s="165"/>
    </row>
    <row r="22" spans="1:70" ht="17" thickBot="1">
      <c r="A22" s="60" t="s">
        <v>56</v>
      </c>
      <c r="B22" s="64" t="s">
        <v>57</v>
      </c>
      <c r="C22" s="65">
        <f>SUM(C21)</f>
        <v>-537.94305489870101</v>
      </c>
      <c r="E22" s="94">
        <v>3</v>
      </c>
      <c r="F22" s="98">
        <f t="shared" si="6"/>
        <v>0.1</v>
      </c>
      <c r="G22" s="98">
        <v>0</v>
      </c>
      <c r="H22" s="18">
        <f t="shared" si="7"/>
        <v>1207</v>
      </c>
      <c r="I22" s="18">
        <v>188.24436422588224</v>
      </c>
      <c r="J22" s="16">
        <f t="shared" si="23"/>
        <v>6.4118785439529571</v>
      </c>
      <c r="L22" s="35">
        <f t="shared" si="8"/>
        <v>19605.243572678937</v>
      </c>
      <c r="M22" s="20">
        <f t="shared" si="9"/>
        <v>16179.222688720076</v>
      </c>
      <c r="N22" s="21">
        <v>3</v>
      </c>
      <c r="O22" s="143">
        <f t="shared" si="24"/>
        <v>3982.1064298297383</v>
      </c>
      <c r="P22" s="132">
        <f t="shared" ref="P22:Y37" si="37">O21*EXP(-AO45)</f>
        <v>3101.4182129726237</v>
      </c>
      <c r="Q22" s="132">
        <f t="shared" si="25"/>
        <v>2426.1033615237734</v>
      </c>
      <c r="R22" s="132">
        <f t="shared" si="25"/>
        <v>1882.562554447165</v>
      </c>
      <c r="S22" s="132">
        <f t="shared" si="25"/>
        <v>1351.3808916147907</v>
      </c>
      <c r="T22" s="132">
        <f t="shared" si="25"/>
        <v>952.85867976255133</v>
      </c>
      <c r="U22" s="132">
        <f t="shared" si="25"/>
        <v>673.94829761517599</v>
      </c>
      <c r="V22" s="132">
        <f t="shared" si="25"/>
        <v>515.25619090494502</v>
      </c>
      <c r="W22" s="132">
        <f t="shared" si="25"/>
        <v>401.05097083418462</v>
      </c>
      <c r="X22" s="132">
        <f t="shared" si="25"/>
        <v>312.32816201941762</v>
      </c>
      <c r="Y22" s="132">
        <f t="shared" ref="Y22:Y38" si="38">X21*EXP(-AX45)+Y21*EXP(-AY45)</f>
        <v>580.20893719570813</v>
      </c>
      <c r="AA22" s="33">
        <v>3</v>
      </c>
      <c r="AB22" s="18">
        <v>0</v>
      </c>
      <c r="AC22" s="18">
        <v>0</v>
      </c>
      <c r="AD22" s="18">
        <v>49</v>
      </c>
      <c r="AE22" s="18">
        <v>482</v>
      </c>
      <c r="AF22" s="18">
        <v>248</v>
      </c>
      <c r="AG22" s="18">
        <v>123</v>
      </c>
      <c r="AH22" s="18">
        <v>95</v>
      </c>
      <c r="AI22" s="18">
        <v>74</v>
      </c>
      <c r="AJ22" s="18">
        <v>57</v>
      </c>
      <c r="AK22" s="18">
        <v>44</v>
      </c>
      <c r="AL22" s="16">
        <v>35</v>
      </c>
      <c r="AN22" s="47">
        <v>3</v>
      </c>
      <c r="AO22" s="42">
        <f t="shared" si="11"/>
        <v>2.6662706008235182E-9</v>
      </c>
      <c r="AP22" s="42">
        <f t="shared" si="12"/>
        <v>7.943099964778705E-6</v>
      </c>
      <c r="AQ22" s="42">
        <f t="shared" si="13"/>
        <v>3.6525057598242173E-3</v>
      </c>
      <c r="AR22" s="42">
        <f t="shared" si="14"/>
        <v>8.1506959920156552E-2</v>
      </c>
      <c r="AS22" s="42">
        <f t="shared" si="15"/>
        <v>9.9423571624784782E-2</v>
      </c>
      <c r="AT22" s="42">
        <f t="shared" si="16"/>
        <v>9.9965710356892903E-2</v>
      </c>
      <c r="AU22" s="42">
        <f t="shared" si="17"/>
        <v>9.9996123080004634E-2</v>
      </c>
      <c r="AV22" s="42">
        <f t="shared" si="18"/>
        <v>9.9999278124083879E-2</v>
      </c>
      <c r="AW22" s="42">
        <f t="shared" si="19"/>
        <v>9.9999802499644741E-2</v>
      </c>
      <c r="AX22" s="42">
        <f t="shared" si="20"/>
        <v>9.9999927298087085E-2</v>
      </c>
      <c r="AY22" s="42">
        <f t="shared" si="21"/>
        <v>9.9999966357194478E-2</v>
      </c>
      <c r="BA22" s="56">
        <v>3</v>
      </c>
      <c r="BB22" s="50">
        <f t="shared" si="26"/>
        <v>9.3942186300278799E-6</v>
      </c>
      <c r="BC22" s="50">
        <f t="shared" si="27"/>
        <v>2.1796777182602207E-2</v>
      </c>
      <c r="BD22" s="50">
        <f t="shared" si="28"/>
        <v>7.8267940724647209</v>
      </c>
      <c r="BE22" s="50">
        <f t="shared" si="29"/>
        <v>130.60058469635032</v>
      </c>
      <c r="BF22" s="50">
        <f t="shared" si="30"/>
        <v>113.39605393338219</v>
      </c>
      <c r="BG22" s="50">
        <f t="shared" si="31"/>
        <v>80.371020336436132</v>
      </c>
      <c r="BH22" s="50">
        <f t="shared" si="32"/>
        <v>56.862173282889401</v>
      </c>
      <c r="BI22" s="50">
        <f t="shared" si="33"/>
        <v>43.474355236550196</v>
      </c>
      <c r="BJ22" s="50">
        <f t="shared" si="34"/>
        <v>33.838544406294083</v>
      </c>
      <c r="BK22" s="50">
        <f t="shared" si="35"/>
        <v>26.352617789191072</v>
      </c>
      <c r="BL22" s="50">
        <f t="shared" si="36"/>
        <v>48.955015621575271</v>
      </c>
      <c r="BM22" s="165"/>
      <c r="BN22" s="165"/>
      <c r="BO22" s="165"/>
      <c r="BP22" s="165"/>
      <c r="BQ22" s="165"/>
      <c r="BR22" s="165"/>
    </row>
    <row r="23" spans="1:70" ht="17" thickBot="1">
      <c r="E23" s="94">
        <v>4</v>
      </c>
      <c r="F23" s="98">
        <f t="shared" si="6"/>
        <v>0.1</v>
      </c>
      <c r="G23" s="98">
        <v>0</v>
      </c>
      <c r="H23" s="18">
        <f t="shared" si="7"/>
        <v>1440</v>
      </c>
      <c r="I23" s="18">
        <v>323.67359571820191</v>
      </c>
      <c r="J23" s="16">
        <f t="shared" si="23"/>
        <v>4.4489263846337934</v>
      </c>
      <c r="L23" s="35">
        <f t="shared" si="8"/>
        <v>19316.951206758335</v>
      </c>
      <c r="M23" s="20">
        <f t="shared" si="9"/>
        <v>16104.326170477791</v>
      </c>
      <c r="N23" s="21">
        <v>4</v>
      </c>
      <c r="O23" s="143">
        <f t="shared" si="24"/>
        <v>3979.8085502059075</v>
      </c>
      <c r="P23" s="132">
        <f t="shared" si="37"/>
        <v>3101.2675975562579</v>
      </c>
      <c r="Q23" s="132">
        <f t="shared" si="25"/>
        <v>2415.3677473113316</v>
      </c>
      <c r="R23" s="132">
        <f t="shared" si="25"/>
        <v>1882.562554447165</v>
      </c>
      <c r="S23" s="132">
        <f t="shared" si="25"/>
        <v>1351.3808880116435</v>
      </c>
      <c r="T23" s="132">
        <f t="shared" si="25"/>
        <v>952.85111114086476</v>
      </c>
      <c r="U23" s="132">
        <f t="shared" si="25"/>
        <v>671.49118761218199</v>
      </c>
      <c r="V23" s="132">
        <f t="shared" si="25"/>
        <v>474.92517965897343</v>
      </c>
      <c r="W23" s="132">
        <f t="shared" si="25"/>
        <v>363.09516299410524</v>
      </c>
      <c r="X23" s="132">
        <f t="shared" si="25"/>
        <v>282.61589833371181</v>
      </c>
      <c r="Y23" s="132">
        <f t="shared" si="38"/>
        <v>628.96029320565003</v>
      </c>
      <c r="AA23" s="33">
        <v>4</v>
      </c>
      <c r="AB23" s="18">
        <v>0</v>
      </c>
      <c r="AC23" s="18">
        <v>0</v>
      </c>
      <c r="AD23" s="18">
        <v>83</v>
      </c>
      <c r="AE23" s="18">
        <v>628</v>
      </c>
      <c r="AF23" s="18">
        <v>339</v>
      </c>
      <c r="AG23" s="18">
        <v>151</v>
      </c>
      <c r="AH23" s="18">
        <v>75</v>
      </c>
      <c r="AI23" s="18">
        <v>57</v>
      </c>
      <c r="AJ23" s="18">
        <v>45</v>
      </c>
      <c r="AK23" s="18">
        <v>35</v>
      </c>
      <c r="AL23" s="16">
        <v>27</v>
      </c>
      <c r="AN23" s="47">
        <v>4</v>
      </c>
      <c r="AO23" s="42">
        <f t="shared" si="11"/>
        <v>2.6662706008235182E-9</v>
      </c>
      <c r="AP23" s="42">
        <f t="shared" si="12"/>
        <v>7.943099964778705E-6</v>
      </c>
      <c r="AQ23" s="42">
        <f t="shared" si="13"/>
        <v>3.6525057598242173E-3</v>
      </c>
      <c r="AR23" s="42">
        <f t="shared" si="14"/>
        <v>8.1506959920156552E-2</v>
      </c>
      <c r="AS23" s="42">
        <f t="shared" si="15"/>
        <v>9.9423571624784782E-2</v>
      </c>
      <c r="AT23" s="42">
        <f t="shared" si="16"/>
        <v>9.9965710356892903E-2</v>
      </c>
      <c r="AU23" s="42">
        <f t="shared" si="17"/>
        <v>9.9996123080004634E-2</v>
      </c>
      <c r="AV23" s="42">
        <f t="shared" si="18"/>
        <v>9.9999278124083879E-2</v>
      </c>
      <c r="AW23" s="42">
        <f t="shared" si="19"/>
        <v>9.9999802499644741E-2</v>
      </c>
      <c r="AX23" s="42">
        <f t="shared" si="20"/>
        <v>9.9999927298087085E-2</v>
      </c>
      <c r="AY23" s="42">
        <f t="shared" si="21"/>
        <v>9.9999966357194478E-2</v>
      </c>
      <c r="BA23" s="56">
        <v>4</v>
      </c>
      <c r="BB23" s="50">
        <f t="shared" si="26"/>
        <v>9.3887976841159252E-6</v>
      </c>
      <c r="BC23" s="50">
        <f t="shared" si="27"/>
        <v>2.179571865697124E-2</v>
      </c>
      <c r="BD23" s="50">
        <f t="shared" si="28"/>
        <v>7.7921601640275169</v>
      </c>
      <c r="BE23" s="50">
        <f t="shared" si="29"/>
        <v>130.60058469635032</v>
      </c>
      <c r="BF23" s="50">
        <f t="shared" si="30"/>
        <v>113.39605363103763</v>
      </c>
      <c r="BG23" s="50">
        <f t="shared" si="31"/>
        <v>80.370381943922737</v>
      </c>
      <c r="BH23" s="50">
        <f t="shared" si="32"/>
        <v>56.654862699481491</v>
      </c>
      <c r="BI23" s="50">
        <f t="shared" si="33"/>
        <v>40.071456366228553</v>
      </c>
      <c r="BJ23" s="50">
        <f t="shared" si="34"/>
        <v>30.636035542141958</v>
      </c>
      <c r="BK23" s="50">
        <f t="shared" si="35"/>
        <v>23.845652283748151</v>
      </c>
      <c r="BL23" s="50">
        <f t="shared" si="36"/>
        <v>53.068401752052367</v>
      </c>
    </row>
    <row r="24" spans="1:70">
      <c r="A24" s="159" t="s">
        <v>17</v>
      </c>
      <c r="B24" s="160"/>
      <c r="C24" s="161"/>
      <c r="E24" s="94">
        <v>5</v>
      </c>
      <c r="F24" s="98">
        <f t="shared" si="6"/>
        <v>0.1</v>
      </c>
      <c r="G24" s="98">
        <v>0</v>
      </c>
      <c r="H24" s="18">
        <f t="shared" si="7"/>
        <v>1171</v>
      </c>
      <c r="I24" s="18">
        <v>202.24580574140785</v>
      </c>
      <c r="J24" s="16">
        <f t="shared" si="23"/>
        <v>5.7899841023019505</v>
      </c>
      <c r="L24" s="35">
        <f t="shared" si="8"/>
        <v>19047.562909944769</v>
      </c>
      <c r="M24" s="20">
        <f t="shared" si="9"/>
        <v>16047.695944469542</v>
      </c>
      <c r="N24" s="21">
        <v>5</v>
      </c>
      <c r="O24" s="143">
        <f t="shared" si="24"/>
        <v>3976.9036679865399</v>
      </c>
      <c r="P24" s="132">
        <f t="shared" si="37"/>
        <v>3099.4780071105861</v>
      </c>
      <c r="Q24" s="132">
        <f t="shared" si="25"/>
        <v>2415.2504488388404</v>
      </c>
      <c r="R24" s="132">
        <f t="shared" si="25"/>
        <v>1874.2321322418061</v>
      </c>
      <c r="S24" s="132">
        <f t="shared" si="25"/>
        <v>1351.3808880116435</v>
      </c>
      <c r="T24" s="132">
        <f t="shared" si="25"/>
        <v>952.85110860030591</v>
      </c>
      <c r="U24" s="132">
        <f t="shared" si="25"/>
        <v>671.4858539117364</v>
      </c>
      <c r="V24" s="132">
        <f t="shared" si="25"/>
        <v>473.19367679184978</v>
      </c>
      <c r="W24" s="132">
        <f t="shared" si="25"/>
        <v>334.67435920647125</v>
      </c>
      <c r="X24" s="132">
        <f t="shared" si="25"/>
        <v>255.86888733061207</v>
      </c>
      <c r="Y24" s="132">
        <f t="shared" si="38"/>
        <v>642.37691443915219</v>
      </c>
      <c r="AA24" s="33">
        <v>5</v>
      </c>
      <c r="AB24" s="18">
        <v>0</v>
      </c>
      <c r="AC24" s="18">
        <v>0</v>
      </c>
      <c r="AD24" s="18">
        <v>46</v>
      </c>
      <c r="AE24" s="18">
        <v>540</v>
      </c>
      <c r="AF24" s="18">
        <v>287</v>
      </c>
      <c r="AG24" s="18">
        <v>144</v>
      </c>
      <c r="AH24" s="18">
        <v>64</v>
      </c>
      <c r="AI24" s="18">
        <v>32</v>
      </c>
      <c r="AJ24" s="18">
        <v>24</v>
      </c>
      <c r="AK24" s="18">
        <v>19</v>
      </c>
      <c r="AL24" s="16">
        <v>15</v>
      </c>
      <c r="AN24" s="47">
        <v>5</v>
      </c>
      <c r="AO24" s="42">
        <f t="shared" si="11"/>
        <v>2.6662706008235182E-9</v>
      </c>
      <c r="AP24" s="42">
        <f t="shared" si="12"/>
        <v>7.943099964778705E-6</v>
      </c>
      <c r="AQ24" s="42">
        <f t="shared" si="13"/>
        <v>3.6525057598242173E-3</v>
      </c>
      <c r="AR24" s="42">
        <f t="shared" si="14"/>
        <v>8.1506959920156552E-2</v>
      </c>
      <c r="AS24" s="42">
        <f t="shared" si="15"/>
        <v>9.9423571624784782E-2</v>
      </c>
      <c r="AT24" s="42">
        <f t="shared" si="16"/>
        <v>9.9965710356892903E-2</v>
      </c>
      <c r="AU24" s="42">
        <f t="shared" si="17"/>
        <v>9.9996123080004634E-2</v>
      </c>
      <c r="AV24" s="42">
        <f t="shared" si="18"/>
        <v>9.9999278124083879E-2</v>
      </c>
      <c r="AW24" s="42">
        <f t="shared" si="19"/>
        <v>9.9999802499644741E-2</v>
      </c>
      <c r="AX24" s="42">
        <f t="shared" si="20"/>
        <v>9.9999927298087085E-2</v>
      </c>
      <c r="AY24" s="42">
        <f t="shared" si="21"/>
        <v>9.9999966357194478E-2</v>
      </c>
      <c r="BA24" s="56">
        <v>5</v>
      </c>
      <c r="BB24" s="50">
        <f t="shared" si="26"/>
        <v>9.3819447536018634E-6</v>
      </c>
      <c r="BC24" s="50">
        <f t="shared" si="27"/>
        <v>2.1783141409559309E-2</v>
      </c>
      <c r="BD24" s="50">
        <f t="shared" si="28"/>
        <v>7.791781750228763</v>
      </c>
      <c r="BE24" s="50">
        <f t="shared" si="29"/>
        <v>130.02267135784413</v>
      </c>
      <c r="BF24" s="50">
        <f t="shared" si="30"/>
        <v>113.39605363103763</v>
      </c>
      <c r="BG24" s="50">
        <f t="shared" si="31"/>
        <v>80.37038172963355</v>
      </c>
      <c r="BH24" s="50">
        <f t="shared" si="32"/>
        <v>56.654412686030831</v>
      </c>
      <c r="BI24" s="50">
        <f t="shared" si="33"/>
        <v>39.925362108523018</v>
      </c>
      <c r="BJ24" s="50">
        <f t="shared" si="34"/>
        <v>28.238039524254123</v>
      </c>
      <c r="BK24" s="50">
        <f t="shared" si="35"/>
        <v>21.588879300451968</v>
      </c>
      <c r="BL24" s="50">
        <f t="shared" si="36"/>
        <v>54.200426545137056</v>
      </c>
    </row>
    <row r="25" spans="1:70">
      <c r="A25" s="164" t="s">
        <v>79</v>
      </c>
      <c r="B25" s="1" t="s">
        <v>20</v>
      </c>
      <c r="C25" s="70" cm="1">
        <f t="array" ref="C25">SUMPRODUCT(Ro*H8:R8,H6:R6)</f>
        <v>21859.821355230666</v>
      </c>
      <c r="E25" s="94">
        <v>6</v>
      </c>
      <c r="F25" s="98">
        <f t="shared" si="6"/>
        <v>0.1</v>
      </c>
      <c r="G25" s="98">
        <v>0</v>
      </c>
      <c r="H25" s="18">
        <f t="shared" si="7"/>
        <v>1154</v>
      </c>
      <c r="I25" s="18">
        <v>221.55067447341082</v>
      </c>
      <c r="J25" s="16">
        <f t="shared" si="23"/>
        <v>5.2087406312026197</v>
      </c>
      <c r="L25" s="35">
        <f t="shared" si="8"/>
        <v>18820.599398720362</v>
      </c>
      <c r="M25" s="20">
        <f t="shared" si="9"/>
        <v>16004.533575983258</v>
      </c>
      <c r="N25" s="21">
        <v>6</v>
      </c>
      <c r="O25" s="143">
        <f t="shared" si="24"/>
        <v>3974.1137910055745</v>
      </c>
      <c r="P25" s="132">
        <f t="shared" si="37"/>
        <v>3097.2156825694442</v>
      </c>
      <c r="Q25" s="132">
        <f t="shared" si="25"/>
        <v>2413.8567254689019</v>
      </c>
      <c r="R25" s="132">
        <f t="shared" si="25"/>
        <v>1874.1411131551883</v>
      </c>
      <c r="S25" s="132">
        <f t="shared" si="25"/>
        <v>1345.4009680717743</v>
      </c>
      <c r="T25" s="132">
        <f t="shared" si="25"/>
        <v>952.85110860030591</v>
      </c>
      <c r="U25" s="132">
        <f t="shared" si="25"/>
        <v>671.48585212137345</v>
      </c>
      <c r="V25" s="132">
        <f t="shared" si="25"/>
        <v>473.18991818209986</v>
      </c>
      <c r="W25" s="132">
        <f t="shared" si="25"/>
        <v>333.45418887788412</v>
      </c>
      <c r="X25" s="132">
        <f t="shared" si="25"/>
        <v>235.84108144573551</v>
      </c>
      <c r="Y25" s="132">
        <f t="shared" si="38"/>
        <v>632.98314648497808</v>
      </c>
      <c r="AA25" s="33">
        <v>6</v>
      </c>
      <c r="AB25" s="18">
        <v>0</v>
      </c>
      <c r="AC25" s="18">
        <v>0</v>
      </c>
      <c r="AD25" s="18">
        <v>46</v>
      </c>
      <c r="AE25" s="18">
        <v>478</v>
      </c>
      <c r="AF25" s="18">
        <v>327</v>
      </c>
      <c r="AG25" s="18">
        <v>153</v>
      </c>
      <c r="AH25" s="18">
        <v>76</v>
      </c>
      <c r="AI25" s="18">
        <v>34</v>
      </c>
      <c r="AJ25" s="18">
        <v>17</v>
      </c>
      <c r="AK25" s="18">
        <v>13</v>
      </c>
      <c r="AL25" s="16">
        <v>10</v>
      </c>
      <c r="AN25" s="47">
        <v>6</v>
      </c>
      <c r="AO25" s="42">
        <f t="shared" si="11"/>
        <v>2.6662706008235182E-9</v>
      </c>
      <c r="AP25" s="42">
        <f t="shared" si="12"/>
        <v>7.943099964778705E-6</v>
      </c>
      <c r="AQ25" s="42">
        <f t="shared" si="13"/>
        <v>3.6525057598242173E-3</v>
      </c>
      <c r="AR25" s="42">
        <f t="shared" si="14"/>
        <v>8.1506959920156552E-2</v>
      </c>
      <c r="AS25" s="42">
        <f t="shared" si="15"/>
        <v>9.9423571624784782E-2</v>
      </c>
      <c r="AT25" s="42">
        <f t="shared" si="16"/>
        <v>9.9965710356892903E-2</v>
      </c>
      <c r="AU25" s="42">
        <f t="shared" si="17"/>
        <v>9.9996123080004634E-2</v>
      </c>
      <c r="AV25" s="42">
        <f t="shared" si="18"/>
        <v>9.9999278124083879E-2</v>
      </c>
      <c r="AW25" s="42">
        <f t="shared" si="19"/>
        <v>9.9999802499644741E-2</v>
      </c>
      <c r="AX25" s="42">
        <f t="shared" si="20"/>
        <v>9.9999927298087085E-2</v>
      </c>
      <c r="AY25" s="42">
        <f t="shared" si="21"/>
        <v>9.9999966357194478E-2</v>
      </c>
      <c r="BA25" s="56">
        <v>6</v>
      </c>
      <c r="BB25" s="50">
        <f t="shared" si="26"/>
        <v>9.375363132851162E-6</v>
      </c>
      <c r="BC25" s="50">
        <f t="shared" si="27"/>
        <v>2.1767241785402933E-2</v>
      </c>
      <c r="BD25" s="50">
        <f t="shared" si="28"/>
        <v>7.7872854925740027</v>
      </c>
      <c r="BE25" s="50">
        <f t="shared" si="29"/>
        <v>130.016357014715</v>
      </c>
      <c r="BF25" s="50">
        <f t="shared" si="30"/>
        <v>112.89427110012701</v>
      </c>
      <c r="BG25" s="50">
        <f t="shared" si="31"/>
        <v>80.37038172963355</v>
      </c>
      <c r="BH25" s="50">
        <f t="shared" si="32"/>
        <v>56.654412534974846</v>
      </c>
      <c r="BI25" s="50">
        <f t="shared" si="33"/>
        <v>39.925044978640159</v>
      </c>
      <c r="BJ25" s="50">
        <f t="shared" si="34"/>
        <v>28.135088052122647</v>
      </c>
      <c r="BK25" s="50">
        <f t="shared" si="35"/>
        <v>19.899037724118383</v>
      </c>
      <c r="BL25" s="50">
        <f t="shared" si="36"/>
        <v>53.40782921086516</v>
      </c>
    </row>
    <row r="26" spans="1:70">
      <c r="A26" s="164"/>
      <c r="B26" s="1" t="s">
        <v>21</v>
      </c>
      <c r="C26" s="70" cm="1">
        <f t="array" ref="C26">SUMPRODUCT(Ro*H8:R8,H5:R5,H7:R7)</f>
        <v>32368.296462309012</v>
      </c>
      <c r="E26" s="94">
        <v>7</v>
      </c>
      <c r="F26" s="98">
        <f t="shared" si="6"/>
        <v>0.1</v>
      </c>
      <c r="G26" s="98">
        <v>0</v>
      </c>
      <c r="H26" s="18">
        <f t="shared" si="7"/>
        <v>907</v>
      </c>
      <c r="I26" s="18">
        <v>235.88523360555769</v>
      </c>
      <c r="J26" s="16">
        <f t="shared" si="23"/>
        <v>3.8450901997395319</v>
      </c>
      <c r="L26" s="35">
        <f t="shared" si="8"/>
        <v>18644.837002092285</v>
      </c>
      <c r="M26" s="20">
        <f t="shared" si="9"/>
        <v>15971.230840083972</v>
      </c>
      <c r="N26" s="21">
        <v>7</v>
      </c>
      <c r="O26" s="143">
        <f t="shared" si="24"/>
        <v>3971.704443996432</v>
      </c>
      <c r="P26" s="132">
        <f t="shared" si="37"/>
        <v>3095.042924197789</v>
      </c>
      <c r="Q26" s="132">
        <f t="shared" si="25"/>
        <v>2412.0948393395925</v>
      </c>
      <c r="R26" s="132">
        <f t="shared" si="25"/>
        <v>1873.0596376215756</v>
      </c>
      <c r="S26" s="132">
        <f t="shared" si="25"/>
        <v>1345.335630825047</v>
      </c>
      <c r="T26" s="132">
        <f t="shared" si="25"/>
        <v>948.63470048428667</v>
      </c>
      <c r="U26" s="132">
        <f t="shared" si="25"/>
        <v>671.48585212137345</v>
      </c>
      <c r="V26" s="132">
        <f t="shared" si="25"/>
        <v>473.1899169204475</v>
      </c>
      <c r="W26" s="132">
        <f t="shared" si="25"/>
        <v>333.45154022844747</v>
      </c>
      <c r="X26" s="132">
        <f t="shared" si="25"/>
        <v>234.98124177793338</v>
      </c>
      <c r="Y26" s="132">
        <f t="shared" si="38"/>
        <v>612.25011257104688</v>
      </c>
      <c r="AA26" s="33">
        <v>7</v>
      </c>
      <c r="AB26" s="18">
        <v>0</v>
      </c>
      <c r="AC26" s="18">
        <v>0</v>
      </c>
      <c r="AD26" s="18">
        <v>34</v>
      </c>
      <c r="AE26" s="18">
        <v>351</v>
      </c>
      <c r="AF26" s="18">
        <v>240</v>
      </c>
      <c r="AG26" s="18">
        <v>149</v>
      </c>
      <c r="AH26" s="18">
        <v>70</v>
      </c>
      <c r="AI26" s="18">
        <v>35</v>
      </c>
      <c r="AJ26" s="18">
        <v>15</v>
      </c>
      <c r="AK26" s="18">
        <v>7</v>
      </c>
      <c r="AL26" s="16">
        <v>6</v>
      </c>
      <c r="AN26" s="47">
        <v>7</v>
      </c>
      <c r="AO26" s="42">
        <f t="shared" si="11"/>
        <v>2.6662706008235182E-9</v>
      </c>
      <c r="AP26" s="42">
        <f t="shared" si="12"/>
        <v>7.943099964778705E-6</v>
      </c>
      <c r="AQ26" s="42">
        <f t="shared" si="13"/>
        <v>3.6525057598242173E-3</v>
      </c>
      <c r="AR26" s="42">
        <f t="shared" si="14"/>
        <v>8.1506959920156552E-2</v>
      </c>
      <c r="AS26" s="42">
        <f t="shared" si="15"/>
        <v>9.9423571624784782E-2</v>
      </c>
      <c r="AT26" s="42">
        <f t="shared" si="16"/>
        <v>9.9965710356892903E-2</v>
      </c>
      <c r="AU26" s="42">
        <f t="shared" si="17"/>
        <v>9.9996123080004634E-2</v>
      </c>
      <c r="AV26" s="42">
        <f t="shared" si="18"/>
        <v>9.9999278124083879E-2</v>
      </c>
      <c r="AW26" s="42">
        <f t="shared" si="19"/>
        <v>9.9999802499644741E-2</v>
      </c>
      <c r="AX26" s="42">
        <f t="shared" si="20"/>
        <v>9.9999927298087085E-2</v>
      </c>
      <c r="AY26" s="42">
        <f t="shared" si="21"/>
        <v>9.9999966357194478E-2</v>
      </c>
      <c r="BA26" s="56">
        <v>7</v>
      </c>
      <c r="BB26" s="50">
        <f t="shared" si="26"/>
        <v>9.3696792233529273E-6</v>
      </c>
      <c r="BC26" s="50">
        <f t="shared" si="27"/>
        <v>2.1751971632573978E-2</v>
      </c>
      <c r="BD26" s="50">
        <f t="shared" si="28"/>
        <v>7.7816015138400649</v>
      </c>
      <c r="BE26" s="50">
        <f t="shared" si="29"/>
        <v>129.94133090910648</v>
      </c>
      <c r="BF26" s="50">
        <f t="shared" si="30"/>
        <v>112.88878857036822</v>
      </c>
      <c r="BG26" s="50">
        <f t="shared" si="31"/>
        <v>80.014739251229784</v>
      </c>
      <c r="BH26" s="50">
        <f t="shared" si="32"/>
        <v>56.654412534974846</v>
      </c>
      <c r="BI26" s="50">
        <f t="shared" si="33"/>
        <v>39.92504487218919</v>
      </c>
      <c r="BJ26" s="50">
        <f t="shared" si="34"/>
        <v>28.13486457319329</v>
      </c>
      <c r="BK26" s="50">
        <f t="shared" si="35"/>
        <v>19.826488947283568</v>
      </c>
      <c r="BL26" s="50">
        <f t="shared" si="36"/>
        <v>51.658483528523853</v>
      </c>
    </row>
    <row r="27" spans="1:70">
      <c r="A27" s="162" t="s">
        <v>8</v>
      </c>
      <c r="B27" s="8" t="s">
        <v>9</v>
      </c>
      <c r="C27" s="67">
        <f>(4*h*Ro)/((1-h)*C25)</f>
        <v>4.1476398728652804</v>
      </c>
      <c r="E27" s="94">
        <v>8</v>
      </c>
      <c r="F27" s="98">
        <f t="shared" si="6"/>
        <v>0.1</v>
      </c>
      <c r="G27" s="98">
        <v>0</v>
      </c>
      <c r="H27" s="18">
        <f t="shared" si="7"/>
        <v>883</v>
      </c>
      <c r="I27" s="18">
        <v>306.65970178479904</v>
      </c>
      <c r="J27" s="16">
        <f t="shared" si="23"/>
        <v>2.8794132220856734</v>
      </c>
      <c r="L27" s="35">
        <f t="shared" si="8"/>
        <v>18515.497913915373</v>
      </c>
      <c r="M27" s="20">
        <f t="shared" si="9"/>
        <v>15945.379240310705</v>
      </c>
      <c r="N27" s="21">
        <v>8</v>
      </c>
      <c r="O27" s="143">
        <f t="shared" si="24"/>
        <v>3969.8003934361195</v>
      </c>
      <c r="P27" s="132">
        <f t="shared" si="37"/>
        <v>3093.166522865381</v>
      </c>
      <c r="Q27" s="132">
        <f t="shared" si="25"/>
        <v>2410.4027068591531</v>
      </c>
      <c r="R27" s="132">
        <f t="shared" si="25"/>
        <v>1871.6924819987605</v>
      </c>
      <c r="S27" s="132">
        <f t="shared" si="25"/>
        <v>1344.5593031733979</v>
      </c>
      <c r="T27" s="132">
        <f t="shared" si="25"/>
        <v>948.58863155691824</v>
      </c>
      <c r="U27" s="132">
        <f t="shared" si="25"/>
        <v>668.51449765568395</v>
      </c>
      <c r="V27" s="132">
        <f t="shared" si="25"/>
        <v>473.1899169204475</v>
      </c>
      <c r="W27" s="132">
        <f t="shared" si="25"/>
        <v>333.45153933937542</v>
      </c>
      <c r="X27" s="132">
        <f t="shared" si="25"/>
        <v>234.9793753058529</v>
      </c>
      <c r="Y27" s="132">
        <f t="shared" si="38"/>
        <v>597.03387119961371</v>
      </c>
      <c r="AA27" s="33">
        <v>8</v>
      </c>
      <c r="AB27" s="18">
        <v>0</v>
      </c>
      <c r="AC27" s="18">
        <v>0</v>
      </c>
      <c r="AD27" s="18">
        <v>44</v>
      </c>
      <c r="AE27" s="18">
        <v>351</v>
      </c>
      <c r="AF27" s="18">
        <v>212</v>
      </c>
      <c r="AG27" s="18">
        <v>129</v>
      </c>
      <c r="AH27" s="18">
        <v>80</v>
      </c>
      <c r="AI27" s="18">
        <v>37</v>
      </c>
      <c r="AJ27" s="18">
        <v>18</v>
      </c>
      <c r="AK27" s="18">
        <v>8</v>
      </c>
      <c r="AL27" s="16">
        <v>4</v>
      </c>
      <c r="AN27" s="47">
        <v>8</v>
      </c>
      <c r="AO27" s="42">
        <f t="shared" si="11"/>
        <v>2.6662706008235182E-9</v>
      </c>
      <c r="AP27" s="42">
        <f t="shared" si="12"/>
        <v>7.943099964778705E-6</v>
      </c>
      <c r="AQ27" s="42">
        <f t="shared" si="13"/>
        <v>3.6525057598242173E-3</v>
      </c>
      <c r="AR27" s="42">
        <f t="shared" si="14"/>
        <v>8.1506959920156552E-2</v>
      </c>
      <c r="AS27" s="42">
        <f t="shared" si="15"/>
        <v>9.9423571624784782E-2</v>
      </c>
      <c r="AT27" s="42">
        <f t="shared" si="16"/>
        <v>9.9965710356892903E-2</v>
      </c>
      <c r="AU27" s="42">
        <f t="shared" si="17"/>
        <v>9.9996123080004634E-2</v>
      </c>
      <c r="AV27" s="42">
        <f t="shared" si="18"/>
        <v>9.9999278124083879E-2</v>
      </c>
      <c r="AW27" s="42">
        <f t="shared" si="19"/>
        <v>9.9999802499644741E-2</v>
      </c>
      <c r="AX27" s="42">
        <f t="shared" si="20"/>
        <v>9.9999927298087085E-2</v>
      </c>
      <c r="AY27" s="42">
        <f t="shared" si="21"/>
        <v>9.9999966357194478E-2</v>
      </c>
      <c r="BA27" s="56">
        <v>8</v>
      </c>
      <c r="BB27" s="50">
        <f t="shared" si="26"/>
        <v>9.3651873626853651E-6</v>
      </c>
      <c r="BC27" s="50">
        <f t="shared" si="27"/>
        <v>2.1738784277970664E-2</v>
      </c>
      <c r="BD27" s="50">
        <f t="shared" si="28"/>
        <v>7.7761425656856842</v>
      </c>
      <c r="BE27" s="50">
        <f t="shared" si="29"/>
        <v>129.84648608002561</v>
      </c>
      <c r="BF27" s="50">
        <f t="shared" si="30"/>
        <v>112.82364595010282</v>
      </c>
      <c r="BG27" s="50">
        <f t="shared" si="31"/>
        <v>80.010853463361087</v>
      </c>
      <c r="BH27" s="50">
        <f t="shared" si="32"/>
        <v>56.40371426463156</v>
      </c>
      <c r="BI27" s="50">
        <f t="shared" si="33"/>
        <v>39.92504487218919</v>
      </c>
      <c r="BJ27" s="50">
        <f t="shared" si="34"/>
        <v>28.134864498178128</v>
      </c>
      <c r="BK27" s="50">
        <f t="shared" si="35"/>
        <v>19.826331464125364</v>
      </c>
      <c r="BL27" s="50">
        <f t="shared" si="36"/>
        <v>50.374616138199755</v>
      </c>
    </row>
    <row r="28" spans="1:70">
      <c r="A28" s="162"/>
      <c r="B28" s="8" t="s">
        <v>10</v>
      </c>
      <c r="C28" s="66">
        <f>(5*h-1)/((1-h)*C25)</f>
        <v>9.9116394020677657E-4</v>
      </c>
      <c r="E28" s="94">
        <v>9</v>
      </c>
      <c r="F28" s="98">
        <f t="shared" si="6"/>
        <v>0.1</v>
      </c>
      <c r="G28" s="98">
        <v>0</v>
      </c>
      <c r="H28" s="18">
        <f t="shared" si="7"/>
        <v>644</v>
      </c>
      <c r="I28" s="18">
        <v>267.14062033052551</v>
      </c>
      <c r="J28" s="16">
        <f t="shared" si="23"/>
        <v>2.4107153723128931</v>
      </c>
      <c r="L28" s="35">
        <f t="shared" si="8"/>
        <v>18419.698160756601</v>
      </c>
      <c r="M28" s="20">
        <f t="shared" si="9"/>
        <v>15925.319809104769</v>
      </c>
      <c r="N28" s="21">
        <v>9</v>
      </c>
      <c r="O28" s="143">
        <f t="shared" si="24"/>
        <v>3968.3773557525924</v>
      </c>
      <c r="P28" s="132">
        <f t="shared" si="37"/>
        <v>3091.6836468019555</v>
      </c>
      <c r="Q28" s="132">
        <f t="shared" si="25"/>
        <v>2408.9413756396639</v>
      </c>
      <c r="R28" s="132">
        <f t="shared" si="25"/>
        <v>1870.3794525147907</v>
      </c>
      <c r="S28" s="132">
        <f t="shared" si="25"/>
        <v>1343.5779025951033</v>
      </c>
      <c r="T28" s="132">
        <f t="shared" si="25"/>
        <v>948.04124727016892</v>
      </c>
      <c r="U28" s="132">
        <f t="shared" si="25"/>
        <v>668.48203231805553</v>
      </c>
      <c r="V28" s="132">
        <f t="shared" si="25"/>
        <v>471.09603070033</v>
      </c>
      <c r="W28" s="132">
        <f t="shared" si="25"/>
        <v>333.45153933937542</v>
      </c>
      <c r="X28" s="132">
        <f t="shared" si="25"/>
        <v>234.97937467933428</v>
      </c>
      <c r="Y28" s="132">
        <f t="shared" si="38"/>
        <v>586.30985149339733</v>
      </c>
      <c r="AA28" s="33">
        <v>9</v>
      </c>
      <c r="AB28" s="18">
        <v>0</v>
      </c>
      <c r="AC28" s="18">
        <v>0</v>
      </c>
      <c r="AD28" s="18">
        <v>28</v>
      </c>
      <c r="AE28" s="18">
        <v>261</v>
      </c>
      <c r="AF28" s="18">
        <v>155</v>
      </c>
      <c r="AG28" s="18">
        <v>88</v>
      </c>
      <c r="AH28" s="18">
        <v>53</v>
      </c>
      <c r="AI28" s="18">
        <v>33</v>
      </c>
      <c r="AJ28" s="18">
        <v>15</v>
      </c>
      <c r="AK28" s="18">
        <v>8</v>
      </c>
      <c r="AL28" s="16">
        <v>3</v>
      </c>
      <c r="AN28" s="47">
        <v>9</v>
      </c>
      <c r="AO28" s="42">
        <f t="shared" si="11"/>
        <v>2.6662706008235182E-9</v>
      </c>
      <c r="AP28" s="42">
        <f t="shared" si="12"/>
        <v>7.943099964778705E-6</v>
      </c>
      <c r="AQ28" s="42">
        <f t="shared" si="13"/>
        <v>3.6525057598242173E-3</v>
      </c>
      <c r="AR28" s="42">
        <f t="shared" si="14"/>
        <v>8.1506959920156552E-2</v>
      </c>
      <c r="AS28" s="42">
        <f t="shared" si="15"/>
        <v>9.9423571624784782E-2</v>
      </c>
      <c r="AT28" s="42">
        <f t="shared" si="16"/>
        <v>9.9965710356892903E-2</v>
      </c>
      <c r="AU28" s="42">
        <f t="shared" si="17"/>
        <v>9.9996123080004634E-2</v>
      </c>
      <c r="AV28" s="42">
        <f t="shared" si="18"/>
        <v>9.9999278124083879E-2</v>
      </c>
      <c r="AW28" s="42">
        <f t="shared" si="19"/>
        <v>9.9999802499644741E-2</v>
      </c>
      <c r="AX28" s="42">
        <f t="shared" si="20"/>
        <v>9.9999927298087085E-2</v>
      </c>
      <c r="AY28" s="42">
        <f t="shared" si="21"/>
        <v>9.9999966357194478E-2</v>
      </c>
      <c r="BA28" s="56">
        <v>9</v>
      </c>
      <c r="BB28" s="50">
        <f t="shared" si="26"/>
        <v>9.3618302632824762E-6</v>
      </c>
      <c r="BC28" s="50">
        <f t="shared" si="27"/>
        <v>2.1728362620224314E-2</v>
      </c>
      <c r="BD28" s="50">
        <f t="shared" si="28"/>
        <v>7.7714281999632675</v>
      </c>
      <c r="BE28" s="50">
        <f t="shared" si="29"/>
        <v>129.75539618878938</v>
      </c>
      <c r="BF28" s="50">
        <f t="shared" si="30"/>
        <v>112.741295405118</v>
      </c>
      <c r="BG28" s="50">
        <f t="shared" si="31"/>
        <v>79.964683097727075</v>
      </c>
      <c r="BH28" s="50">
        <f t="shared" si="32"/>
        <v>56.400975108437464</v>
      </c>
      <c r="BI28" s="50">
        <f t="shared" si="33"/>
        <v>39.748374790460659</v>
      </c>
      <c r="BJ28" s="50">
        <f t="shared" si="34"/>
        <v>28.134864498178128</v>
      </c>
      <c r="BK28" s="50">
        <f t="shared" si="35"/>
        <v>19.826331411262998</v>
      </c>
      <c r="BL28" s="50">
        <f t="shared" si="36"/>
        <v>49.469779072467311</v>
      </c>
    </row>
    <row r="29" spans="1:70" ht="16" customHeight="1" thickBot="1">
      <c r="A29" s="163"/>
      <c r="B29" s="61" t="s">
        <v>75</v>
      </c>
      <c r="C29" s="69">
        <f>(4*h)/(1-h)</f>
        <v>22.666666666666664</v>
      </c>
      <c r="E29" s="94">
        <v>10</v>
      </c>
      <c r="F29" s="98">
        <f t="shared" si="6"/>
        <v>0.1</v>
      </c>
      <c r="G29" s="98">
        <v>0</v>
      </c>
      <c r="H29" s="18">
        <f t="shared" si="7"/>
        <v>384</v>
      </c>
      <c r="I29" s="18">
        <v>102.62482144956589</v>
      </c>
      <c r="J29" s="16">
        <f t="shared" si="23"/>
        <v>3.7417848292063884</v>
      </c>
      <c r="L29" s="35">
        <f t="shared" si="8"/>
        <v>18347.89205195535</v>
      </c>
      <c r="M29" s="20">
        <f t="shared" si="9"/>
        <v>15909.780734001148</v>
      </c>
      <c r="N29" s="21">
        <v>10</v>
      </c>
      <c r="O29" s="143">
        <f t="shared" si="24"/>
        <v>3967.3111165003852</v>
      </c>
      <c r="P29" s="132">
        <f t="shared" si="37"/>
        <v>3090.5753839426397</v>
      </c>
      <c r="Q29" s="132">
        <f t="shared" si="25"/>
        <v>2407.7865197734423</v>
      </c>
      <c r="R29" s="132">
        <f t="shared" si="25"/>
        <v>1869.2455158997707</v>
      </c>
      <c r="S29" s="132">
        <f t="shared" si="25"/>
        <v>1342.6353559871084</v>
      </c>
      <c r="T29" s="132">
        <f t="shared" si="25"/>
        <v>947.34926720939939</v>
      </c>
      <c r="U29" s="132">
        <f t="shared" si="25"/>
        <v>668.09628390373553</v>
      </c>
      <c r="V29" s="132">
        <f t="shared" si="25"/>
        <v>471.07315267487843</v>
      </c>
      <c r="W29" s="132">
        <f t="shared" si="25"/>
        <v>331.97600159367772</v>
      </c>
      <c r="X29" s="132">
        <f t="shared" si="25"/>
        <v>234.97937467933428</v>
      </c>
      <c r="Y29" s="132">
        <f t="shared" si="38"/>
        <v>578.7527618367759</v>
      </c>
      <c r="AA29" s="33">
        <v>10</v>
      </c>
      <c r="AB29" s="18">
        <v>0</v>
      </c>
      <c r="AC29" s="18">
        <v>0</v>
      </c>
      <c r="AD29" s="18">
        <v>11</v>
      </c>
      <c r="AE29" s="18">
        <v>160</v>
      </c>
      <c r="AF29" s="18">
        <v>97</v>
      </c>
      <c r="AG29" s="18">
        <v>51</v>
      </c>
      <c r="AH29" s="18">
        <v>29</v>
      </c>
      <c r="AI29" s="18">
        <v>18</v>
      </c>
      <c r="AJ29" s="18">
        <v>11</v>
      </c>
      <c r="AK29" s="18">
        <v>5</v>
      </c>
      <c r="AL29" s="16">
        <v>2</v>
      </c>
      <c r="AN29" s="47">
        <v>10</v>
      </c>
      <c r="AO29" s="42">
        <f t="shared" si="11"/>
        <v>2.6662706008235182E-9</v>
      </c>
      <c r="AP29" s="42">
        <f t="shared" si="12"/>
        <v>7.943099964778705E-6</v>
      </c>
      <c r="AQ29" s="42">
        <f t="shared" si="13"/>
        <v>3.6525057598242173E-3</v>
      </c>
      <c r="AR29" s="42">
        <f t="shared" si="14"/>
        <v>8.1506959920156552E-2</v>
      </c>
      <c r="AS29" s="42">
        <f t="shared" si="15"/>
        <v>9.9423571624784782E-2</v>
      </c>
      <c r="AT29" s="42">
        <f t="shared" si="16"/>
        <v>9.9965710356892903E-2</v>
      </c>
      <c r="AU29" s="42">
        <f t="shared" si="17"/>
        <v>9.9996123080004634E-2</v>
      </c>
      <c r="AV29" s="42">
        <f t="shared" si="18"/>
        <v>9.9999278124083879E-2</v>
      </c>
      <c r="AW29" s="42">
        <f t="shared" si="19"/>
        <v>9.9999802499644741E-2</v>
      </c>
      <c r="AX29" s="42">
        <f t="shared" si="20"/>
        <v>9.9999927298087085E-2</v>
      </c>
      <c r="AY29" s="42">
        <f t="shared" si="21"/>
        <v>9.9999966357194478E-2</v>
      </c>
      <c r="BA29" s="56">
        <v>10</v>
      </c>
      <c r="BB29" s="50">
        <f t="shared" si="26"/>
        <v>9.3593148898680136E-6</v>
      </c>
      <c r="BC29" s="50">
        <f t="shared" si="27"/>
        <v>2.1720573745282131E-2</v>
      </c>
      <c r="BD29" s="50">
        <f t="shared" si="28"/>
        <v>7.7677025470534851</v>
      </c>
      <c r="BE29" s="50">
        <f t="shared" si="29"/>
        <v>129.6767306567568</v>
      </c>
      <c r="BF29" s="50">
        <f t="shared" si="30"/>
        <v>112.66220514517862</v>
      </c>
      <c r="BG29" s="50">
        <f t="shared" si="31"/>
        <v>79.906316474514512</v>
      </c>
      <c r="BH29" s="50">
        <f t="shared" si="32"/>
        <v>56.368428853396416</v>
      </c>
      <c r="BI29" s="50">
        <f t="shared" si="33"/>
        <v>39.746444474196345</v>
      </c>
      <c r="BJ29" s="50">
        <f t="shared" si="34"/>
        <v>28.01036648380579</v>
      </c>
      <c r="BK29" s="50">
        <f t="shared" si="35"/>
        <v>19.826331411262998</v>
      </c>
      <c r="BL29" s="50">
        <f t="shared" si="36"/>
        <v>48.832151110406535</v>
      </c>
    </row>
    <row r="30" spans="1:70">
      <c r="E30" s="94">
        <v>11</v>
      </c>
      <c r="F30" s="98">
        <f t="shared" si="6"/>
        <v>0.1</v>
      </c>
      <c r="G30" s="98">
        <v>0</v>
      </c>
      <c r="H30" s="18">
        <f t="shared" si="7"/>
        <v>663</v>
      </c>
      <c r="I30" s="18">
        <v>260.44640221469183</v>
      </c>
      <c r="J30" s="16">
        <f t="shared" si="23"/>
        <v>2.545629328576688</v>
      </c>
      <c r="L30" s="35">
        <f t="shared" si="8"/>
        <v>18293.410653469193</v>
      </c>
      <c r="M30" s="20">
        <f t="shared" si="9"/>
        <v>15897.765642195855</v>
      </c>
      <c r="N30" s="21">
        <v>11</v>
      </c>
      <c r="O30" s="143">
        <f t="shared" si="24"/>
        <v>3966.5050034873775</v>
      </c>
      <c r="P30" s="132">
        <f t="shared" si="37"/>
        <v>3089.7449959802934</v>
      </c>
      <c r="Q30" s="132">
        <f t="shared" si="25"/>
        <v>2406.9234106465474</v>
      </c>
      <c r="R30" s="132">
        <f t="shared" si="25"/>
        <v>1868.3493923281158</v>
      </c>
      <c r="S30" s="132">
        <f t="shared" si="25"/>
        <v>1341.8213696119228</v>
      </c>
      <c r="T30" s="132">
        <f t="shared" si="25"/>
        <v>946.68468286585664</v>
      </c>
      <c r="U30" s="132">
        <f t="shared" si="25"/>
        <v>667.60863707563931</v>
      </c>
      <c r="V30" s="132">
        <f t="shared" si="25"/>
        <v>470.8013193078051</v>
      </c>
      <c r="W30" s="132">
        <f t="shared" si="25"/>
        <v>331.95987970998772</v>
      </c>
      <c r="X30" s="132">
        <f t="shared" si="25"/>
        <v>233.93958059865105</v>
      </c>
      <c r="Y30" s="132">
        <f t="shared" si="38"/>
        <v>573.42737058365719</v>
      </c>
      <c r="AA30" s="33">
        <v>11</v>
      </c>
      <c r="AB30" s="18">
        <v>0</v>
      </c>
      <c r="AC30" s="18">
        <v>0</v>
      </c>
      <c r="AD30" s="18">
        <v>29</v>
      </c>
      <c r="AE30" s="18">
        <v>258</v>
      </c>
      <c r="AF30" s="18">
        <v>179</v>
      </c>
      <c r="AG30" s="18">
        <v>91</v>
      </c>
      <c r="AH30" s="18">
        <v>48</v>
      </c>
      <c r="AI30" s="18">
        <v>27</v>
      </c>
      <c r="AJ30" s="18">
        <v>16</v>
      </c>
      <c r="AK30" s="18">
        <v>10</v>
      </c>
      <c r="AL30" s="16">
        <v>5</v>
      </c>
      <c r="AN30" s="47">
        <v>11</v>
      </c>
      <c r="AO30" s="42">
        <f t="shared" si="11"/>
        <v>2.6662706008235182E-9</v>
      </c>
      <c r="AP30" s="42">
        <f t="shared" si="12"/>
        <v>7.943099964778705E-6</v>
      </c>
      <c r="AQ30" s="42">
        <f t="shared" si="13"/>
        <v>3.6525057598242173E-3</v>
      </c>
      <c r="AR30" s="42">
        <f t="shared" si="14"/>
        <v>8.1506959920156552E-2</v>
      </c>
      <c r="AS30" s="42">
        <f t="shared" si="15"/>
        <v>9.9423571624784782E-2</v>
      </c>
      <c r="AT30" s="42">
        <f t="shared" si="16"/>
        <v>9.9965710356892903E-2</v>
      </c>
      <c r="AU30" s="42">
        <f t="shared" si="17"/>
        <v>9.9996123080004634E-2</v>
      </c>
      <c r="AV30" s="42">
        <f t="shared" si="18"/>
        <v>9.9999278124083879E-2</v>
      </c>
      <c r="AW30" s="42">
        <f t="shared" si="19"/>
        <v>9.9999802499644741E-2</v>
      </c>
      <c r="AX30" s="42">
        <f t="shared" si="20"/>
        <v>9.9999927298087085E-2</v>
      </c>
      <c r="AY30" s="42">
        <f t="shared" si="21"/>
        <v>9.9999966357194478E-2</v>
      </c>
      <c r="BA30" s="56">
        <v>11</v>
      </c>
      <c r="BB30" s="50">
        <f t="shared" si="26"/>
        <v>9.357413182312441E-6</v>
      </c>
      <c r="BC30" s="50">
        <f t="shared" si="27"/>
        <v>2.1714737776010178E-2</v>
      </c>
      <c r="BD30" s="50">
        <f t="shared" si="28"/>
        <v>7.7649180913269049</v>
      </c>
      <c r="BE30" s="50">
        <f t="shared" si="29"/>
        <v>129.61456312763971</v>
      </c>
      <c r="BF30" s="50">
        <f t="shared" si="30"/>
        <v>112.59390253451251</v>
      </c>
      <c r="BG30" s="50">
        <f t="shared" si="31"/>
        <v>79.850260605029803</v>
      </c>
      <c r="BH30" s="50">
        <f t="shared" si="32"/>
        <v>56.327285254491009</v>
      </c>
      <c r="BI30" s="50">
        <f t="shared" si="33"/>
        <v>39.723508737423273</v>
      </c>
      <c r="BJ30" s="50">
        <f t="shared" si="34"/>
        <v>28.009006205145891</v>
      </c>
      <c r="BK30" s="50">
        <f t="shared" si="35"/>
        <v>19.738599021681026</v>
      </c>
      <c r="BL30" s="50">
        <f t="shared" si="36"/>
        <v>48.382822264754012</v>
      </c>
    </row>
    <row r="31" spans="1:70" ht="17" customHeight="1">
      <c r="E31" s="94">
        <v>12</v>
      </c>
      <c r="F31" s="98">
        <f t="shared" ref="F31" si="39">MAX(0.000001,Fbar+G31)</f>
        <v>0.1</v>
      </c>
      <c r="G31" s="98">
        <v>0</v>
      </c>
      <c r="H31" s="18">
        <f t="shared" si="7"/>
        <v>600</v>
      </c>
      <c r="I31" s="18">
        <v>313.43959449316407</v>
      </c>
      <c r="J31" s="16">
        <f t="shared" si="23"/>
        <v>1.9142444366998619</v>
      </c>
      <c r="L31" s="35">
        <f t="shared" si="8"/>
        <v>18251.645943390271</v>
      </c>
      <c r="M31" s="20">
        <f t="shared" si="9"/>
        <v>15888.488194720161</v>
      </c>
      <c r="N31" s="21">
        <v>12</v>
      </c>
      <c r="O31" s="143">
        <f t="shared" ref="O31" si="40">(bha*L30)/(1+bhb*L30)</f>
        <v>3965.8893803285373</v>
      </c>
      <c r="P31" s="132">
        <f t="shared" si="37"/>
        <v>3089.1171945361925</v>
      </c>
      <c r="Q31" s="132">
        <f t="shared" si="25"/>
        <v>2406.2767089880554</v>
      </c>
      <c r="R31" s="132">
        <f t="shared" si="25"/>
        <v>1867.6796529639721</v>
      </c>
      <c r="S31" s="132">
        <f t="shared" si="25"/>
        <v>1341.178095227669</v>
      </c>
      <c r="T31" s="132">
        <f t="shared" si="25"/>
        <v>946.11074562369083</v>
      </c>
      <c r="U31" s="132">
        <f t="shared" si="25"/>
        <v>667.1402963451701</v>
      </c>
      <c r="V31" s="132">
        <f t="shared" si="25"/>
        <v>470.45767906379342</v>
      </c>
      <c r="W31" s="132">
        <f t="shared" si="25"/>
        <v>331.76832183554205</v>
      </c>
      <c r="X31" s="132">
        <f t="shared" si="25"/>
        <v>233.92821969698707</v>
      </c>
      <c r="Y31" s="132">
        <f t="shared" si="38"/>
        <v>568.94190011055116</v>
      </c>
      <c r="AA31" s="33">
        <v>12</v>
      </c>
      <c r="AB31" s="18">
        <v>0</v>
      </c>
      <c r="AC31" s="18">
        <v>0</v>
      </c>
      <c r="AD31" s="18">
        <v>32</v>
      </c>
      <c r="AE31" s="18">
        <v>247</v>
      </c>
      <c r="AF31" s="18">
        <v>139</v>
      </c>
      <c r="AG31" s="18">
        <v>88</v>
      </c>
      <c r="AH31" s="18">
        <v>45</v>
      </c>
      <c r="AI31" s="18">
        <v>23</v>
      </c>
      <c r="AJ31" s="18">
        <v>13</v>
      </c>
      <c r="AK31" s="18">
        <v>8</v>
      </c>
      <c r="AL31" s="16">
        <v>5</v>
      </c>
      <c r="AN31" s="47">
        <v>12</v>
      </c>
      <c r="AO31" s="42">
        <f t="shared" si="11"/>
        <v>2.6662706008235182E-9</v>
      </c>
      <c r="AP31" s="42">
        <f t="shared" si="12"/>
        <v>7.943099964778705E-6</v>
      </c>
      <c r="AQ31" s="42">
        <f t="shared" si="13"/>
        <v>3.6525057598242173E-3</v>
      </c>
      <c r="AR31" s="42">
        <f t="shared" si="14"/>
        <v>8.1506959920156552E-2</v>
      </c>
      <c r="AS31" s="42">
        <f t="shared" si="15"/>
        <v>9.9423571624784782E-2</v>
      </c>
      <c r="AT31" s="42">
        <f t="shared" si="16"/>
        <v>9.9965710356892903E-2</v>
      </c>
      <c r="AU31" s="42">
        <f t="shared" si="17"/>
        <v>9.9996123080004634E-2</v>
      </c>
      <c r="AV31" s="42">
        <f t="shared" si="18"/>
        <v>9.9999278124083879E-2</v>
      </c>
      <c r="AW31" s="42">
        <f t="shared" si="19"/>
        <v>9.9999802499644741E-2</v>
      </c>
      <c r="AX31" s="42">
        <f t="shared" si="20"/>
        <v>9.9999927298087085E-2</v>
      </c>
      <c r="AY31" s="42">
        <f t="shared" si="21"/>
        <v>9.9999966357194478E-2</v>
      </c>
      <c r="BA31" s="56">
        <v>12</v>
      </c>
      <c r="BB31" s="50">
        <f t="shared" si="26"/>
        <v>9.3559608608715738E-6</v>
      </c>
      <c r="BC31" s="50">
        <f t="shared" si="27"/>
        <v>2.1710325585440476E-2</v>
      </c>
      <c r="BD31" s="50">
        <f t="shared" si="28"/>
        <v>7.762831782562154</v>
      </c>
      <c r="BE31" s="50">
        <f t="shared" si="29"/>
        <v>129.56810073926133</v>
      </c>
      <c r="BF31" s="50">
        <f t="shared" si="30"/>
        <v>112.53992457964914</v>
      </c>
      <c r="BG31" s="50">
        <f t="shared" si="31"/>
        <v>79.801850570318834</v>
      </c>
      <c r="BH31" s="50">
        <f t="shared" si="32"/>
        <v>56.287770544140663</v>
      </c>
      <c r="BI31" s="50">
        <f t="shared" si="33"/>
        <v>39.694514349184089</v>
      </c>
      <c r="BJ31" s="50">
        <f t="shared" si="34"/>
        <v>27.992843572183496</v>
      </c>
      <c r="BK31" s="50">
        <f t="shared" si="35"/>
        <v>19.737640448181423</v>
      </c>
      <c r="BL31" s="50">
        <f t="shared" si="36"/>
        <v>48.004361570676572</v>
      </c>
    </row>
    <row r="32" spans="1:70">
      <c r="E32" s="94">
        <v>13</v>
      </c>
      <c r="F32" s="98">
        <f t="shared" ref="F32:F39" si="41">MAX(0.000001,Fbar+G32)</f>
        <v>0.1</v>
      </c>
      <c r="G32" s="98">
        <v>0</v>
      </c>
      <c r="H32" s="18">
        <f t="shared" si="7"/>
        <v>499</v>
      </c>
      <c r="I32" s="18">
        <v>361.11903794262292</v>
      </c>
      <c r="J32" s="16">
        <f t="shared" si="23"/>
        <v>1.3818158212951501</v>
      </c>
      <c r="L32" s="35">
        <f t="shared" si="8"/>
        <v>18219.66860719589</v>
      </c>
      <c r="M32" s="20">
        <f t="shared" si="9"/>
        <v>15881.328873075208</v>
      </c>
      <c r="N32" s="21">
        <v>13</v>
      </c>
      <c r="O32" s="143">
        <f t="shared" ref="O32:O38" si="42">(bha*L31)/(1+bhb*L31)</f>
        <v>3965.4150936105962</v>
      </c>
      <c r="P32" s="132">
        <f t="shared" si="37"/>
        <v>3088.6377467392895</v>
      </c>
      <c r="Q32" s="132">
        <f t="shared" si="25"/>
        <v>2405.7877806153983</v>
      </c>
      <c r="R32" s="132">
        <f t="shared" si="25"/>
        <v>1867.1778374414002</v>
      </c>
      <c r="S32" s="132">
        <f t="shared" si="25"/>
        <v>1340.6973287455594</v>
      </c>
      <c r="T32" s="132">
        <f t="shared" si="25"/>
        <v>945.65717645188442</v>
      </c>
      <c r="U32" s="132">
        <f t="shared" si="25"/>
        <v>666.73583573779774</v>
      </c>
      <c r="V32" s="132">
        <f t="shared" si="25"/>
        <v>470.12764364958321</v>
      </c>
      <c r="W32" s="132">
        <f t="shared" si="25"/>
        <v>331.52616247363005</v>
      </c>
      <c r="X32" s="132">
        <f t="shared" si="25"/>
        <v>233.79323111771311</v>
      </c>
      <c r="Y32" s="132">
        <f t="shared" si="38"/>
        <v>565.77303649235512</v>
      </c>
      <c r="AA32" s="33">
        <v>13</v>
      </c>
      <c r="AB32" s="18">
        <v>0</v>
      </c>
      <c r="AC32" s="18">
        <v>0</v>
      </c>
      <c r="AD32" s="18">
        <v>28</v>
      </c>
      <c r="AE32" s="18">
        <v>209</v>
      </c>
      <c r="AF32" s="18">
        <v>118</v>
      </c>
      <c r="AG32" s="18">
        <v>63</v>
      </c>
      <c r="AH32" s="18">
        <v>40</v>
      </c>
      <c r="AI32" s="18">
        <v>20</v>
      </c>
      <c r="AJ32" s="18">
        <v>11</v>
      </c>
      <c r="AK32" s="18">
        <v>6</v>
      </c>
      <c r="AL32" s="16">
        <v>4</v>
      </c>
      <c r="AN32" s="47">
        <v>13</v>
      </c>
      <c r="AO32" s="42">
        <f t="shared" si="11"/>
        <v>2.6662706008235182E-9</v>
      </c>
      <c r="AP32" s="42">
        <f t="shared" si="12"/>
        <v>7.943099964778705E-6</v>
      </c>
      <c r="AQ32" s="42">
        <f t="shared" si="13"/>
        <v>3.6525057598242173E-3</v>
      </c>
      <c r="AR32" s="42">
        <f t="shared" si="14"/>
        <v>8.1506959920156552E-2</v>
      </c>
      <c r="AS32" s="42">
        <f t="shared" si="15"/>
        <v>9.9423571624784782E-2</v>
      </c>
      <c r="AT32" s="42">
        <f t="shared" si="16"/>
        <v>9.9965710356892903E-2</v>
      </c>
      <c r="AU32" s="42">
        <f t="shared" si="17"/>
        <v>9.9996123080004634E-2</v>
      </c>
      <c r="AV32" s="42">
        <f t="shared" si="18"/>
        <v>9.9999278124083879E-2</v>
      </c>
      <c r="AW32" s="42">
        <f t="shared" si="19"/>
        <v>9.9999802499644741E-2</v>
      </c>
      <c r="AX32" s="42">
        <f t="shared" si="20"/>
        <v>9.9999927298087085E-2</v>
      </c>
      <c r="AY32" s="42">
        <f t="shared" si="21"/>
        <v>9.9999966357194478E-2</v>
      </c>
      <c r="BA32" s="56">
        <v>13</v>
      </c>
      <c r="BB32" s="50">
        <f t="shared" si="26"/>
        <v>9.3548419673411849E-6</v>
      </c>
      <c r="BC32" s="50">
        <f t="shared" si="27"/>
        <v>2.170695602478075E-2</v>
      </c>
      <c r="BD32" s="50">
        <f t="shared" si="28"/>
        <v>7.7612544624241657</v>
      </c>
      <c r="BE32" s="50">
        <f t="shared" si="29"/>
        <v>129.53328787182022</v>
      </c>
      <c r="BF32" s="50">
        <f t="shared" si="30"/>
        <v>112.49958286527909</v>
      </c>
      <c r="BG32" s="50">
        <f t="shared" si="31"/>
        <v>79.763593252727617</v>
      </c>
      <c r="BH32" s="50">
        <f t="shared" si="32"/>
        <v>56.253645509291708</v>
      </c>
      <c r="BI32" s="50">
        <f t="shared" si="33"/>
        <v>39.66666785827087</v>
      </c>
      <c r="BJ32" s="50">
        <f t="shared" si="34"/>
        <v>27.972411455277221</v>
      </c>
      <c r="BK32" s="50">
        <f t="shared" si="35"/>
        <v>19.726250817440114</v>
      </c>
      <c r="BL32" s="50">
        <f t="shared" si="36"/>
        <v>47.736989322532281</v>
      </c>
    </row>
    <row r="33" spans="5:74">
      <c r="E33" s="94">
        <v>14</v>
      </c>
      <c r="F33" s="98">
        <f t="shared" si="41"/>
        <v>0.1</v>
      </c>
      <c r="G33" s="98">
        <v>0</v>
      </c>
      <c r="H33" s="18">
        <f t="shared" si="7"/>
        <v>464</v>
      </c>
      <c r="I33" s="18">
        <v>559.29771094199009</v>
      </c>
      <c r="J33" s="16">
        <f t="shared" si="23"/>
        <v>0.8296118344888519</v>
      </c>
      <c r="L33" s="35">
        <f t="shared" si="8"/>
        <v>18195.001231113783</v>
      </c>
      <c r="M33" s="20">
        <f t="shared" si="9"/>
        <v>15875.806915478322</v>
      </c>
      <c r="N33" s="21">
        <v>14</v>
      </c>
      <c r="O33" s="143">
        <f t="shared" si="42"/>
        <v>3965.0505612246502</v>
      </c>
      <c r="P33" s="132">
        <f t="shared" si="37"/>
        <v>3088.2683718729413</v>
      </c>
      <c r="Q33" s="132">
        <f t="shared" si="25"/>
        <v>2405.4143892616253</v>
      </c>
      <c r="R33" s="132">
        <f t="shared" si="25"/>
        <v>1866.7984478981648</v>
      </c>
      <c r="S33" s="132">
        <f t="shared" si="25"/>
        <v>1340.3371049086891</v>
      </c>
      <c r="T33" s="132">
        <f t="shared" si="25"/>
        <v>945.31819069330231</v>
      </c>
      <c r="U33" s="132">
        <f t="shared" si="25"/>
        <v>666.41619998455417</v>
      </c>
      <c r="V33" s="132">
        <f t="shared" si="25"/>
        <v>469.84262397181112</v>
      </c>
      <c r="W33" s="132">
        <f t="shared" si="25"/>
        <v>331.2935902801625</v>
      </c>
      <c r="X33" s="132">
        <f t="shared" si="25"/>
        <v>233.62258426585703</v>
      </c>
      <c r="Y33" s="132">
        <f t="shared" si="38"/>
        <v>563.44485111656491</v>
      </c>
      <c r="AA33" s="33">
        <v>14</v>
      </c>
      <c r="AB33" s="18">
        <v>0</v>
      </c>
      <c r="AC33" s="18">
        <v>0</v>
      </c>
      <c r="AD33" s="18">
        <v>45</v>
      </c>
      <c r="AE33" s="18">
        <v>200</v>
      </c>
      <c r="AF33" s="18">
        <v>101</v>
      </c>
      <c r="AG33" s="18">
        <v>54</v>
      </c>
      <c r="AH33" s="18">
        <v>29</v>
      </c>
      <c r="AI33" s="18">
        <v>18</v>
      </c>
      <c r="AJ33" s="18">
        <v>9</v>
      </c>
      <c r="AK33" s="18">
        <v>5</v>
      </c>
      <c r="AL33" s="16">
        <v>3</v>
      </c>
      <c r="AN33" s="47">
        <v>14</v>
      </c>
      <c r="AO33" s="42">
        <f t="shared" si="11"/>
        <v>2.6662706008235182E-9</v>
      </c>
      <c r="AP33" s="42">
        <f t="shared" si="12"/>
        <v>7.943099964778705E-6</v>
      </c>
      <c r="AQ33" s="42">
        <f t="shared" si="13"/>
        <v>3.6525057598242173E-3</v>
      </c>
      <c r="AR33" s="42">
        <f t="shared" si="14"/>
        <v>8.1506959920156552E-2</v>
      </c>
      <c r="AS33" s="42">
        <f t="shared" si="15"/>
        <v>9.9423571624784782E-2</v>
      </c>
      <c r="AT33" s="42">
        <f t="shared" si="16"/>
        <v>9.9965710356892903E-2</v>
      </c>
      <c r="AU33" s="42">
        <f t="shared" si="17"/>
        <v>9.9996123080004634E-2</v>
      </c>
      <c r="AV33" s="42">
        <f t="shared" si="18"/>
        <v>9.9999278124083879E-2</v>
      </c>
      <c r="AW33" s="42">
        <f t="shared" si="19"/>
        <v>9.9999802499644741E-2</v>
      </c>
      <c r="AX33" s="42">
        <f t="shared" si="20"/>
        <v>9.9999927298087085E-2</v>
      </c>
      <c r="AY33" s="42">
        <f t="shared" si="21"/>
        <v>9.9999966357194478E-2</v>
      </c>
      <c r="BA33" s="56">
        <v>14</v>
      </c>
      <c r="BB33" s="50">
        <f t="shared" si="26"/>
        <v>9.3539819961195096E-6</v>
      </c>
      <c r="BC33" s="50">
        <f t="shared" si="27"/>
        <v>2.1704360057031233E-2</v>
      </c>
      <c r="BD33" s="50">
        <f t="shared" si="28"/>
        <v>7.7600498735015471</v>
      </c>
      <c r="BE33" s="50">
        <f t="shared" si="29"/>
        <v>129.50696816411266</v>
      </c>
      <c r="BF33" s="50">
        <f t="shared" si="30"/>
        <v>112.46935603442238</v>
      </c>
      <c r="BG33" s="50">
        <f t="shared" si="31"/>
        <v>79.735000732267437</v>
      </c>
      <c r="BH33" s="50">
        <f t="shared" si="32"/>
        <v>56.226677292808844</v>
      </c>
      <c r="BI33" s="50">
        <f t="shared" si="33"/>
        <v>39.6426195364077</v>
      </c>
      <c r="BJ33" s="50">
        <f t="shared" si="34"/>
        <v>27.952788252570713</v>
      </c>
      <c r="BK33" s="50">
        <f t="shared" si="35"/>
        <v>19.711852528042144</v>
      </c>
      <c r="BL33" s="50">
        <f t="shared" si="36"/>
        <v>47.540549136704378</v>
      </c>
    </row>
    <row r="34" spans="5:74" ht="16" customHeight="1">
      <c r="E34" s="94">
        <v>15</v>
      </c>
      <c r="F34" s="98">
        <f t="shared" si="41"/>
        <v>0.1</v>
      </c>
      <c r="G34" s="98">
        <v>0</v>
      </c>
      <c r="H34" s="18">
        <f t="shared" si="7"/>
        <v>432</v>
      </c>
      <c r="I34" s="18">
        <v>441.87612290874796</v>
      </c>
      <c r="J34" s="16">
        <f t="shared" si="23"/>
        <v>0.97764956648090373</v>
      </c>
      <c r="L34" s="35">
        <f t="shared" si="8"/>
        <v>18175.916957697998</v>
      </c>
      <c r="M34" s="20">
        <f t="shared" si="9"/>
        <v>15871.547479127526</v>
      </c>
      <c r="N34" s="21">
        <v>15</v>
      </c>
      <c r="O34" s="143">
        <f t="shared" si="42"/>
        <v>3964.7685308275559</v>
      </c>
      <c r="P34" s="132">
        <f t="shared" si="37"/>
        <v>3087.9844737660687</v>
      </c>
      <c r="Q34" s="132">
        <f t="shared" si="25"/>
        <v>2405.1267221114445</v>
      </c>
      <c r="R34" s="132">
        <f t="shared" si="25"/>
        <v>1866.5087106215444</v>
      </c>
      <c r="S34" s="132">
        <f t="shared" si="25"/>
        <v>1340.06476347885</v>
      </c>
      <c r="T34" s="132">
        <f t="shared" si="25"/>
        <v>945.06419887992752</v>
      </c>
      <c r="U34" s="132">
        <f t="shared" si="25"/>
        <v>666.17731256667321</v>
      </c>
      <c r="V34" s="132">
        <f t="shared" si="25"/>
        <v>469.61737959019939</v>
      </c>
      <c r="W34" s="132">
        <f t="shared" si="25"/>
        <v>331.09274016291226</v>
      </c>
      <c r="X34" s="132">
        <f t="shared" si="25"/>
        <v>233.45869337875217</v>
      </c>
      <c r="Y34" s="132">
        <f t="shared" si="38"/>
        <v>561.68395374359875</v>
      </c>
      <c r="AA34" s="33">
        <v>15</v>
      </c>
      <c r="AB34" s="18">
        <v>0</v>
      </c>
      <c r="AC34" s="18">
        <v>0</v>
      </c>
      <c r="AD34" s="18">
        <v>37</v>
      </c>
      <c r="AE34" s="18">
        <v>206</v>
      </c>
      <c r="AF34" s="18">
        <v>90</v>
      </c>
      <c r="AG34" s="18">
        <v>47</v>
      </c>
      <c r="AH34" s="18">
        <v>25</v>
      </c>
      <c r="AI34" s="18">
        <v>13</v>
      </c>
      <c r="AJ34" s="18">
        <v>8</v>
      </c>
      <c r="AK34" s="18">
        <v>4</v>
      </c>
      <c r="AL34" s="16">
        <v>2</v>
      </c>
      <c r="AN34" s="47">
        <v>15</v>
      </c>
      <c r="AO34" s="42">
        <f t="shared" si="11"/>
        <v>2.6662706008235182E-9</v>
      </c>
      <c r="AP34" s="42">
        <f t="shared" si="12"/>
        <v>7.943099964778705E-6</v>
      </c>
      <c r="AQ34" s="42">
        <f t="shared" si="13"/>
        <v>3.6525057598242173E-3</v>
      </c>
      <c r="AR34" s="42">
        <f t="shared" si="14"/>
        <v>8.1506959920156552E-2</v>
      </c>
      <c r="AS34" s="42">
        <f t="shared" si="15"/>
        <v>9.9423571624784782E-2</v>
      </c>
      <c r="AT34" s="42">
        <f t="shared" si="16"/>
        <v>9.9965710356892903E-2</v>
      </c>
      <c r="AU34" s="42">
        <f t="shared" si="17"/>
        <v>9.9996123080004634E-2</v>
      </c>
      <c r="AV34" s="42">
        <f t="shared" si="18"/>
        <v>9.9999278124083879E-2</v>
      </c>
      <c r="AW34" s="42">
        <f t="shared" si="19"/>
        <v>9.9999802499644741E-2</v>
      </c>
      <c r="AX34" s="42">
        <f t="shared" si="20"/>
        <v>9.9999927298087085E-2</v>
      </c>
      <c r="AY34" s="42">
        <f t="shared" si="21"/>
        <v>9.9999966357194478E-2</v>
      </c>
      <c r="BA34" s="56">
        <v>15</v>
      </c>
      <c r="BB34" s="50">
        <f t="shared" si="26"/>
        <v>9.3533166559892784E-6</v>
      </c>
      <c r="BC34" s="50">
        <f t="shared" si="27"/>
        <v>2.1702364820222416E-2</v>
      </c>
      <c r="BD34" s="50">
        <f t="shared" si="28"/>
        <v>7.7591218373833888</v>
      </c>
      <c r="BE34" s="50">
        <f t="shared" si="29"/>
        <v>129.4868679779884</v>
      </c>
      <c r="BF34" s="50">
        <f t="shared" si="30"/>
        <v>112.44650352580845</v>
      </c>
      <c r="BG34" s="50">
        <f t="shared" si="31"/>
        <v>79.713577218338671</v>
      </c>
      <c r="BH34" s="50">
        <f t="shared" si="32"/>
        <v>56.206521951815013</v>
      </c>
      <c r="BI34" s="50">
        <f t="shared" si="33"/>
        <v>39.62361471039285</v>
      </c>
      <c r="BJ34" s="50">
        <f t="shared" si="34"/>
        <v>27.935841589662893</v>
      </c>
      <c r="BK34" s="50">
        <f t="shared" si="35"/>
        <v>19.698024271636829</v>
      </c>
      <c r="BL34" s="50">
        <f t="shared" si="36"/>
        <v>47.391973765187011</v>
      </c>
    </row>
    <row r="35" spans="5:74">
      <c r="E35" s="94">
        <v>16</v>
      </c>
      <c r="F35" s="98">
        <f t="shared" si="41"/>
        <v>0.1</v>
      </c>
      <c r="G35" s="98">
        <v>0</v>
      </c>
      <c r="H35" s="18">
        <f t="shared" si="7"/>
        <v>393</v>
      </c>
      <c r="I35" s="18">
        <v>524.98794467934135</v>
      </c>
      <c r="J35" s="16">
        <f t="shared" si="23"/>
        <v>0.74858861804920385</v>
      </c>
      <c r="L35" s="35">
        <f t="shared" si="8"/>
        <v>18161.145939370337</v>
      </c>
      <c r="M35" s="20">
        <f t="shared" si="9"/>
        <v>15868.26083825477</v>
      </c>
      <c r="N35" s="21">
        <v>16</v>
      </c>
      <c r="O35" s="143">
        <f t="shared" si="42"/>
        <v>3964.5498363134043</v>
      </c>
      <c r="P35" s="132">
        <f t="shared" si="37"/>
        <v>3087.7648282725472</v>
      </c>
      <c r="Q35" s="132">
        <f t="shared" si="25"/>
        <v>2404.9056237997124</v>
      </c>
      <c r="R35" s="132">
        <f t="shared" si="25"/>
        <v>1866.2854920177274</v>
      </c>
      <c r="S35" s="132">
        <f t="shared" si="25"/>
        <v>1339.8567781360816</v>
      </c>
      <c r="T35" s="132">
        <f t="shared" si="25"/>
        <v>944.872172460402</v>
      </c>
      <c r="U35" s="132">
        <f t="shared" si="25"/>
        <v>665.99832142346474</v>
      </c>
      <c r="V35" s="132">
        <f t="shared" si="25"/>
        <v>469.44903781938871</v>
      </c>
      <c r="W35" s="132">
        <f t="shared" si="25"/>
        <v>330.93401301533316</v>
      </c>
      <c r="X35" s="132">
        <f t="shared" si="25"/>
        <v>233.31715666535376</v>
      </c>
      <c r="Y35" s="132">
        <f t="shared" si="38"/>
        <v>560.32757833135304</v>
      </c>
      <c r="AA35" s="33">
        <v>16</v>
      </c>
      <c r="AB35" s="18">
        <v>0</v>
      </c>
      <c r="AC35" s="18">
        <v>0</v>
      </c>
      <c r="AD35" s="18">
        <v>32</v>
      </c>
      <c r="AE35" s="18">
        <v>180</v>
      </c>
      <c r="AF35" s="18">
        <v>93</v>
      </c>
      <c r="AG35" s="18">
        <v>42</v>
      </c>
      <c r="AH35" s="18">
        <v>22</v>
      </c>
      <c r="AI35" s="18">
        <v>12</v>
      </c>
      <c r="AJ35" s="18">
        <v>6</v>
      </c>
      <c r="AK35" s="18">
        <v>4</v>
      </c>
      <c r="AL35" s="16">
        <v>2</v>
      </c>
      <c r="AN35" s="47">
        <v>16</v>
      </c>
      <c r="AO35" s="42">
        <f t="shared" si="11"/>
        <v>2.6662706008235182E-9</v>
      </c>
      <c r="AP35" s="42">
        <f t="shared" si="12"/>
        <v>7.943099964778705E-6</v>
      </c>
      <c r="AQ35" s="42">
        <f t="shared" si="13"/>
        <v>3.6525057598242173E-3</v>
      </c>
      <c r="AR35" s="42">
        <f t="shared" si="14"/>
        <v>8.1506959920156552E-2</v>
      </c>
      <c r="AS35" s="42">
        <f t="shared" si="15"/>
        <v>9.9423571624784782E-2</v>
      </c>
      <c r="AT35" s="42">
        <f t="shared" si="16"/>
        <v>9.9965710356892903E-2</v>
      </c>
      <c r="AU35" s="42">
        <f t="shared" si="17"/>
        <v>9.9996123080004634E-2</v>
      </c>
      <c r="AV35" s="42">
        <f t="shared" si="18"/>
        <v>9.9999278124083879E-2</v>
      </c>
      <c r="AW35" s="42">
        <f t="shared" si="19"/>
        <v>9.9999802499644741E-2</v>
      </c>
      <c r="AX35" s="42">
        <f t="shared" si="20"/>
        <v>9.9999927298087085E-2</v>
      </c>
      <c r="AY35" s="42">
        <f t="shared" si="21"/>
        <v>9.9999966357194478E-2</v>
      </c>
      <c r="BA35" s="56">
        <v>16</v>
      </c>
      <c r="BB35" s="50">
        <f t="shared" si="26"/>
        <v>9.3528007320391458E-6</v>
      </c>
      <c r="BC35" s="50">
        <f t="shared" si="27"/>
        <v>2.1700821150987024E-2</v>
      </c>
      <c r="BD35" s="50">
        <f t="shared" si="28"/>
        <v>7.7584085574040031</v>
      </c>
      <c r="BE35" s="50">
        <f t="shared" si="29"/>
        <v>129.4713824473192</v>
      </c>
      <c r="BF35" s="50">
        <f t="shared" si="30"/>
        <v>112.42905121662437</v>
      </c>
      <c r="BG35" s="50">
        <f t="shared" si="31"/>
        <v>79.697380315695497</v>
      </c>
      <c r="BH35" s="50">
        <f t="shared" si="32"/>
        <v>56.191420162201119</v>
      </c>
      <c r="BI35" s="50">
        <f t="shared" si="33"/>
        <v>39.609410999550441</v>
      </c>
      <c r="BJ35" s="50">
        <f t="shared" si="34"/>
        <v>27.922449038534872</v>
      </c>
      <c r="BK35" s="50">
        <f t="shared" si="35"/>
        <v>19.686082143564835</v>
      </c>
      <c r="BL35" s="50">
        <f t="shared" si="36"/>
        <v>47.277529855005028</v>
      </c>
    </row>
    <row r="36" spans="5:74">
      <c r="E36" s="94">
        <v>17</v>
      </c>
      <c r="F36" s="98">
        <f t="shared" si="41"/>
        <v>0.1</v>
      </c>
      <c r="G36" s="98">
        <v>0</v>
      </c>
      <c r="H36" s="18">
        <f t="shared" si="7"/>
        <v>336</v>
      </c>
      <c r="I36" s="18">
        <v>605.38595561470254</v>
      </c>
      <c r="J36" s="16">
        <f t="shared" si="23"/>
        <v>0.55501783099482238</v>
      </c>
      <c r="L36" s="35">
        <f t="shared" si="8"/>
        <v>18149.72127584702</v>
      </c>
      <c r="M36" s="20">
        <f t="shared" si="9"/>
        <v>15865.723946084621</v>
      </c>
      <c r="N36" s="21">
        <v>17</v>
      </c>
      <c r="O36" s="143">
        <f t="shared" si="42"/>
        <v>3964.380270223548</v>
      </c>
      <c r="P36" s="132">
        <f t="shared" si="37"/>
        <v>3087.5945088141266</v>
      </c>
      <c r="Q36" s="132">
        <f t="shared" si="25"/>
        <v>2404.7345650761017</v>
      </c>
      <c r="R36" s="132">
        <f t="shared" si="25"/>
        <v>1866.113928262811</v>
      </c>
      <c r="S36" s="132">
        <f t="shared" si="25"/>
        <v>1339.6965426345657</v>
      </c>
      <c r="T36" s="132">
        <f t="shared" si="25"/>
        <v>944.72552315805694</v>
      </c>
      <c r="U36" s="132">
        <f t="shared" si="25"/>
        <v>665.86299805260319</v>
      </c>
      <c r="V36" s="132">
        <f t="shared" si="25"/>
        <v>469.32290440359634</v>
      </c>
      <c r="W36" s="132">
        <f t="shared" si="25"/>
        <v>330.81538448880565</v>
      </c>
      <c r="X36" s="132">
        <f t="shared" si="25"/>
        <v>233.20530351284873</v>
      </c>
      <c r="Y36" s="132">
        <f t="shared" si="38"/>
        <v>559.2720174575586</v>
      </c>
      <c r="AA36" s="33">
        <v>17</v>
      </c>
      <c r="AB36" s="18">
        <v>0</v>
      </c>
      <c r="AC36" s="18">
        <v>0</v>
      </c>
      <c r="AD36" s="18">
        <v>35</v>
      </c>
      <c r="AE36" s="18">
        <v>149</v>
      </c>
      <c r="AF36" s="18">
        <v>76</v>
      </c>
      <c r="AG36" s="18">
        <v>40</v>
      </c>
      <c r="AH36" s="18">
        <v>18</v>
      </c>
      <c r="AI36" s="18">
        <v>9</v>
      </c>
      <c r="AJ36" s="18">
        <v>5</v>
      </c>
      <c r="AK36" s="18">
        <v>3</v>
      </c>
      <c r="AL36" s="16">
        <v>1</v>
      </c>
      <c r="AN36" s="47">
        <v>17</v>
      </c>
      <c r="AO36" s="42">
        <f t="shared" si="11"/>
        <v>2.6662706008235182E-9</v>
      </c>
      <c r="AP36" s="42">
        <f t="shared" si="12"/>
        <v>7.943099964778705E-6</v>
      </c>
      <c r="AQ36" s="42">
        <f t="shared" si="13"/>
        <v>3.6525057598242173E-3</v>
      </c>
      <c r="AR36" s="42">
        <f t="shared" si="14"/>
        <v>8.1506959920156552E-2</v>
      </c>
      <c r="AS36" s="42">
        <f t="shared" si="15"/>
        <v>9.9423571624784782E-2</v>
      </c>
      <c r="AT36" s="42">
        <f t="shared" si="16"/>
        <v>9.9965710356892903E-2</v>
      </c>
      <c r="AU36" s="42">
        <f t="shared" si="17"/>
        <v>9.9996123080004634E-2</v>
      </c>
      <c r="AV36" s="42">
        <f t="shared" si="18"/>
        <v>9.9999278124083879E-2</v>
      </c>
      <c r="AW36" s="42">
        <f t="shared" si="19"/>
        <v>9.9999802499644741E-2</v>
      </c>
      <c r="AX36" s="42">
        <f t="shared" si="20"/>
        <v>9.9999927298087085E-2</v>
      </c>
      <c r="AY36" s="42">
        <f t="shared" si="21"/>
        <v>9.9999966357194478E-2</v>
      </c>
      <c r="BA36" s="56">
        <v>17</v>
      </c>
      <c r="BB36" s="50">
        <f t="shared" si="26"/>
        <v>9.3524007073415598E-6</v>
      </c>
      <c r="BC36" s="50">
        <f t="shared" si="27"/>
        <v>2.1699624145285073E-2</v>
      </c>
      <c r="BD36" s="50">
        <f t="shared" si="28"/>
        <v>7.7578567089439447</v>
      </c>
      <c r="BE36" s="50">
        <f t="shared" si="29"/>
        <v>129.45948041163285</v>
      </c>
      <c r="BF36" s="50">
        <f t="shared" si="30"/>
        <v>112.41560565609834</v>
      </c>
      <c r="BG36" s="50">
        <f t="shared" si="31"/>
        <v>79.685010848626121</v>
      </c>
      <c r="BH36" s="50">
        <f t="shared" si="32"/>
        <v>56.180002697403921</v>
      </c>
      <c r="BI36" s="50">
        <f t="shared" si="33"/>
        <v>39.598768587053222</v>
      </c>
      <c r="BJ36" s="50">
        <f t="shared" si="34"/>
        <v>27.912439795434409</v>
      </c>
      <c r="BK36" s="50">
        <f t="shared" si="35"/>
        <v>19.676644559206693</v>
      </c>
      <c r="BL36" s="50">
        <f t="shared" si="36"/>
        <v>47.188467112683462</v>
      </c>
    </row>
    <row r="37" spans="5:74" ht="16" customHeight="1">
      <c r="E37" s="94">
        <v>18</v>
      </c>
      <c r="F37" s="98">
        <f t="shared" si="41"/>
        <v>0.1</v>
      </c>
      <c r="G37" s="98">
        <v>0</v>
      </c>
      <c r="H37" s="18">
        <f t="shared" si="7"/>
        <v>285</v>
      </c>
      <c r="I37" s="18">
        <v>710.6361708201398</v>
      </c>
      <c r="J37" s="16">
        <f t="shared" si="23"/>
        <v>0.40104910459466714</v>
      </c>
      <c r="L37" s="35">
        <f t="shared" si="8"/>
        <v>18140.894514473985</v>
      </c>
      <c r="M37" s="20">
        <f t="shared" si="9"/>
        <v>15863.765191526929</v>
      </c>
      <c r="N37" s="21">
        <v>18</v>
      </c>
      <c r="O37" s="143">
        <f t="shared" si="42"/>
        <v>3964.2489397852119</v>
      </c>
      <c r="P37" s="132">
        <f t="shared" si="37"/>
        <v>3087.4624506109162</v>
      </c>
      <c r="Q37" s="132">
        <f t="shared" si="37"/>
        <v>2404.6019212021192</v>
      </c>
      <c r="R37" s="132">
        <f t="shared" si="37"/>
        <v>1865.9811932966145</v>
      </c>
      <c r="S37" s="132">
        <f t="shared" si="37"/>
        <v>1339.5733871097086</v>
      </c>
      <c r="T37" s="132">
        <f t="shared" si="37"/>
        <v>944.61254200181077</v>
      </c>
      <c r="U37" s="132">
        <f t="shared" si="37"/>
        <v>665.75965249225351</v>
      </c>
      <c r="V37" s="132">
        <f t="shared" si="37"/>
        <v>469.22754326618281</v>
      </c>
      <c r="W37" s="132">
        <f t="shared" si="37"/>
        <v>330.72649970881747</v>
      </c>
      <c r="X37" s="132">
        <f t="shared" si="37"/>
        <v>233.12170738659364</v>
      </c>
      <c r="Y37" s="132">
        <f t="shared" si="38"/>
        <v>558.44935466669938</v>
      </c>
      <c r="AA37" s="33">
        <v>18</v>
      </c>
      <c r="AB37" s="18">
        <v>0</v>
      </c>
      <c r="AC37" s="18">
        <v>0</v>
      </c>
      <c r="AD37" s="18">
        <v>35</v>
      </c>
      <c r="AE37" s="18">
        <v>121</v>
      </c>
      <c r="AF37" s="18">
        <v>62</v>
      </c>
      <c r="AG37" s="18">
        <v>34</v>
      </c>
      <c r="AH37" s="18">
        <v>18</v>
      </c>
      <c r="AI37" s="18">
        <v>8</v>
      </c>
      <c r="AJ37" s="18">
        <v>4</v>
      </c>
      <c r="AK37" s="18">
        <v>2</v>
      </c>
      <c r="AL37" s="16">
        <v>1</v>
      </c>
      <c r="AN37" s="47">
        <v>18</v>
      </c>
      <c r="AO37" s="42">
        <f t="shared" si="11"/>
        <v>2.6662706008235182E-9</v>
      </c>
      <c r="AP37" s="42">
        <f t="shared" si="12"/>
        <v>7.943099964778705E-6</v>
      </c>
      <c r="AQ37" s="42">
        <f t="shared" si="13"/>
        <v>3.6525057598242173E-3</v>
      </c>
      <c r="AR37" s="42">
        <f t="shared" si="14"/>
        <v>8.1506959920156552E-2</v>
      </c>
      <c r="AS37" s="42">
        <f t="shared" si="15"/>
        <v>9.9423571624784782E-2</v>
      </c>
      <c r="AT37" s="42">
        <f t="shared" si="16"/>
        <v>9.9965710356892903E-2</v>
      </c>
      <c r="AU37" s="42">
        <f t="shared" si="17"/>
        <v>9.9996123080004634E-2</v>
      </c>
      <c r="AV37" s="42">
        <f t="shared" si="18"/>
        <v>9.9999278124083879E-2</v>
      </c>
      <c r="AW37" s="42">
        <f t="shared" si="19"/>
        <v>9.9999802499644741E-2</v>
      </c>
      <c r="AX37" s="42">
        <f t="shared" si="20"/>
        <v>9.9999927298087085E-2</v>
      </c>
      <c r="AY37" s="42">
        <f t="shared" si="21"/>
        <v>9.9999966357194478E-2</v>
      </c>
      <c r="BA37" s="56">
        <v>18</v>
      </c>
      <c r="BB37" s="50">
        <f t="shared" si="26"/>
        <v>9.3520908846705064E-6</v>
      </c>
      <c r="BC37" s="50">
        <f t="shared" si="27"/>
        <v>2.1698696039807886E-2</v>
      </c>
      <c r="BD37" s="50">
        <f t="shared" si="28"/>
        <v>7.7574287897121836</v>
      </c>
      <c r="BE37" s="50">
        <f t="shared" si="29"/>
        <v>129.45027207794217</v>
      </c>
      <c r="BF37" s="50">
        <f t="shared" si="30"/>
        <v>112.40527152260159</v>
      </c>
      <c r="BG37" s="50">
        <f t="shared" si="31"/>
        <v>79.675481197483563</v>
      </c>
      <c r="BH37" s="50">
        <f t="shared" si="32"/>
        <v>56.171283255302185</v>
      </c>
      <c r="BI37" s="50">
        <f t="shared" si="33"/>
        <v>39.59072256249911</v>
      </c>
      <c r="BJ37" s="50">
        <f t="shared" si="34"/>
        <v>27.904940171213536</v>
      </c>
      <c r="BK37" s="50">
        <f t="shared" si="35"/>
        <v>19.669591155025611</v>
      </c>
      <c r="BL37" s="50">
        <f t="shared" si="36"/>
        <v>47.119055100568566</v>
      </c>
    </row>
    <row r="38" spans="5:74">
      <c r="E38" s="94">
        <v>19</v>
      </c>
      <c r="F38" s="98">
        <f t="shared" si="41"/>
        <v>0.1</v>
      </c>
      <c r="G38" s="98">
        <v>0</v>
      </c>
      <c r="H38" s="18">
        <f t="shared" si="7"/>
        <v>260</v>
      </c>
      <c r="I38" s="18">
        <v>688.61433936124547</v>
      </c>
      <c r="J38" s="16">
        <f t="shared" si="23"/>
        <v>0.37756983138221378</v>
      </c>
      <c r="L38" s="35">
        <f t="shared" si="8"/>
        <v>18134.080757748467</v>
      </c>
      <c r="M38" s="20">
        <f t="shared" si="9"/>
        <v>15862.252533954628</v>
      </c>
      <c r="N38" s="21">
        <v>19</v>
      </c>
      <c r="O38" s="143">
        <f t="shared" si="42"/>
        <v>3964.1473658223608</v>
      </c>
      <c r="P38" s="132">
        <f t="shared" ref="P38:Y39" si="43">O37*EXP(-AO61)</f>
        <v>3087.360170362972</v>
      </c>
      <c r="Q38" s="132">
        <f t="shared" si="43"/>
        <v>2404.4990749869689</v>
      </c>
      <c r="R38" s="132">
        <f t="shared" si="43"/>
        <v>1865.8782667708133</v>
      </c>
      <c r="S38" s="132">
        <f t="shared" si="43"/>
        <v>1339.4781044875906</v>
      </c>
      <c r="T38" s="132">
        <f t="shared" si="43"/>
        <v>944.52570572979346</v>
      </c>
      <c r="U38" s="132">
        <f t="shared" si="43"/>
        <v>665.68003328701684</v>
      </c>
      <c r="V38" s="132">
        <f t="shared" si="43"/>
        <v>469.15471659833651</v>
      </c>
      <c r="W38" s="132">
        <f t="shared" si="43"/>
        <v>330.65929980255015</v>
      </c>
      <c r="X38" s="132">
        <f t="shared" si="43"/>
        <v>233.05907132840807</v>
      </c>
      <c r="Y38" s="132">
        <f t="shared" si="38"/>
        <v>557.81072477782129</v>
      </c>
      <c r="AA38" s="33">
        <v>19</v>
      </c>
      <c r="AB38" s="18">
        <v>0</v>
      </c>
      <c r="AC38" s="18">
        <v>0</v>
      </c>
      <c r="AD38" s="18">
        <v>29</v>
      </c>
      <c r="AE38" s="18">
        <v>109</v>
      </c>
      <c r="AF38" s="18">
        <v>56</v>
      </c>
      <c r="AG38" s="18">
        <v>32</v>
      </c>
      <c r="AH38" s="18">
        <v>18</v>
      </c>
      <c r="AI38" s="18">
        <v>9</v>
      </c>
      <c r="AJ38" s="18">
        <v>4</v>
      </c>
      <c r="AK38" s="18">
        <v>2</v>
      </c>
      <c r="AL38" s="16">
        <v>1</v>
      </c>
      <c r="AN38" s="47">
        <v>19</v>
      </c>
      <c r="AO38" s="42">
        <f t="shared" si="11"/>
        <v>2.6662706008235182E-9</v>
      </c>
      <c r="AP38" s="42">
        <f t="shared" si="12"/>
        <v>7.943099964778705E-6</v>
      </c>
      <c r="AQ38" s="42">
        <f t="shared" si="13"/>
        <v>3.6525057598242173E-3</v>
      </c>
      <c r="AR38" s="42">
        <f t="shared" si="14"/>
        <v>8.1506959920156552E-2</v>
      </c>
      <c r="AS38" s="42">
        <f t="shared" si="15"/>
        <v>9.9423571624784782E-2</v>
      </c>
      <c r="AT38" s="42">
        <f t="shared" si="16"/>
        <v>9.9965710356892903E-2</v>
      </c>
      <c r="AU38" s="42">
        <f t="shared" si="17"/>
        <v>9.9996123080004634E-2</v>
      </c>
      <c r="AV38" s="42">
        <f t="shared" si="18"/>
        <v>9.9999278124083879E-2</v>
      </c>
      <c r="AW38" s="42">
        <f t="shared" si="19"/>
        <v>9.9999802499644741E-2</v>
      </c>
      <c r="AX38" s="42">
        <f t="shared" si="20"/>
        <v>9.9999927298087085E-2</v>
      </c>
      <c r="AY38" s="42">
        <f t="shared" si="21"/>
        <v>9.9999966357194478E-2</v>
      </c>
      <c r="BA38" s="56">
        <v>19</v>
      </c>
      <c r="BB38" s="50">
        <f t="shared" si="26"/>
        <v>9.3518512607350442E-6</v>
      </c>
      <c r="BC38" s="50">
        <f t="shared" si="27"/>
        <v>2.1697977213896148E-2</v>
      </c>
      <c r="BD38" s="50">
        <f t="shared" si="28"/>
        <v>7.7570969999954391</v>
      </c>
      <c r="BE38" s="50">
        <f t="shared" si="29"/>
        <v>129.44313167008767</v>
      </c>
      <c r="BF38" s="50">
        <f t="shared" si="30"/>
        <v>112.39727623909296</v>
      </c>
      <c r="BG38" s="50">
        <f t="shared" si="31"/>
        <v>79.668156795730738</v>
      </c>
      <c r="BH38" s="50">
        <f t="shared" si="32"/>
        <v>56.164565646457653</v>
      </c>
      <c r="BI38" s="50">
        <f t="shared" si="33"/>
        <v>39.584577866938865</v>
      </c>
      <c r="BJ38" s="50">
        <f t="shared" si="34"/>
        <v>27.89927020111573</v>
      </c>
      <c r="BK38" s="50">
        <f t="shared" si="35"/>
        <v>19.664306251831121</v>
      </c>
      <c r="BL38" s="50">
        <f t="shared" si="36"/>
        <v>47.065170828572448</v>
      </c>
    </row>
    <row r="39" spans="5:74" ht="17" thickBot="1">
      <c r="E39" s="94">
        <v>20</v>
      </c>
      <c r="F39" s="99">
        <f t="shared" si="41"/>
        <v>0.1</v>
      </c>
      <c r="G39" s="98">
        <v>0</v>
      </c>
      <c r="H39" s="18">
        <f t="shared" si="7"/>
        <v>237</v>
      </c>
      <c r="I39" s="19">
        <v>650.4674884686558</v>
      </c>
      <c r="J39" s="17">
        <f t="shared" si="23"/>
        <v>0.36435333694840055</v>
      </c>
      <c r="L39" s="36">
        <f t="shared" si="8"/>
        <v>18128.822884176981</v>
      </c>
      <c r="M39" s="25">
        <f t="shared" si="9"/>
        <v>15831.386049916753</v>
      </c>
      <c r="N39" s="24">
        <v>20</v>
      </c>
      <c r="O39" s="144" cm="1">
        <f t="array" ref="O39">(bha*SUM(O38:Y38))/(1+bhb*SUM(O38:Y38))</f>
        <v>3934.3706661967012</v>
      </c>
      <c r="P39" s="132">
        <f t="shared" si="43"/>
        <v>3087.2810644813749</v>
      </c>
      <c r="Q39" s="132">
        <f t="shared" si="43"/>
        <v>2404.4194196824897</v>
      </c>
      <c r="R39" s="132">
        <f t="shared" si="43"/>
        <v>1865.7984620779964</v>
      </c>
      <c r="S39" s="132">
        <f t="shared" si="43"/>
        <v>1339.4042195909062</v>
      </c>
      <c r="T39" s="132">
        <f t="shared" si="43"/>
        <v>944.45852248566075</v>
      </c>
      <c r="U39" s="132">
        <f t="shared" si="43"/>
        <v>665.61883870206611</v>
      </c>
      <c r="V39" s="132">
        <f t="shared" si="43"/>
        <v>469.0986096751717</v>
      </c>
      <c r="W39" s="132">
        <f t="shared" si="43"/>
        <v>330.60797968005824</v>
      </c>
      <c r="X39" s="132">
        <f t="shared" si="43"/>
        <v>233.01171634547865</v>
      </c>
      <c r="Y39" s="132">
        <f>X38*EXP(-AX62)+Y38*EXP(-AY62)</f>
        <v>557.31655099885086</v>
      </c>
      <c r="AA39" s="34">
        <v>20</v>
      </c>
      <c r="AB39" s="19">
        <v>0</v>
      </c>
      <c r="AC39" s="19">
        <v>0</v>
      </c>
      <c r="AD39" s="19">
        <v>25</v>
      </c>
      <c r="AE39" s="19">
        <v>102</v>
      </c>
      <c r="AF39" s="19">
        <v>49</v>
      </c>
      <c r="AG39" s="19">
        <v>28</v>
      </c>
      <c r="AH39" s="19">
        <v>16</v>
      </c>
      <c r="AI39" s="19">
        <v>9</v>
      </c>
      <c r="AJ39" s="19">
        <v>5</v>
      </c>
      <c r="AK39" s="19">
        <v>2</v>
      </c>
      <c r="AL39" s="17">
        <v>1</v>
      </c>
      <c r="AN39" s="48">
        <v>20</v>
      </c>
      <c r="AO39" s="42">
        <f t="shared" si="11"/>
        <v>2.6662706008235182E-9</v>
      </c>
      <c r="AP39" s="42">
        <f t="shared" si="12"/>
        <v>7.943099964778705E-6</v>
      </c>
      <c r="AQ39" s="42">
        <f t="shared" si="13"/>
        <v>3.6525057598242173E-3</v>
      </c>
      <c r="AR39" s="42">
        <f t="shared" si="14"/>
        <v>8.1506959920156552E-2</v>
      </c>
      <c r="AS39" s="42">
        <f t="shared" si="15"/>
        <v>9.9423571624784782E-2</v>
      </c>
      <c r="AT39" s="42">
        <f t="shared" si="16"/>
        <v>9.9965710356892903E-2</v>
      </c>
      <c r="AU39" s="42">
        <f t="shared" si="17"/>
        <v>9.9996123080004634E-2</v>
      </c>
      <c r="AV39" s="42">
        <f t="shared" si="18"/>
        <v>9.9999278124083879E-2</v>
      </c>
      <c r="AW39" s="42">
        <f t="shared" si="19"/>
        <v>9.9999802499644741E-2</v>
      </c>
      <c r="AX39" s="42">
        <f t="shared" si="20"/>
        <v>9.9999927298087085E-2</v>
      </c>
      <c r="AY39" s="42">
        <f t="shared" si="21"/>
        <v>9.9999966357194478E-2</v>
      </c>
      <c r="BA39" s="57">
        <v>20</v>
      </c>
      <c r="BB39" s="50">
        <f t="shared" si="26"/>
        <v>9.2816048142140072E-6</v>
      </c>
      <c r="BC39" s="50">
        <f t="shared" si="27"/>
        <v>2.1697421257505681E-2</v>
      </c>
      <c r="BD39" s="50">
        <f t="shared" si="28"/>
        <v>7.7568400259213632</v>
      </c>
      <c r="BE39" s="50">
        <f t="shared" si="29"/>
        <v>129.43759531246769</v>
      </c>
      <c r="BF39" s="50">
        <f t="shared" si="30"/>
        <v>112.39107646537907</v>
      </c>
      <c r="BG39" s="50">
        <f t="shared" si="31"/>
        <v>79.662490073062273</v>
      </c>
      <c r="BH39" s="50">
        <f t="shared" si="32"/>
        <v>56.159402554413717</v>
      </c>
      <c r="BI39" s="50">
        <f t="shared" si="33"/>
        <v>39.579843887314837</v>
      </c>
      <c r="BJ39" s="50">
        <f t="shared" si="34"/>
        <v>27.894940082576763</v>
      </c>
      <c r="BK39" s="50">
        <f t="shared" si="35"/>
        <v>19.66031068589341</v>
      </c>
      <c r="BL39" s="50">
        <f t="shared" si="36"/>
        <v>47.023475012602773</v>
      </c>
    </row>
    <row r="40" spans="5:74" ht="17" thickBot="1"/>
    <row r="41" spans="5:74">
      <c r="F41" s="58"/>
      <c r="AN41" s="156" t="s">
        <v>49</v>
      </c>
      <c r="AO41" s="157"/>
      <c r="AP41" s="157"/>
      <c r="AQ41" s="157"/>
      <c r="AR41" s="157"/>
      <c r="AS41" s="157"/>
      <c r="AT41" s="157"/>
      <c r="AU41" s="157"/>
      <c r="AV41" s="157"/>
      <c r="AW41" s="157"/>
      <c r="AX41" s="157"/>
      <c r="AY41" s="158"/>
      <c r="BA41" s="171" t="s">
        <v>51</v>
      </c>
      <c r="BB41" s="172"/>
      <c r="BC41" s="172"/>
      <c r="BD41" s="172"/>
      <c r="BE41" s="172"/>
      <c r="BF41" s="172"/>
      <c r="BG41" s="172"/>
      <c r="BH41" s="172"/>
      <c r="BI41" s="172"/>
      <c r="BJ41" s="172"/>
      <c r="BK41" s="172"/>
      <c r="BL41" s="173"/>
    </row>
    <row r="42" spans="5:74">
      <c r="AN42" s="37"/>
      <c r="AO42" s="41" t="s">
        <v>37</v>
      </c>
      <c r="AP42" s="41"/>
      <c r="AQ42" s="41"/>
      <c r="AR42" s="41"/>
      <c r="AS42" s="41"/>
      <c r="AT42" s="41"/>
      <c r="AU42" s="41"/>
      <c r="AV42" s="41"/>
      <c r="AW42" s="41"/>
      <c r="AX42" s="41"/>
      <c r="AY42" s="43"/>
      <c r="BA42" s="52"/>
      <c r="BB42" s="49" t="s">
        <v>37</v>
      </c>
      <c r="BC42" s="49"/>
      <c r="BD42" s="49"/>
      <c r="BE42" s="49"/>
      <c r="BF42" s="49"/>
      <c r="BG42" s="49"/>
      <c r="BH42" s="49"/>
      <c r="BI42" s="49"/>
      <c r="BJ42" s="49"/>
      <c r="BK42" s="49"/>
      <c r="BL42" s="53"/>
      <c r="BM42" s="165"/>
      <c r="BN42" s="165"/>
      <c r="BO42" s="165"/>
      <c r="BP42" s="165"/>
      <c r="BQ42" s="165"/>
      <c r="BR42" s="165"/>
      <c r="BS42" s="165"/>
      <c r="BT42" s="165"/>
      <c r="BU42" s="165"/>
      <c r="BV42" s="165"/>
    </row>
    <row r="43" spans="5:74">
      <c r="AN43" s="46" t="s">
        <v>38</v>
      </c>
      <c r="AO43" s="44">
        <v>0</v>
      </c>
      <c r="AP43" s="44">
        <v>1</v>
      </c>
      <c r="AQ43" s="44">
        <v>2</v>
      </c>
      <c r="AR43" s="44">
        <v>3</v>
      </c>
      <c r="AS43" s="44">
        <v>4</v>
      </c>
      <c r="AT43" s="44">
        <v>5</v>
      </c>
      <c r="AU43" s="44">
        <v>6</v>
      </c>
      <c r="AV43" s="44">
        <v>7</v>
      </c>
      <c r="AW43" s="44">
        <v>8</v>
      </c>
      <c r="AX43" s="44">
        <v>9</v>
      </c>
      <c r="AY43" s="45">
        <v>10</v>
      </c>
      <c r="BA43" s="54" t="s">
        <v>38</v>
      </c>
      <c r="BB43" s="51">
        <v>0</v>
      </c>
      <c r="BC43" s="51">
        <v>1</v>
      </c>
      <c r="BD43" s="51">
        <v>2</v>
      </c>
      <c r="BE43" s="51">
        <v>3</v>
      </c>
      <c r="BF43" s="51">
        <v>4</v>
      </c>
      <c r="BG43" s="51">
        <v>5</v>
      </c>
      <c r="BH43" s="51">
        <v>6</v>
      </c>
      <c r="BI43" s="51">
        <v>7</v>
      </c>
      <c r="BJ43" s="51">
        <v>8</v>
      </c>
      <c r="BK43" s="51">
        <v>9</v>
      </c>
      <c r="BL43" s="55">
        <v>10</v>
      </c>
      <c r="BM43" s="165"/>
      <c r="BN43" s="165"/>
      <c r="BO43" s="165"/>
      <c r="BP43" s="165"/>
      <c r="BQ43" s="165"/>
      <c r="BR43" s="165"/>
      <c r="BS43" s="165"/>
      <c r="BT43" s="165"/>
      <c r="BU43" s="165"/>
      <c r="BV43" s="165"/>
    </row>
    <row r="44" spans="5:74">
      <c r="AN44" s="47">
        <v>1</v>
      </c>
      <c r="AO44" s="42">
        <f t="shared" ref="AO44:AY44" si="44">AO20+M</f>
        <v>0.25000000266627059</v>
      </c>
      <c r="AP44" s="42">
        <f t="shared" si="44"/>
        <v>0.25000794309996477</v>
      </c>
      <c r="AQ44" s="42">
        <f t="shared" si="44"/>
        <v>0.25365250575982423</v>
      </c>
      <c r="AR44" s="42">
        <f t="shared" si="44"/>
        <v>0.33150695992015655</v>
      </c>
      <c r="AS44" s="42">
        <f t="shared" si="44"/>
        <v>0.34942357162478477</v>
      </c>
      <c r="AT44" s="42">
        <f t="shared" si="44"/>
        <v>0.34996571035689289</v>
      </c>
      <c r="AU44" s="42">
        <f t="shared" si="44"/>
        <v>0.34999612308000461</v>
      </c>
      <c r="AV44" s="42">
        <f t="shared" si="44"/>
        <v>0.34999927812408388</v>
      </c>
      <c r="AW44" s="42">
        <f t="shared" si="44"/>
        <v>0.34999980249964474</v>
      </c>
      <c r="AX44" s="42">
        <f t="shared" si="44"/>
        <v>0.3499999272980871</v>
      </c>
      <c r="AY44" s="42">
        <f t="shared" si="44"/>
        <v>0.34999996635719449</v>
      </c>
      <c r="BA44" s="56">
        <v>1</v>
      </c>
      <c r="BB44" s="50">
        <f t="shared" ref="BB44:BB63" si="45">IFERROR(-LN(sigmaCC)-0.5*((LN(AB20)-LN(BB20))/sigmaCC)^2,0)</f>
        <v>0</v>
      </c>
      <c r="BC44" s="50">
        <f t="shared" ref="BC44:BC63" si="46">IFERROR(-LN(sigmaCC)-0.5*((LN(AC20)-LN(BC20))/sigmaCC)^2,0)</f>
        <v>0</v>
      </c>
      <c r="BD44" s="50">
        <f t="shared" ref="BD44:BD63" si="47">IFERROR(-LN(sigmaCC)-0.5*((LN(AD20)-LN(BD20))/sigmaCC)^2,0)</f>
        <v>-12.888137623318674</v>
      </c>
      <c r="BE44" s="50">
        <f t="shared" ref="BE44:BE63" si="48">IFERROR(-LN(sigmaCC)-0.5*((LN(AE20)-LN(BE20))/sigmaCC)^2,0)</f>
        <v>-4.7611671986290727</v>
      </c>
      <c r="BF44" s="50">
        <f t="shared" ref="BF44:BF63" si="49">IFERROR(-LN(sigmaCC)-0.5*((LN(AF20)-LN(BF20))/sigmaCC)^2,0)</f>
        <v>-4.1670181224184288</v>
      </c>
      <c r="BG44" s="50">
        <f t="shared" ref="BG44:BG63" si="50">IFERROR(-LN(sigmaCC)-0.5*((LN(AG20)-LN(BG20))/sigmaCC)^2,0)</f>
        <v>-4.2418018815781871</v>
      </c>
      <c r="BH44" s="50">
        <f t="shared" ref="BH44:BH63" si="51">IFERROR(-LN(sigmaCC)-0.5*((LN(AH20)-LN(BH20))/sigmaCC)^2,0)</f>
        <v>-4.2457803085135106</v>
      </c>
      <c r="BI44" s="50">
        <f t="shared" ref="BI44:BI63" si="52">IFERROR(-LN(sigmaCC)-0.5*((LN(AI20)-LN(BI20))/sigmaCC)^2,0)</f>
        <v>-4.2347880475671822</v>
      </c>
      <c r="BJ44" s="50">
        <f t="shared" ref="BJ44:BJ63" si="53">IFERROR(-LN(sigmaCC)-0.5*((LN(AJ20)-LN(BJ20))/sigmaCC)^2,0)</f>
        <v>-4.2476016127048064</v>
      </c>
      <c r="BK44" s="50">
        <f t="shared" ref="BK44:BK63" si="54">IFERROR(-LN(sigmaCC)-0.5*((LN(AK20)-LN(BK20))/sigmaCC)^2,0)</f>
        <v>-4.2483537348787515</v>
      </c>
      <c r="BL44" s="50">
        <f t="shared" ref="BL44:BL63" si="55">IFERROR(-LN(sigmaCC)-0.5*((LN(AL20)-LN(BL20))/sigmaCC)^2,0)</f>
        <v>-4.2111168113942838</v>
      </c>
      <c r="BM44" s="165"/>
      <c r="BN44" s="165"/>
      <c r="BO44" s="165"/>
      <c r="BP44" s="165"/>
      <c r="BQ44" s="165"/>
      <c r="BR44" s="165"/>
      <c r="BS44" s="165"/>
      <c r="BT44" s="165"/>
      <c r="BU44" s="165"/>
      <c r="BV44" s="165"/>
    </row>
    <row r="45" spans="5:74">
      <c r="AN45" s="47">
        <v>2</v>
      </c>
      <c r="AO45" s="42">
        <f t="shared" ref="AO45:AY45" si="56">AO21+M</f>
        <v>0.25000000266627059</v>
      </c>
      <c r="AP45" s="42">
        <f t="shared" si="56"/>
        <v>0.25000794309996477</v>
      </c>
      <c r="AQ45" s="42">
        <f t="shared" si="56"/>
        <v>0.25365250575982423</v>
      </c>
      <c r="AR45" s="42">
        <f t="shared" si="56"/>
        <v>0.33150695992015655</v>
      </c>
      <c r="AS45" s="42">
        <f t="shared" si="56"/>
        <v>0.34942357162478477</v>
      </c>
      <c r="AT45" s="42">
        <f t="shared" si="56"/>
        <v>0.34996571035689289</v>
      </c>
      <c r="AU45" s="42">
        <f t="shared" si="56"/>
        <v>0.34999612308000461</v>
      </c>
      <c r="AV45" s="42">
        <f t="shared" si="56"/>
        <v>0.34999927812408388</v>
      </c>
      <c r="AW45" s="42">
        <f t="shared" si="56"/>
        <v>0.34999980249964474</v>
      </c>
      <c r="AX45" s="42">
        <f t="shared" si="56"/>
        <v>0.3499999272980871</v>
      </c>
      <c r="AY45" s="42">
        <f t="shared" si="56"/>
        <v>0.34999996635719449</v>
      </c>
      <c r="BA45" s="56">
        <v>2</v>
      </c>
      <c r="BB45" s="50">
        <f t="shared" si="45"/>
        <v>0</v>
      </c>
      <c r="BC45" s="50">
        <f t="shared" si="46"/>
        <v>0</v>
      </c>
      <c r="BD45" s="50">
        <f t="shared" si="47"/>
        <v>-16.430432594106112</v>
      </c>
      <c r="BE45" s="50">
        <f t="shared" si="48"/>
        <v>-4.5562758155396796</v>
      </c>
      <c r="BF45" s="50">
        <f t="shared" si="49"/>
        <v>-1.3815310042791276</v>
      </c>
      <c r="BG45" s="50">
        <f t="shared" si="50"/>
        <v>-1.7026728673197375</v>
      </c>
      <c r="BH45" s="50">
        <f t="shared" si="51"/>
        <v>-1.7902026403242512</v>
      </c>
      <c r="BI45" s="50">
        <f t="shared" si="52"/>
        <v>-1.7799933978587359</v>
      </c>
      <c r="BJ45" s="50">
        <f t="shared" si="53"/>
        <v>-1.7916627832419985</v>
      </c>
      <c r="BK45" s="50">
        <f t="shared" si="54"/>
        <v>-1.7523210040495161</v>
      </c>
      <c r="BL45" s="50">
        <f t="shared" si="55"/>
        <v>0.11726013288304993</v>
      </c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</row>
    <row r="46" spans="5:74">
      <c r="AN46" s="47">
        <v>3</v>
      </c>
      <c r="AO46" s="42">
        <f t="shared" ref="AO46:AY46" si="57">AO22+M</f>
        <v>0.25000000266627059</v>
      </c>
      <c r="AP46" s="42">
        <f t="shared" si="57"/>
        <v>0.25000794309996477</v>
      </c>
      <c r="AQ46" s="42">
        <f t="shared" si="57"/>
        <v>0.25365250575982423</v>
      </c>
      <c r="AR46" s="42">
        <f t="shared" si="57"/>
        <v>0.33150695992015655</v>
      </c>
      <c r="AS46" s="42">
        <f t="shared" si="57"/>
        <v>0.34942357162478477</v>
      </c>
      <c r="AT46" s="42">
        <f t="shared" si="57"/>
        <v>0.34996571035689289</v>
      </c>
      <c r="AU46" s="42">
        <f t="shared" si="57"/>
        <v>0.34999612308000461</v>
      </c>
      <c r="AV46" s="42">
        <f t="shared" si="57"/>
        <v>0.34999927812408388</v>
      </c>
      <c r="AW46" s="42">
        <f t="shared" si="57"/>
        <v>0.34999980249964474</v>
      </c>
      <c r="AX46" s="42">
        <f t="shared" si="57"/>
        <v>0.3499999272980871</v>
      </c>
      <c r="AY46" s="42">
        <f t="shared" si="57"/>
        <v>0.34999996635719449</v>
      </c>
      <c r="BA46" s="56">
        <v>3</v>
      </c>
      <c r="BB46" s="50">
        <f t="shared" si="45"/>
        <v>0</v>
      </c>
      <c r="BC46" s="50">
        <f t="shared" si="46"/>
        <v>0</v>
      </c>
      <c r="BD46" s="50">
        <f t="shared" si="47"/>
        <v>-6.0359259743900342</v>
      </c>
      <c r="BE46" s="50">
        <f t="shared" si="48"/>
        <v>-2.7170822943185726</v>
      </c>
      <c r="BF46" s="50">
        <f t="shared" si="49"/>
        <v>-0.53159726264248464</v>
      </c>
      <c r="BG46" s="50">
        <f t="shared" si="50"/>
        <v>0.33099444814373691</v>
      </c>
      <c r="BH46" s="50">
        <f t="shared" si="51"/>
        <v>0.16630310869914944</v>
      </c>
      <c r="BI46" s="50">
        <f t="shared" si="52"/>
        <v>0.12732501597982993</v>
      </c>
      <c r="BJ46" s="50">
        <f t="shared" si="53"/>
        <v>0.14932541533858912</v>
      </c>
      <c r="BK46" s="50">
        <f t="shared" si="54"/>
        <v>0.16758451587810308</v>
      </c>
      <c r="BL46" s="50">
        <f t="shared" si="55"/>
        <v>0.46795452024629991</v>
      </c>
      <c r="BM46" s="165"/>
      <c r="BN46" s="165"/>
      <c r="BO46" s="165"/>
      <c r="BP46" s="165"/>
      <c r="BQ46" s="165"/>
      <c r="BR46" s="165"/>
      <c r="BS46" s="165"/>
      <c r="BT46" s="165"/>
      <c r="BU46" s="165"/>
      <c r="BV46" s="165"/>
    </row>
    <row r="47" spans="5:74">
      <c r="AN47" s="47">
        <v>4</v>
      </c>
      <c r="AO47" s="42">
        <f t="shared" ref="AO47:AY47" si="58">AO23+M</f>
        <v>0.25000000266627059</v>
      </c>
      <c r="AP47" s="42">
        <f t="shared" si="58"/>
        <v>0.25000794309996477</v>
      </c>
      <c r="AQ47" s="42">
        <f t="shared" si="58"/>
        <v>0.25365250575982423</v>
      </c>
      <c r="AR47" s="42">
        <f t="shared" si="58"/>
        <v>0.33150695992015655</v>
      </c>
      <c r="AS47" s="42">
        <f t="shared" si="58"/>
        <v>0.34942357162478477</v>
      </c>
      <c r="AT47" s="42">
        <f t="shared" si="58"/>
        <v>0.34996571035689289</v>
      </c>
      <c r="AU47" s="42">
        <f t="shared" si="58"/>
        <v>0.34999612308000461</v>
      </c>
      <c r="AV47" s="42">
        <f t="shared" si="58"/>
        <v>0.34999927812408388</v>
      </c>
      <c r="AW47" s="42">
        <f t="shared" si="58"/>
        <v>0.34999980249964474</v>
      </c>
      <c r="AX47" s="42">
        <f t="shared" si="58"/>
        <v>0.3499999272980871</v>
      </c>
      <c r="AY47" s="42">
        <f t="shared" si="58"/>
        <v>0.34999996635719449</v>
      </c>
      <c r="BA47" s="56">
        <v>4</v>
      </c>
      <c r="BB47" s="50">
        <f t="shared" si="45"/>
        <v>0</v>
      </c>
      <c r="BC47" s="50">
        <f t="shared" si="46"/>
        <v>0</v>
      </c>
      <c r="BD47" s="50">
        <f t="shared" si="47"/>
        <v>-10.500138587936318</v>
      </c>
      <c r="BE47" s="50">
        <f t="shared" si="48"/>
        <v>-4.2391429819673103</v>
      </c>
      <c r="BF47" s="50">
        <f t="shared" si="49"/>
        <v>-1.7054000502159519</v>
      </c>
      <c r="BG47" s="50">
        <f t="shared" si="50"/>
        <v>-0.10225158658755074</v>
      </c>
      <c r="BH47" s="50">
        <f t="shared" si="51"/>
        <v>0.53577513254906894</v>
      </c>
      <c r="BI47" s="50">
        <f t="shared" si="52"/>
        <v>0.44479398742384174</v>
      </c>
      <c r="BJ47" s="50">
        <f t="shared" si="53"/>
        <v>0.39748891719087143</v>
      </c>
      <c r="BK47" s="50">
        <f t="shared" si="54"/>
        <v>0.39862495767424455</v>
      </c>
      <c r="BL47" s="50">
        <f t="shared" si="55"/>
        <v>-0.22011492818457445</v>
      </c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</row>
    <row r="48" spans="5:74">
      <c r="AN48" s="47">
        <v>5</v>
      </c>
      <c r="AO48" s="42">
        <f t="shared" ref="AO48:AY48" si="59">AO24+M</f>
        <v>0.25000000266627059</v>
      </c>
      <c r="AP48" s="42">
        <f t="shared" si="59"/>
        <v>0.25000794309996477</v>
      </c>
      <c r="AQ48" s="42">
        <f t="shared" si="59"/>
        <v>0.25365250575982423</v>
      </c>
      <c r="AR48" s="42">
        <f t="shared" si="59"/>
        <v>0.33150695992015655</v>
      </c>
      <c r="AS48" s="42">
        <f t="shared" si="59"/>
        <v>0.34942357162478477</v>
      </c>
      <c r="AT48" s="42">
        <f t="shared" si="59"/>
        <v>0.34996571035689289</v>
      </c>
      <c r="AU48" s="42">
        <f t="shared" si="59"/>
        <v>0.34999612308000461</v>
      </c>
      <c r="AV48" s="42">
        <f t="shared" si="59"/>
        <v>0.34999927812408388</v>
      </c>
      <c r="AW48" s="42">
        <f t="shared" si="59"/>
        <v>0.34999980249964474</v>
      </c>
      <c r="AX48" s="42">
        <f t="shared" si="59"/>
        <v>0.3499999272980871</v>
      </c>
      <c r="AY48" s="42">
        <f t="shared" si="59"/>
        <v>0.34999996635719449</v>
      </c>
      <c r="BA48" s="56">
        <v>5</v>
      </c>
      <c r="BB48" s="50">
        <f t="shared" si="45"/>
        <v>0</v>
      </c>
      <c r="BC48" s="50">
        <f t="shared" si="46"/>
        <v>0</v>
      </c>
      <c r="BD48" s="50">
        <f t="shared" si="47"/>
        <v>-5.6121635375037791</v>
      </c>
      <c r="BE48" s="50">
        <f t="shared" si="48"/>
        <v>-3.3616091799405385</v>
      </c>
      <c r="BF48" s="50">
        <f t="shared" si="49"/>
        <v>-1.0314324908477333</v>
      </c>
      <c r="BG48" s="50">
        <f t="shared" si="50"/>
        <v>1.297833317709296E-2</v>
      </c>
      <c r="BH48" s="50">
        <f t="shared" si="51"/>
        <v>0.66342152141452282</v>
      </c>
      <c r="BI48" s="50">
        <f t="shared" si="52"/>
        <v>0.59522116725593377</v>
      </c>
      <c r="BJ48" s="50">
        <f t="shared" si="53"/>
        <v>0.64025915092557628</v>
      </c>
      <c r="BK48" s="50">
        <f t="shared" si="54"/>
        <v>0.66051249454864447</v>
      </c>
      <c r="BL48" s="50">
        <f t="shared" si="55"/>
        <v>-2.6074453672383573</v>
      </c>
      <c r="BM48" s="165"/>
      <c r="BN48" s="165"/>
      <c r="BO48" s="165"/>
      <c r="BP48" s="165"/>
      <c r="BQ48" s="165"/>
      <c r="BR48" s="165"/>
      <c r="BS48" s="165"/>
      <c r="BT48" s="165"/>
      <c r="BU48" s="165"/>
      <c r="BV48" s="165"/>
    </row>
    <row r="49" spans="40:64">
      <c r="AN49" s="47">
        <v>6</v>
      </c>
      <c r="AO49" s="42">
        <f t="shared" ref="AO49:AY49" si="60">AO25+M</f>
        <v>0.25000000266627059</v>
      </c>
      <c r="AP49" s="42">
        <f t="shared" si="60"/>
        <v>0.25000794309996477</v>
      </c>
      <c r="AQ49" s="42">
        <f t="shared" si="60"/>
        <v>0.25365250575982423</v>
      </c>
      <c r="AR49" s="42">
        <f t="shared" si="60"/>
        <v>0.33150695992015655</v>
      </c>
      <c r="AS49" s="42">
        <f t="shared" si="60"/>
        <v>0.34942357162478477</v>
      </c>
      <c r="AT49" s="42">
        <f t="shared" si="60"/>
        <v>0.34996571035689289</v>
      </c>
      <c r="AU49" s="42">
        <f t="shared" si="60"/>
        <v>0.34999612308000461</v>
      </c>
      <c r="AV49" s="42">
        <f t="shared" si="60"/>
        <v>0.34999927812408388</v>
      </c>
      <c r="AW49" s="42">
        <f t="shared" si="60"/>
        <v>0.34999980249964474</v>
      </c>
      <c r="AX49" s="42">
        <f t="shared" si="60"/>
        <v>0.3499999272980871</v>
      </c>
      <c r="AY49" s="42">
        <f t="shared" si="60"/>
        <v>0.34999996635719449</v>
      </c>
      <c r="BA49" s="56">
        <v>6</v>
      </c>
      <c r="BB49" s="50">
        <f t="shared" si="45"/>
        <v>0</v>
      </c>
      <c r="BC49" s="50">
        <f t="shared" si="46"/>
        <v>0</v>
      </c>
      <c r="BD49" s="50">
        <f t="shared" si="47"/>
        <v>-5.6162637708410061</v>
      </c>
      <c r="BE49" s="50">
        <f t="shared" si="48"/>
        <v>-2.6970028552375531</v>
      </c>
      <c r="BF49" s="50">
        <f t="shared" si="49"/>
        <v>-1.5689532410542193</v>
      </c>
      <c r="BG49" s="50">
        <f t="shared" si="50"/>
        <v>-0.13578961178062809</v>
      </c>
      <c r="BH49" s="50">
        <f t="shared" si="51"/>
        <v>0.52055323420746269</v>
      </c>
      <c r="BI49" s="50">
        <f t="shared" si="52"/>
        <v>0.64153464342022126</v>
      </c>
      <c r="BJ49" s="50">
        <f t="shared" si="53"/>
        <v>0.18550996071417802</v>
      </c>
      <c r="BK49" s="50">
        <f t="shared" si="54"/>
        <v>0.3306687081440628</v>
      </c>
      <c r="BL49" s="50">
        <f t="shared" si="55"/>
        <v>-4.9205972162183595</v>
      </c>
    </row>
    <row r="50" spans="40:64">
      <c r="AN50" s="47">
        <v>7</v>
      </c>
      <c r="AO50" s="42">
        <f t="shared" ref="AO50:AY50" si="61">AO26+M</f>
        <v>0.25000000266627059</v>
      </c>
      <c r="AP50" s="42">
        <f t="shared" si="61"/>
        <v>0.25000794309996477</v>
      </c>
      <c r="AQ50" s="42">
        <f t="shared" si="61"/>
        <v>0.25365250575982423</v>
      </c>
      <c r="AR50" s="42">
        <f t="shared" si="61"/>
        <v>0.33150695992015655</v>
      </c>
      <c r="AS50" s="42">
        <f t="shared" si="61"/>
        <v>0.34942357162478477</v>
      </c>
      <c r="AT50" s="42">
        <f t="shared" si="61"/>
        <v>0.34996571035689289</v>
      </c>
      <c r="AU50" s="42">
        <f t="shared" si="61"/>
        <v>0.34999612308000461</v>
      </c>
      <c r="AV50" s="42">
        <f t="shared" si="61"/>
        <v>0.34999927812408388</v>
      </c>
      <c r="AW50" s="42">
        <f t="shared" si="61"/>
        <v>0.34999980249964474</v>
      </c>
      <c r="AX50" s="42">
        <f t="shared" si="61"/>
        <v>0.3499999272980871</v>
      </c>
      <c r="AY50" s="42">
        <f t="shared" si="61"/>
        <v>0.34999996635719449</v>
      </c>
      <c r="BA50" s="56">
        <v>7</v>
      </c>
      <c r="BB50" s="50">
        <f t="shared" si="45"/>
        <v>0</v>
      </c>
      <c r="BC50" s="50">
        <f t="shared" si="46"/>
        <v>0</v>
      </c>
      <c r="BD50" s="50">
        <f t="shared" si="47"/>
        <v>-3.6557334513358954</v>
      </c>
      <c r="BE50" s="50">
        <f t="shared" si="48"/>
        <v>-1.2817448217407952</v>
      </c>
      <c r="BF50" s="50">
        <f t="shared" si="49"/>
        <v>-0.44459598635122066</v>
      </c>
      <c r="BG50" s="50">
        <f t="shared" si="50"/>
        <v>-7.9962753048350987E-2</v>
      </c>
      <c r="BH50" s="50">
        <f t="shared" si="51"/>
        <v>0.60366121926879213</v>
      </c>
      <c r="BI50" s="50">
        <f t="shared" si="52"/>
        <v>0.65848070410860782</v>
      </c>
      <c r="BJ50" s="50">
        <f t="shared" si="53"/>
        <v>-9.8032517928601459E-2</v>
      </c>
      <c r="BK50" s="50">
        <f t="shared" si="54"/>
        <v>-1.4746675538855758</v>
      </c>
      <c r="BL50" s="50">
        <f t="shared" si="55"/>
        <v>-8.5767662642414013</v>
      </c>
    </row>
    <row r="51" spans="40:64">
      <c r="AN51" s="47">
        <v>8</v>
      </c>
      <c r="AO51" s="42">
        <f t="shared" ref="AO51:AY51" si="62">AO27+M</f>
        <v>0.25000000266627059</v>
      </c>
      <c r="AP51" s="42">
        <f t="shared" si="62"/>
        <v>0.25000794309996477</v>
      </c>
      <c r="AQ51" s="42">
        <f t="shared" si="62"/>
        <v>0.25365250575982423</v>
      </c>
      <c r="AR51" s="42">
        <f t="shared" si="62"/>
        <v>0.33150695992015655</v>
      </c>
      <c r="AS51" s="42">
        <f t="shared" si="62"/>
        <v>0.34942357162478477</v>
      </c>
      <c r="AT51" s="42">
        <f t="shared" si="62"/>
        <v>0.34996571035689289</v>
      </c>
      <c r="AU51" s="42">
        <f t="shared" si="62"/>
        <v>0.34999612308000461</v>
      </c>
      <c r="AV51" s="42">
        <f t="shared" si="62"/>
        <v>0.34999927812408388</v>
      </c>
      <c r="AW51" s="42">
        <f t="shared" si="62"/>
        <v>0.34999980249964474</v>
      </c>
      <c r="AX51" s="42">
        <f t="shared" si="62"/>
        <v>0.3499999272980871</v>
      </c>
      <c r="AY51" s="42">
        <f t="shared" si="62"/>
        <v>0.34999996635719449</v>
      </c>
      <c r="BA51" s="56">
        <v>8</v>
      </c>
      <c r="BB51" s="50">
        <f t="shared" si="45"/>
        <v>0</v>
      </c>
      <c r="BC51" s="50">
        <f t="shared" si="46"/>
        <v>0</v>
      </c>
      <c r="BD51" s="50">
        <f t="shared" si="47"/>
        <v>-5.3143266950533032</v>
      </c>
      <c r="BE51" s="50">
        <f t="shared" si="48"/>
        <v>-1.2846481830953977</v>
      </c>
      <c r="BF51" s="50">
        <f t="shared" si="49"/>
        <v>-0.10257000815062067</v>
      </c>
      <c r="BG51" s="50">
        <f t="shared" si="50"/>
        <v>0.23684792425159795</v>
      </c>
      <c r="BH51" s="50">
        <f t="shared" si="51"/>
        <v>0.4488583920494098</v>
      </c>
      <c r="BI51" s="50">
        <f t="shared" si="52"/>
        <v>0.68156905056852202</v>
      </c>
      <c r="BJ51" s="50">
        <f t="shared" si="53"/>
        <v>0.29417656957259847</v>
      </c>
      <c r="BK51" s="50">
        <f t="shared" si="54"/>
        <v>-0.95421719462091514</v>
      </c>
      <c r="BL51" s="50">
        <f t="shared" si="55"/>
        <v>-12.140986765446081</v>
      </c>
    </row>
    <row r="52" spans="40:64">
      <c r="AN52" s="47">
        <v>9</v>
      </c>
      <c r="AO52" s="42">
        <f t="shared" ref="AO52:AY52" si="63">AO28+M</f>
        <v>0.25000000266627059</v>
      </c>
      <c r="AP52" s="42">
        <f t="shared" si="63"/>
        <v>0.25000794309996477</v>
      </c>
      <c r="AQ52" s="42">
        <f t="shared" si="63"/>
        <v>0.25365250575982423</v>
      </c>
      <c r="AR52" s="42">
        <f t="shared" si="63"/>
        <v>0.33150695992015655</v>
      </c>
      <c r="AS52" s="42">
        <f t="shared" si="63"/>
        <v>0.34942357162478477</v>
      </c>
      <c r="AT52" s="42">
        <f t="shared" si="63"/>
        <v>0.34996571035689289</v>
      </c>
      <c r="AU52" s="42">
        <f t="shared" si="63"/>
        <v>0.34999612308000461</v>
      </c>
      <c r="AV52" s="42">
        <f t="shared" si="63"/>
        <v>0.34999927812408388</v>
      </c>
      <c r="AW52" s="42">
        <f t="shared" si="63"/>
        <v>0.34999980249964474</v>
      </c>
      <c r="AX52" s="42">
        <f t="shared" si="63"/>
        <v>0.3499999272980871</v>
      </c>
      <c r="AY52" s="42">
        <f t="shared" si="63"/>
        <v>0.34999996635719449</v>
      </c>
      <c r="BA52" s="56">
        <v>9</v>
      </c>
      <c r="BB52" s="50">
        <f t="shared" si="45"/>
        <v>0</v>
      </c>
      <c r="BC52" s="50">
        <f t="shared" si="46"/>
        <v>0</v>
      </c>
      <c r="BD52" s="50">
        <f t="shared" si="47"/>
        <v>-2.5926217805302638</v>
      </c>
      <c r="BE52" s="50">
        <f t="shared" si="48"/>
        <v>-0.28368940806859066</v>
      </c>
      <c r="BF52" s="50">
        <f t="shared" si="49"/>
        <v>0.49048003788880501</v>
      </c>
      <c r="BG52" s="50">
        <f t="shared" si="50"/>
        <v>0.67481038968716089</v>
      </c>
      <c r="BH52" s="50">
        <f t="shared" si="51"/>
        <v>0.68541086045115907</v>
      </c>
      <c r="BI52" s="50">
        <f t="shared" si="52"/>
        <v>0.62390949661229922</v>
      </c>
      <c r="BJ52" s="50">
        <f t="shared" si="53"/>
        <v>-9.8032511220697893E-2</v>
      </c>
      <c r="BK52" s="50">
        <f t="shared" si="54"/>
        <v>-0.95421718494161378</v>
      </c>
      <c r="BL52" s="50">
        <f t="shared" si="55"/>
        <v>-15.017664252349192</v>
      </c>
    </row>
    <row r="53" spans="40:64">
      <c r="AN53" s="47">
        <v>10</v>
      </c>
      <c r="AO53" s="42">
        <f t="shared" ref="AO53:AY53" si="64">AO29+M</f>
        <v>0.25000000266627059</v>
      </c>
      <c r="AP53" s="42">
        <f t="shared" si="64"/>
        <v>0.25000794309996477</v>
      </c>
      <c r="AQ53" s="42">
        <f t="shared" si="64"/>
        <v>0.25365250575982423</v>
      </c>
      <c r="AR53" s="42">
        <f t="shared" si="64"/>
        <v>0.33150695992015655</v>
      </c>
      <c r="AS53" s="42">
        <f t="shared" si="64"/>
        <v>0.34942357162478477</v>
      </c>
      <c r="AT53" s="42">
        <f t="shared" si="64"/>
        <v>0.34996571035689289</v>
      </c>
      <c r="AU53" s="42">
        <f t="shared" si="64"/>
        <v>0.34999612308000461</v>
      </c>
      <c r="AV53" s="42">
        <f t="shared" si="64"/>
        <v>0.34999927812408388</v>
      </c>
      <c r="AW53" s="42">
        <f t="shared" si="64"/>
        <v>0.34999980249964474</v>
      </c>
      <c r="AX53" s="42">
        <f t="shared" si="64"/>
        <v>0.3499999272980871</v>
      </c>
      <c r="AY53" s="42">
        <f t="shared" si="64"/>
        <v>0.34999996635719449</v>
      </c>
      <c r="BA53" s="56">
        <v>10</v>
      </c>
      <c r="BB53" s="50">
        <f t="shared" si="45"/>
        <v>0</v>
      </c>
      <c r="BC53" s="50">
        <f t="shared" si="46"/>
        <v>0</v>
      </c>
      <c r="BD53" s="50">
        <f t="shared" si="47"/>
        <v>0.4510493662187256</v>
      </c>
      <c r="BE53" s="50">
        <f t="shared" si="48"/>
        <v>0.60483866206130366</v>
      </c>
      <c r="BF53" s="50">
        <f t="shared" si="49"/>
        <v>0.648337162683149</v>
      </c>
      <c r="BG53" s="50">
        <f t="shared" si="50"/>
        <v>0.28989260692137858</v>
      </c>
      <c r="BH53" s="50">
        <f t="shared" si="51"/>
        <v>-0.1902747615184216</v>
      </c>
      <c r="BI53" s="50">
        <f t="shared" si="52"/>
        <v>-0.56185172984180121</v>
      </c>
      <c r="BJ53" s="50">
        <f t="shared" si="53"/>
        <v>-1.0541039825885012</v>
      </c>
      <c r="BK53" s="50">
        <f t="shared" si="54"/>
        <v>-3.1022676208720448</v>
      </c>
      <c r="BL53" s="50">
        <f t="shared" si="55"/>
        <v>-19.725992496121833</v>
      </c>
    </row>
    <row r="54" spans="40:64">
      <c r="AN54" s="47">
        <v>11</v>
      </c>
      <c r="AO54" s="42">
        <f t="shared" ref="AO54:AY54" si="65">AO30+M</f>
        <v>0.25000000266627059</v>
      </c>
      <c r="AP54" s="42">
        <f t="shared" si="65"/>
        <v>0.25000794309996477</v>
      </c>
      <c r="AQ54" s="42">
        <f t="shared" si="65"/>
        <v>0.25365250575982423</v>
      </c>
      <c r="AR54" s="42">
        <f t="shared" si="65"/>
        <v>0.33150695992015655</v>
      </c>
      <c r="AS54" s="42">
        <f t="shared" si="65"/>
        <v>0.34942357162478477</v>
      </c>
      <c r="AT54" s="42">
        <f t="shared" si="65"/>
        <v>0.34996571035689289</v>
      </c>
      <c r="AU54" s="42">
        <f t="shared" si="65"/>
        <v>0.34999612308000461</v>
      </c>
      <c r="AV54" s="42">
        <f t="shared" si="65"/>
        <v>0.34999927812408388</v>
      </c>
      <c r="AW54" s="42">
        <f t="shared" si="65"/>
        <v>0.34999980249964474</v>
      </c>
      <c r="AX54" s="42">
        <f t="shared" si="65"/>
        <v>0.3499999272980871</v>
      </c>
      <c r="AY54" s="42">
        <f t="shared" si="65"/>
        <v>0.34999996635719449</v>
      </c>
      <c r="BA54" s="56">
        <v>11</v>
      </c>
      <c r="BB54" s="50">
        <f t="shared" si="45"/>
        <v>0</v>
      </c>
      <c r="BC54" s="50">
        <f t="shared" si="46"/>
        <v>0</v>
      </c>
      <c r="BD54" s="50">
        <f t="shared" si="47"/>
        <v>-2.7794135725238829</v>
      </c>
      <c r="BE54" s="50">
        <f t="shared" si="48"/>
        <v>-0.25462662261411562</v>
      </c>
      <c r="BF54" s="50">
        <f t="shared" si="49"/>
        <v>0.26330051843802171</v>
      </c>
      <c r="BG54" s="50">
        <f t="shared" si="50"/>
        <v>0.65897887119492071</v>
      </c>
      <c r="BH54" s="50">
        <f t="shared" si="51"/>
        <v>0.64196122936441125</v>
      </c>
      <c r="BI54" s="50">
        <f t="shared" si="52"/>
        <v>0.394991021394689</v>
      </c>
      <c r="BJ54" s="50">
        <f t="shared" si="53"/>
        <v>6.6087427181061753E-2</v>
      </c>
      <c r="BK54" s="50">
        <f t="shared" si="54"/>
        <v>-0.23162824969811535</v>
      </c>
      <c r="BL54" s="50">
        <f t="shared" si="55"/>
        <v>-9.6099918830008697</v>
      </c>
    </row>
    <row r="55" spans="40:64">
      <c r="AN55" s="47">
        <v>12</v>
      </c>
      <c r="AO55" s="42">
        <f t="shared" ref="AO55:AY55" si="66">AO31+M</f>
        <v>0.25000000266627059</v>
      </c>
      <c r="AP55" s="42">
        <f t="shared" si="66"/>
        <v>0.25000794309996477</v>
      </c>
      <c r="AQ55" s="42">
        <f t="shared" si="66"/>
        <v>0.25365250575982423</v>
      </c>
      <c r="AR55" s="42">
        <f t="shared" si="66"/>
        <v>0.33150695992015655</v>
      </c>
      <c r="AS55" s="42">
        <f t="shared" si="66"/>
        <v>0.34942357162478477</v>
      </c>
      <c r="AT55" s="42">
        <f t="shared" si="66"/>
        <v>0.34996571035689289</v>
      </c>
      <c r="AU55" s="42">
        <f t="shared" si="66"/>
        <v>0.34999612308000461</v>
      </c>
      <c r="AV55" s="42">
        <f t="shared" si="66"/>
        <v>0.34999927812408388</v>
      </c>
      <c r="AW55" s="42">
        <f t="shared" si="66"/>
        <v>0.34999980249964474</v>
      </c>
      <c r="AX55" s="42">
        <f t="shared" si="66"/>
        <v>0.3499999272980871</v>
      </c>
      <c r="AY55" s="42">
        <f t="shared" si="66"/>
        <v>0.34999996635719449</v>
      </c>
      <c r="BA55" s="56">
        <v>12</v>
      </c>
      <c r="BB55" s="50">
        <f t="shared" si="45"/>
        <v>0</v>
      </c>
      <c r="BC55" s="50">
        <f t="shared" si="46"/>
        <v>0</v>
      </c>
      <c r="BD55" s="50">
        <f t="shared" si="47"/>
        <v>-3.3191668019177776</v>
      </c>
      <c r="BE55" s="50">
        <f t="shared" si="48"/>
        <v>-0.13937172121963759</v>
      </c>
      <c r="BF55" s="50">
        <f t="shared" si="49"/>
        <v>0.60396511496014771</v>
      </c>
      <c r="BG55" s="50">
        <f t="shared" si="50"/>
        <v>0.67402136534753654</v>
      </c>
      <c r="BH55" s="50">
        <f t="shared" si="51"/>
        <v>0.5929610490892343</v>
      </c>
      <c r="BI55" s="50">
        <f t="shared" si="52"/>
        <v>9.7529196798400886E-2</v>
      </c>
      <c r="BJ55" s="50">
        <f t="shared" si="53"/>
        <v>-0.48342938772173782</v>
      </c>
      <c r="BK55" s="50">
        <f t="shared" si="54"/>
        <v>-0.93798129891047377</v>
      </c>
      <c r="BL55" s="50">
        <f t="shared" si="55"/>
        <v>-9.538819495807795</v>
      </c>
    </row>
    <row r="56" spans="40:64">
      <c r="AN56" s="47">
        <v>13</v>
      </c>
      <c r="AO56" s="42">
        <f t="shared" ref="AO56:AY56" si="67">AO32+M</f>
        <v>0.25000000266627059</v>
      </c>
      <c r="AP56" s="42">
        <f t="shared" si="67"/>
        <v>0.25000794309996477</v>
      </c>
      <c r="AQ56" s="42">
        <f t="shared" si="67"/>
        <v>0.25365250575982423</v>
      </c>
      <c r="AR56" s="42">
        <f t="shared" si="67"/>
        <v>0.33150695992015655</v>
      </c>
      <c r="AS56" s="42">
        <f t="shared" si="67"/>
        <v>0.34942357162478477</v>
      </c>
      <c r="AT56" s="42">
        <f t="shared" si="67"/>
        <v>0.34996571035689289</v>
      </c>
      <c r="AU56" s="42">
        <f t="shared" si="67"/>
        <v>0.34999612308000461</v>
      </c>
      <c r="AV56" s="42">
        <f t="shared" si="67"/>
        <v>0.34999927812408388</v>
      </c>
      <c r="AW56" s="42">
        <f t="shared" si="67"/>
        <v>0.34999980249964474</v>
      </c>
      <c r="AX56" s="42">
        <f t="shared" si="67"/>
        <v>0.3499999272980871</v>
      </c>
      <c r="AY56" s="42">
        <f t="shared" si="67"/>
        <v>0.34999996635719449</v>
      </c>
      <c r="BA56" s="56">
        <v>13</v>
      </c>
      <c r="BB56" s="50">
        <f t="shared" si="45"/>
        <v>0</v>
      </c>
      <c r="BC56" s="50">
        <f t="shared" si="46"/>
        <v>0</v>
      </c>
      <c r="BD56" s="50">
        <f t="shared" si="47"/>
        <v>-2.5993414745101391</v>
      </c>
      <c r="BE56" s="50">
        <f t="shared" si="48"/>
        <v>0.23542103626850802</v>
      </c>
      <c r="BF56" s="50">
        <f t="shared" si="49"/>
        <v>0.68858989897434253</v>
      </c>
      <c r="BG56" s="50">
        <f t="shared" si="50"/>
        <v>0.58181893952215702</v>
      </c>
      <c r="BH56" s="50">
        <f t="shared" si="51"/>
        <v>0.46059691909859052</v>
      </c>
      <c r="BI56" s="50">
        <f t="shared" si="52"/>
        <v>-0.24469727010444076</v>
      </c>
      <c r="BJ56" s="50">
        <f t="shared" si="53"/>
        <v>-1.0490381309234933</v>
      </c>
      <c r="BK56" s="50">
        <f t="shared" si="54"/>
        <v>-2.1399611397225105</v>
      </c>
      <c r="BL56" s="50">
        <f t="shared" si="55"/>
        <v>-11.601822472551998</v>
      </c>
    </row>
    <row r="57" spans="40:64">
      <c r="AN57" s="47">
        <v>14</v>
      </c>
      <c r="AO57" s="42">
        <f t="shared" ref="AO57:AY57" si="68">AO33+M</f>
        <v>0.25000000266627059</v>
      </c>
      <c r="AP57" s="42">
        <f t="shared" si="68"/>
        <v>0.25000794309996477</v>
      </c>
      <c r="AQ57" s="42">
        <f t="shared" si="68"/>
        <v>0.25365250575982423</v>
      </c>
      <c r="AR57" s="42">
        <f t="shared" si="68"/>
        <v>0.33150695992015655</v>
      </c>
      <c r="AS57" s="42">
        <f t="shared" si="68"/>
        <v>0.34942357162478477</v>
      </c>
      <c r="AT57" s="42">
        <f t="shared" si="68"/>
        <v>0.34996571035689289</v>
      </c>
      <c r="AU57" s="42">
        <f t="shared" si="68"/>
        <v>0.34999612308000461</v>
      </c>
      <c r="AV57" s="42">
        <f t="shared" si="68"/>
        <v>0.34999927812408388</v>
      </c>
      <c r="AW57" s="42">
        <f t="shared" si="68"/>
        <v>0.34999980249964474</v>
      </c>
      <c r="AX57" s="42">
        <f t="shared" si="68"/>
        <v>0.3499999272980871</v>
      </c>
      <c r="AY57" s="42">
        <f t="shared" si="68"/>
        <v>0.34999996635719449</v>
      </c>
      <c r="BA57" s="56">
        <v>14</v>
      </c>
      <c r="BB57" s="50">
        <f t="shared" si="45"/>
        <v>0</v>
      </c>
      <c r="BC57" s="50">
        <f t="shared" si="46"/>
        <v>0</v>
      </c>
      <c r="BD57" s="50">
        <f t="shared" si="47"/>
        <v>-5.485686691848815</v>
      </c>
      <c r="BE57" s="50">
        <f t="shared" si="48"/>
        <v>0.31542297141390435</v>
      </c>
      <c r="BF57" s="50">
        <f t="shared" si="49"/>
        <v>0.67000875422936157</v>
      </c>
      <c r="BG57" s="50">
        <f t="shared" si="50"/>
        <v>0.38937665471002125</v>
      </c>
      <c r="BH57" s="50">
        <f t="shared" si="51"/>
        <v>-0.18359371959189863</v>
      </c>
      <c r="BI57" s="50">
        <f t="shared" si="52"/>
        <v>-0.55357763838634677</v>
      </c>
      <c r="BJ57" s="50">
        <f t="shared" si="53"/>
        <v>-1.8755560378892842</v>
      </c>
      <c r="BK57" s="50">
        <f t="shared" si="54"/>
        <v>-3.0704255925765853</v>
      </c>
      <c r="BL57" s="50">
        <f t="shared" si="55"/>
        <v>-14.574867265485102</v>
      </c>
    </row>
    <row r="58" spans="40:64">
      <c r="AN58" s="47">
        <v>15</v>
      </c>
      <c r="AO58" s="42">
        <f t="shared" ref="AO58:AY58" si="69">AO34+M</f>
        <v>0.25000000266627059</v>
      </c>
      <c r="AP58" s="42">
        <f t="shared" si="69"/>
        <v>0.25000794309996477</v>
      </c>
      <c r="AQ58" s="42">
        <f t="shared" si="69"/>
        <v>0.25365250575982423</v>
      </c>
      <c r="AR58" s="42">
        <f t="shared" si="69"/>
        <v>0.33150695992015655</v>
      </c>
      <c r="AS58" s="42">
        <f t="shared" si="69"/>
        <v>0.34942357162478477</v>
      </c>
      <c r="AT58" s="42">
        <f t="shared" si="69"/>
        <v>0.34996571035689289</v>
      </c>
      <c r="AU58" s="42">
        <f t="shared" si="69"/>
        <v>0.34999612308000461</v>
      </c>
      <c r="AV58" s="42">
        <f t="shared" si="69"/>
        <v>0.34999927812408388</v>
      </c>
      <c r="AW58" s="42">
        <f t="shared" si="69"/>
        <v>0.34999980249964474</v>
      </c>
      <c r="AX58" s="42">
        <f t="shared" si="69"/>
        <v>0.3499999272980871</v>
      </c>
      <c r="AY58" s="42">
        <f t="shared" si="69"/>
        <v>0.34999996635719449</v>
      </c>
      <c r="BA58" s="56">
        <v>15</v>
      </c>
      <c r="BB58" s="50">
        <f t="shared" si="45"/>
        <v>0</v>
      </c>
      <c r="BC58" s="50">
        <f t="shared" si="46"/>
        <v>0</v>
      </c>
      <c r="BD58" s="50">
        <f t="shared" si="47"/>
        <v>-4.1868454150580332</v>
      </c>
      <c r="BE58" s="50">
        <f t="shared" si="48"/>
        <v>0.26200433233046672</v>
      </c>
      <c r="BF58" s="50">
        <f t="shared" si="49"/>
        <v>0.59398518070822692</v>
      </c>
      <c r="BG58" s="50">
        <f t="shared" si="50"/>
        <v>0.13496162213776608</v>
      </c>
      <c r="BH58" s="50">
        <f t="shared" si="51"/>
        <v>-0.61956146533389711</v>
      </c>
      <c r="BI58" s="50">
        <f t="shared" si="52"/>
        <v>-1.7909659458128386</v>
      </c>
      <c r="BJ58" s="50">
        <f t="shared" si="53"/>
        <v>-2.4341980967418531</v>
      </c>
      <c r="BK58" s="50">
        <f t="shared" si="54"/>
        <v>-4.3899530086958505</v>
      </c>
      <c r="BL58" s="50">
        <f t="shared" si="55"/>
        <v>-19.34517321841755</v>
      </c>
    </row>
    <row r="59" spans="40:64">
      <c r="AN59" s="47">
        <v>16</v>
      </c>
      <c r="AO59" s="42">
        <f t="shared" ref="AO59:AY59" si="70">AO35+M</f>
        <v>0.25000000266627059</v>
      </c>
      <c r="AP59" s="42">
        <f t="shared" si="70"/>
        <v>0.25000794309996477</v>
      </c>
      <c r="AQ59" s="42">
        <f t="shared" si="70"/>
        <v>0.25365250575982423</v>
      </c>
      <c r="AR59" s="42">
        <f t="shared" si="70"/>
        <v>0.33150695992015655</v>
      </c>
      <c r="AS59" s="42">
        <f t="shared" si="70"/>
        <v>0.34942357162478477</v>
      </c>
      <c r="AT59" s="42">
        <f t="shared" si="70"/>
        <v>0.34996571035689289</v>
      </c>
      <c r="AU59" s="42">
        <f t="shared" si="70"/>
        <v>0.34999612308000461</v>
      </c>
      <c r="AV59" s="42">
        <f t="shared" si="70"/>
        <v>0.34999927812408388</v>
      </c>
      <c r="AW59" s="42">
        <f t="shared" si="70"/>
        <v>0.34999980249964474</v>
      </c>
      <c r="AX59" s="42">
        <f t="shared" si="70"/>
        <v>0.3499999272980871</v>
      </c>
      <c r="AY59" s="42">
        <f t="shared" si="70"/>
        <v>0.34999996635719449</v>
      </c>
      <c r="BA59" s="56">
        <v>16</v>
      </c>
      <c r="BB59" s="50">
        <f t="shared" si="45"/>
        <v>0</v>
      </c>
      <c r="BC59" s="50">
        <f t="shared" si="46"/>
        <v>0</v>
      </c>
      <c r="BD59" s="50">
        <f t="shared" si="47"/>
        <v>-3.32239657827831</v>
      </c>
      <c r="BE59" s="50">
        <f t="shared" si="48"/>
        <v>0.47601066204284626</v>
      </c>
      <c r="BF59" s="50">
        <f t="shared" si="49"/>
        <v>0.62115764295608977</v>
      </c>
      <c r="BG59" s="50">
        <f t="shared" si="50"/>
        <v>-0.12750523264624569</v>
      </c>
      <c r="BH59" s="50">
        <f t="shared" si="51"/>
        <v>-1.0654965141772155</v>
      </c>
      <c r="BI59" s="50">
        <f t="shared" si="52"/>
        <v>-2.1588894688566111</v>
      </c>
      <c r="BJ59" s="50">
        <f t="shared" si="53"/>
        <v>-4.0357202330389308</v>
      </c>
      <c r="BK59" s="50">
        <f t="shared" si="54"/>
        <v>-4.3860865136794276</v>
      </c>
      <c r="BL59" s="50">
        <f t="shared" si="55"/>
        <v>-19.314573139160686</v>
      </c>
    </row>
    <row r="60" spans="40:64">
      <c r="AN60" s="47">
        <v>17</v>
      </c>
      <c r="AO60" s="42">
        <f t="shared" ref="AO60:AY60" si="71">AO36+M</f>
        <v>0.25000000266627059</v>
      </c>
      <c r="AP60" s="42">
        <f t="shared" si="71"/>
        <v>0.25000794309996477</v>
      </c>
      <c r="AQ60" s="42">
        <f t="shared" si="71"/>
        <v>0.25365250575982423</v>
      </c>
      <c r="AR60" s="42">
        <f t="shared" si="71"/>
        <v>0.33150695992015655</v>
      </c>
      <c r="AS60" s="42">
        <f t="shared" si="71"/>
        <v>0.34942357162478477</v>
      </c>
      <c r="AT60" s="42">
        <f t="shared" si="71"/>
        <v>0.34996571035689289</v>
      </c>
      <c r="AU60" s="42">
        <f t="shared" si="71"/>
        <v>0.34999612308000461</v>
      </c>
      <c r="AV60" s="42">
        <f t="shared" si="71"/>
        <v>0.34999927812408388</v>
      </c>
      <c r="AW60" s="42">
        <f t="shared" si="71"/>
        <v>0.34999980249964474</v>
      </c>
      <c r="AX60" s="42">
        <f t="shared" si="71"/>
        <v>0.3499999272980871</v>
      </c>
      <c r="AY60" s="42">
        <f t="shared" si="71"/>
        <v>0.34999996635719449</v>
      </c>
      <c r="BA60" s="56">
        <v>17</v>
      </c>
      <c r="BB60" s="50">
        <f t="shared" si="45"/>
        <v>0</v>
      </c>
      <c r="BC60" s="50">
        <f t="shared" si="46"/>
        <v>0</v>
      </c>
      <c r="BD60" s="50">
        <f t="shared" si="47"/>
        <v>-3.846792827247203</v>
      </c>
      <c r="BE60" s="50">
        <f t="shared" si="48"/>
        <v>0.65362262639360968</v>
      </c>
      <c r="BF60" s="50">
        <f t="shared" si="49"/>
        <v>0.38665055461086323</v>
      </c>
      <c r="BG60" s="50">
        <f t="shared" si="50"/>
        <v>-0.25685173528918459</v>
      </c>
      <c r="BH60" s="50">
        <f t="shared" si="51"/>
        <v>-1.8978017278507426</v>
      </c>
      <c r="BI60" s="50">
        <f t="shared" si="52"/>
        <v>-3.6969725602858192</v>
      </c>
      <c r="BJ60" s="50">
        <f t="shared" si="53"/>
        <v>-5.2211387755967493</v>
      </c>
      <c r="BK60" s="50">
        <f t="shared" si="54"/>
        <v>-6.3818212291393035</v>
      </c>
      <c r="BL60" s="50">
        <f t="shared" si="55"/>
        <v>-29.015789893801784</v>
      </c>
    </row>
    <row r="61" spans="40:64">
      <c r="AN61" s="47">
        <v>18</v>
      </c>
      <c r="AO61" s="42">
        <f t="shared" ref="AO61:AY61" si="72">AO37+M</f>
        <v>0.25000000266627059</v>
      </c>
      <c r="AP61" s="42">
        <f t="shared" si="72"/>
        <v>0.25000794309996477</v>
      </c>
      <c r="AQ61" s="42">
        <f t="shared" si="72"/>
        <v>0.25365250575982423</v>
      </c>
      <c r="AR61" s="42">
        <f t="shared" si="72"/>
        <v>0.33150695992015655</v>
      </c>
      <c r="AS61" s="42">
        <f t="shared" si="72"/>
        <v>0.34942357162478477</v>
      </c>
      <c r="AT61" s="42">
        <f t="shared" si="72"/>
        <v>0.34996571035689289</v>
      </c>
      <c r="AU61" s="42">
        <f t="shared" si="72"/>
        <v>0.34999612308000461</v>
      </c>
      <c r="AV61" s="42">
        <f t="shared" si="72"/>
        <v>0.34999927812408388</v>
      </c>
      <c r="AW61" s="42">
        <f t="shared" si="72"/>
        <v>0.34999980249964474</v>
      </c>
      <c r="AX61" s="42">
        <f t="shared" si="72"/>
        <v>0.3499999272980871</v>
      </c>
      <c r="AY61" s="42">
        <f t="shared" si="72"/>
        <v>0.34999996635719449</v>
      </c>
      <c r="BA61" s="56">
        <v>18</v>
      </c>
      <c r="BB61" s="50">
        <f t="shared" si="45"/>
        <v>0</v>
      </c>
      <c r="BC61" s="50">
        <f t="shared" si="46"/>
        <v>0</v>
      </c>
      <c r="BD61" s="50">
        <f t="shared" si="47"/>
        <v>-3.8471252647643484</v>
      </c>
      <c r="BE61" s="50">
        <f t="shared" si="48"/>
        <v>0.68403298963403036</v>
      </c>
      <c r="BF61" s="50">
        <f t="shared" si="49"/>
        <v>-1.4846773886369791E-2</v>
      </c>
      <c r="BG61" s="50">
        <f t="shared" si="50"/>
        <v>-0.75730262383324953</v>
      </c>
      <c r="BH61" s="50">
        <f t="shared" si="51"/>
        <v>-1.8970951086221723</v>
      </c>
      <c r="BI61" s="50">
        <f t="shared" si="52"/>
        <v>-4.4214351839550607</v>
      </c>
      <c r="BJ61" s="50">
        <f t="shared" si="53"/>
        <v>-6.8535381952345791</v>
      </c>
      <c r="BK61" s="50">
        <f t="shared" si="54"/>
        <v>-9.7577742679439261</v>
      </c>
      <c r="BL61" s="50">
        <f t="shared" si="55"/>
        <v>-28.993100443217575</v>
      </c>
    </row>
    <row r="62" spans="40:64">
      <c r="AN62" s="47">
        <v>19</v>
      </c>
      <c r="AO62" s="42">
        <f t="shared" ref="AO62:AY62" si="73">AO38+M</f>
        <v>0.25000000266627059</v>
      </c>
      <c r="AP62" s="42">
        <f t="shared" si="73"/>
        <v>0.25000794309996477</v>
      </c>
      <c r="AQ62" s="42">
        <f t="shared" si="73"/>
        <v>0.25365250575982423</v>
      </c>
      <c r="AR62" s="42">
        <f t="shared" si="73"/>
        <v>0.33150695992015655</v>
      </c>
      <c r="AS62" s="42">
        <f t="shared" si="73"/>
        <v>0.34942357162478477</v>
      </c>
      <c r="AT62" s="42">
        <f t="shared" si="73"/>
        <v>0.34996571035689289</v>
      </c>
      <c r="AU62" s="42">
        <f t="shared" si="73"/>
        <v>0.34999612308000461</v>
      </c>
      <c r="AV62" s="42">
        <f t="shared" si="73"/>
        <v>0.34999927812408388</v>
      </c>
      <c r="AW62" s="42">
        <f t="shared" si="73"/>
        <v>0.34999980249964474</v>
      </c>
      <c r="AX62" s="42">
        <f t="shared" si="73"/>
        <v>0.3499999272980871</v>
      </c>
      <c r="AY62" s="42">
        <f t="shared" si="73"/>
        <v>0.34999996635719449</v>
      </c>
      <c r="BA62" s="56">
        <v>19</v>
      </c>
      <c r="BB62" s="50">
        <f t="shared" si="45"/>
        <v>0</v>
      </c>
      <c r="BC62" s="50">
        <f t="shared" si="46"/>
        <v>0</v>
      </c>
      <c r="BD62" s="50">
        <f t="shared" si="47"/>
        <v>-2.784727128346121</v>
      </c>
      <c r="BE62" s="50">
        <f t="shared" si="48"/>
        <v>0.63405224782046588</v>
      </c>
      <c r="BF62" s="50">
        <f t="shared" si="49"/>
        <v>-0.27760119625790192</v>
      </c>
      <c r="BG62" s="50">
        <f t="shared" si="50"/>
        <v>-0.97082992391462952</v>
      </c>
      <c r="BH62" s="50">
        <f t="shared" si="51"/>
        <v>-1.8965507078860524</v>
      </c>
      <c r="BI62" s="50">
        <f t="shared" si="52"/>
        <v>-3.6948486741836515</v>
      </c>
      <c r="BJ62" s="50">
        <f t="shared" si="53"/>
        <v>-6.8519593331432791</v>
      </c>
      <c r="BK62" s="50">
        <f t="shared" si="54"/>
        <v>-9.7553173151513199</v>
      </c>
      <c r="BL62" s="50">
        <f t="shared" si="55"/>
        <v>-28.975469642379466</v>
      </c>
    </row>
    <row r="63" spans="40:64" ht="17" thickBot="1">
      <c r="AN63" s="48">
        <v>20</v>
      </c>
      <c r="AO63" s="42">
        <f t="shared" ref="AO63:AY63" si="74">AO39+M</f>
        <v>0.25000000266627059</v>
      </c>
      <c r="AP63" s="42">
        <f t="shared" si="74"/>
        <v>0.25000794309996477</v>
      </c>
      <c r="AQ63" s="42">
        <f t="shared" si="74"/>
        <v>0.25365250575982423</v>
      </c>
      <c r="AR63" s="42">
        <f t="shared" si="74"/>
        <v>0.33150695992015655</v>
      </c>
      <c r="AS63" s="42">
        <f t="shared" si="74"/>
        <v>0.34942357162478477</v>
      </c>
      <c r="AT63" s="42">
        <f t="shared" si="74"/>
        <v>0.34996571035689289</v>
      </c>
      <c r="AU63" s="42">
        <f t="shared" si="74"/>
        <v>0.34999612308000461</v>
      </c>
      <c r="AV63" s="42">
        <f t="shared" si="74"/>
        <v>0.34999927812408388</v>
      </c>
      <c r="AW63" s="42">
        <f t="shared" si="74"/>
        <v>0.34999980249964474</v>
      </c>
      <c r="AX63" s="42">
        <f t="shared" si="74"/>
        <v>0.3499999272980871</v>
      </c>
      <c r="AY63" s="42">
        <f t="shared" si="74"/>
        <v>0.34999996635719449</v>
      </c>
      <c r="BA63" s="57">
        <v>20</v>
      </c>
      <c r="BB63" s="50">
        <f t="shared" si="45"/>
        <v>0</v>
      </c>
      <c r="BC63" s="50">
        <f t="shared" si="46"/>
        <v>0</v>
      </c>
      <c r="BD63" s="50">
        <f t="shared" si="47"/>
        <v>-2.0460606824284242</v>
      </c>
      <c r="BE63" s="50">
        <f t="shared" si="48"/>
        <v>0.57964386710847549</v>
      </c>
      <c r="BF63" s="50">
        <f t="shared" si="49"/>
        <v>-0.68519816785527576</v>
      </c>
      <c r="BG63" s="50">
        <f t="shared" si="50"/>
        <v>-1.4933878079510738</v>
      </c>
      <c r="BH63" s="50">
        <f t="shared" si="51"/>
        <v>-2.4599426561645981</v>
      </c>
      <c r="BI63" s="50">
        <f t="shared" si="52"/>
        <v>-3.6941400974291261</v>
      </c>
      <c r="BJ63" s="50">
        <f t="shared" si="53"/>
        <v>-5.2168257081259766</v>
      </c>
      <c r="BK63" s="50">
        <f t="shared" si="54"/>
        <v>-9.7534595289990129</v>
      </c>
      <c r="BL63" s="50">
        <f t="shared" si="55"/>
        <v>-28.961816615222531</v>
      </c>
    </row>
  </sheetData>
  <mergeCells count="17">
    <mergeCell ref="A27:A29"/>
    <mergeCell ref="N17:Y17"/>
    <mergeCell ref="AN41:AY41"/>
    <mergeCell ref="BA41:BL41"/>
    <mergeCell ref="BM42:BV48"/>
    <mergeCell ref="A24:C24"/>
    <mergeCell ref="A25:A26"/>
    <mergeCell ref="BM17:BR22"/>
    <mergeCell ref="A1:C1"/>
    <mergeCell ref="A2:A3"/>
    <mergeCell ref="A4:A6"/>
    <mergeCell ref="A9:A10"/>
    <mergeCell ref="A13:C13"/>
    <mergeCell ref="AA17:AL17"/>
    <mergeCell ref="AN17:AY17"/>
    <mergeCell ref="BA17:BL17"/>
    <mergeCell ref="A20:C20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5099-05DB-4347-9CCA-8D26EDF20056}">
  <dimension ref="A1:BM63"/>
  <sheetViews>
    <sheetView topLeftCell="O10" zoomScale="96" zoomScaleNormal="96" workbookViewId="0">
      <selection activeCell="AA42" sqref="AA42"/>
    </sheetView>
  </sheetViews>
  <sheetFormatPr baseColWidth="10" defaultRowHeight="16"/>
  <cols>
    <col min="1" max="1" width="12.140625" style="94" customWidth="1"/>
    <col min="2" max="2" width="10.7109375" style="94"/>
    <col min="3" max="3" width="13.42578125" style="94" bestFit="1" customWidth="1"/>
    <col min="4" max="4" width="13.42578125" style="94" customWidth="1"/>
    <col min="5" max="5" width="10.7109375" style="94"/>
    <col min="6" max="6" width="8.140625" style="94" customWidth="1"/>
    <col min="7" max="7" width="7.5703125" style="94" customWidth="1"/>
    <col min="8" max="8" width="10.7109375" style="94"/>
    <col min="9" max="9" width="6.140625" style="94" customWidth="1"/>
    <col min="10" max="10" width="7.85546875" style="94" customWidth="1"/>
    <col min="11" max="11" width="6.85546875" style="94" customWidth="1"/>
    <col min="12" max="12" width="6.5703125" style="94" customWidth="1"/>
    <col min="13" max="15" width="6.140625" style="94" customWidth="1"/>
    <col min="16" max="26" width="5.28515625" style="94" customWidth="1"/>
    <col min="27" max="28" width="5.42578125" style="94" customWidth="1"/>
    <col min="29" max="39" width="6.140625" style="94" customWidth="1"/>
    <col min="40" max="40" width="10.7109375" style="94"/>
    <col min="41" max="52" width="5.42578125" style="94" customWidth="1"/>
    <col min="53" max="53" width="10.7109375" style="94"/>
    <col min="54" max="65" width="4.7109375" style="94" customWidth="1"/>
    <col min="66" max="16384" width="10.7109375" style="94"/>
  </cols>
  <sheetData>
    <row r="1" spans="1:19">
      <c r="A1" s="146" t="s">
        <v>0</v>
      </c>
      <c r="B1" s="147"/>
      <c r="C1" s="148"/>
      <c r="D1" s="108"/>
      <c r="G1" s="10" t="s">
        <v>31</v>
      </c>
      <c r="H1" s="11"/>
      <c r="I1" s="11"/>
      <c r="J1" s="11"/>
      <c r="K1" s="11"/>
      <c r="L1" s="12"/>
      <c r="M1" s="12"/>
      <c r="N1" s="12"/>
      <c r="O1" s="12"/>
      <c r="P1" s="12"/>
      <c r="Q1" s="12"/>
      <c r="R1" s="12"/>
      <c r="S1" s="13"/>
    </row>
    <row r="2" spans="1:19">
      <c r="A2" s="149" t="s">
        <v>1</v>
      </c>
      <c r="B2" s="1" t="s">
        <v>2</v>
      </c>
      <c r="C2" s="9">
        <v>1.4999999999999999E-7</v>
      </c>
      <c r="D2" s="109"/>
      <c r="G2" s="86" t="s">
        <v>22</v>
      </c>
      <c r="H2" s="87" t="s">
        <v>23</v>
      </c>
      <c r="I2" s="1"/>
      <c r="J2" s="1"/>
      <c r="K2" s="1"/>
      <c r="L2" s="1"/>
      <c r="M2" s="1"/>
      <c r="N2" s="1"/>
      <c r="O2" s="1"/>
      <c r="P2" s="1"/>
      <c r="Q2" s="1"/>
      <c r="R2" s="1"/>
      <c r="S2" s="2"/>
    </row>
    <row r="3" spans="1:19">
      <c r="A3" s="149"/>
      <c r="B3" s="1" t="s">
        <v>3</v>
      </c>
      <c r="C3" s="2">
        <v>3.1</v>
      </c>
      <c r="D3" s="1"/>
      <c r="G3" s="3" t="s">
        <v>28</v>
      </c>
      <c r="H3" s="1" t="s">
        <v>24</v>
      </c>
      <c r="I3" s="1">
        <v>0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1">
        <v>7</v>
      </c>
      <c r="Q3" s="1">
        <v>8</v>
      </c>
      <c r="R3" s="1">
        <v>9</v>
      </c>
      <c r="S3" s="2">
        <v>10</v>
      </c>
    </row>
    <row r="4" spans="1:19">
      <c r="A4" s="150" t="s">
        <v>4</v>
      </c>
      <c r="B4" s="1" t="s">
        <v>5</v>
      </c>
      <c r="C4" s="2">
        <v>350</v>
      </c>
      <c r="D4" s="1"/>
      <c r="G4" s="3" t="s">
        <v>81</v>
      </c>
      <c r="H4" s="1" t="s">
        <v>25</v>
      </c>
      <c r="I4" s="1">
        <f t="shared" ref="I4:S4" si="0">Linf-(Linf-Lo)*EXP(-vbk*I$3)</f>
        <v>0.60000000000002274</v>
      </c>
      <c r="J4" s="1">
        <f t="shared" si="0"/>
        <v>80.594575920233979</v>
      </c>
      <c r="K4" s="1">
        <f t="shared" si="0"/>
        <v>142.27452053921411</v>
      </c>
      <c r="L4" s="1">
        <f t="shared" si="0"/>
        <v>189.83293964995491</v>
      </c>
      <c r="M4" s="1">
        <f t="shared" si="0"/>
        <v>226.50293412360222</v>
      </c>
      <c r="N4" s="1">
        <f t="shared" si="0"/>
        <v>254.777391513916</v>
      </c>
      <c r="O4" s="1">
        <f t="shared" si="0"/>
        <v>276.57845672245281</v>
      </c>
      <c r="P4" s="1">
        <f t="shared" si="0"/>
        <v>293.38820262370206</v>
      </c>
      <c r="Q4" s="1">
        <f t="shared" si="0"/>
        <v>306.34938385781533</v>
      </c>
      <c r="R4" s="1">
        <f t="shared" si="0"/>
        <v>316.34312320226576</v>
      </c>
      <c r="S4" s="2">
        <f t="shared" si="0"/>
        <v>324.04881177191174</v>
      </c>
    </row>
    <row r="5" spans="1:19">
      <c r="A5" s="150"/>
      <c r="B5" s="1" t="s">
        <v>6</v>
      </c>
      <c r="C5" s="2">
        <v>0.26</v>
      </c>
      <c r="D5" s="1"/>
      <c r="G5" s="3" t="s">
        <v>33</v>
      </c>
      <c r="H5" s="1" t="s">
        <v>26</v>
      </c>
      <c r="I5" s="1">
        <f t="shared" ref="I5:S5" si="1">lwa*(I$4^lwb)</f>
        <v>3.0786487014787529E-8</v>
      </c>
      <c r="J5" s="1">
        <f t="shared" si="1"/>
        <v>0.12179775510938466</v>
      </c>
      <c r="K5" s="1">
        <f t="shared" si="1"/>
        <v>0.70922716923537987</v>
      </c>
      <c r="L5" s="1">
        <f t="shared" si="1"/>
        <v>1.7339762130984733</v>
      </c>
      <c r="M5" s="1">
        <f t="shared" si="1"/>
        <v>2.997920687322178</v>
      </c>
      <c r="N5" s="1">
        <f t="shared" si="1"/>
        <v>4.3170791220003428</v>
      </c>
      <c r="O5" s="1">
        <f t="shared" si="1"/>
        <v>5.5683707165183316</v>
      </c>
      <c r="P5" s="1">
        <f t="shared" si="1"/>
        <v>6.6859552163518652</v>
      </c>
      <c r="Q5" s="1">
        <f t="shared" si="1"/>
        <v>7.6447624304444846</v>
      </c>
      <c r="R5" s="1">
        <f t="shared" si="1"/>
        <v>8.4446624168383195</v>
      </c>
      <c r="S5" s="2">
        <f t="shared" si="1"/>
        <v>9.0987891765031517</v>
      </c>
    </row>
    <row r="6" spans="1:19">
      <c r="A6" s="150"/>
      <c r="B6" s="1" t="s">
        <v>19</v>
      </c>
      <c r="C6" s="2">
        <v>0.6</v>
      </c>
      <c r="D6" s="1"/>
      <c r="G6" s="3" t="s">
        <v>30</v>
      </c>
      <c r="H6" s="1" t="s">
        <v>27</v>
      </c>
      <c r="I6" s="1">
        <f t="shared" ref="I6:S6" si="2">MAX(0,I5-Wmat)</f>
        <v>0</v>
      </c>
      <c r="J6" s="1">
        <f t="shared" si="2"/>
        <v>0</v>
      </c>
      <c r="K6" s="1">
        <f t="shared" si="2"/>
        <v>0</v>
      </c>
      <c r="L6" s="1">
        <f t="shared" si="2"/>
        <v>0.23397621309847327</v>
      </c>
      <c r="M6" s="1">
        <f t="shared" si="2"/>
        <v>1.497920687322178</v>
      </c>
      <c r="N6" s="1">
        <f t="shared" si="2"/>
        <v>2.8170791220003428</v>
      </c>
      <c r="O6" s="1">
        <f t="shared" si="2"/>
        <v>4.0683707165183316</v>
      </c>
      <c r="P6" s="1">
        <f t="shared" si="2"/>
        <v>5.1859552163518652</v>
      </c>
      <c r="Q6" s="1">
        <f t="shared" si="2"/>
        <v>6.1447624304444846</v>
      </c>
      <c r="R6" s="1">
        <f t="shared" si="2"/>
        <v>6.9446624168383195</v>
      </c>
      <c r="S6" s="2">
        <f t="shared" si="2"/>
        <v>7.5987891765031517</v>
      </c>
    </row>
    <row r="7" spans="1:19">
      <c r="A7" s="85" t="s">
        <v>27</v>
      </c>
      <c r="B7" s="1" t="s">
        <v>7</v>
      </c>
      <c r="C7" s="2">
        <v>1.5</v>
      </c>
      <c r="D7" s="1"/>
      <c r="G7" s="3" t="s">
        <v>29</v>
      </c>
      <c r="H7" s="1" t="s">
        <v>32</v>
      </c>
      <c r="I7" s="1">
        <f t="shared" ref="I7:S7" si="3">1/(1+EXP(-(I4-lenv50)/sdv))</f>
        <v>2.6662706008235179E-8</v>
      </c>
      <c r="J7" s="1">
        <f t="shared" si="3"/>
        <v>7.943099964778705E-5</v>
      </c>
      <c r="K7" s="1">
        <f t="shared" si="3"/>
        <v>3.6525057598242171E-2</v>
      </c>
      <c r="L7" s="1">
        <f t="shared" si="3"/>
        <v>0.81506959920156541</v>
      </c>
      <c r="M7" s="1">
        <f t="shared" si="3"/>
        <v>0.99423571624784779</v>
      </c>
      <c r="N7" s="1">
        <f t="shared" si="3"/>
        <v>0.99965710356892901</v>
      </c>
      <c r="O7" s="1">
        <f t="shared" si="3"/>
        <v>0.99996123080004629</v>
      </c>
      <c r="P7" s="1">
        <f t="shared" si="3"/>
        <v>0.99999278124083879</v>
      </c>
      <c r="Q7" s="1">
        <f t="shared" si="3"/>
        <v>0.9999980249964473</v>
      </c>
      <c r="R7" s="1">
        <f t="shared" si="3"/>
        <v>0.99999927298087077</v>
      </c>
      <c r="S7" s="2">
        <f t="shared" si="3"/>
        <v>0.9999996635719447</v>
      </c>
    </row>
    <row r="8" spans="1:19">
      <c r="A8" s="7" t="s">
        <v>13</v>
      </c>
      <c r="B8" s="1" t="s">
        <v>14</v>
      </c>
      <c r="C8" s="2">
        <v>0.25</v>
      </c>
      <c r="D8" s="1"/>
      <c r="G8" s="3" t="s">
        <v>29</v>
      </c>
      <c r="H8" s="1" t="s">
        <v>35</v>
      </c>
      <c r="I8" s="1">
        <v>1</v>
      </c>
      <c r="J8" s="1">
        <f t="shared" ref="J8:S8" si="4">I8*EXP(-M)</f>
        <v>0.77880078307140488</v>
      </c>
      <c r="K8" s="1">
        <f t="shared" si="4"/>
        <v>0.60653065971263342</v>
      </c>
      <c r="L8" s="1">
        <f t="shared" si="4"/>
        <v>0.47236655274101469</v>
      </c>
      <c r="M8" s="1">
        <f t="shared" si="4"/>
        <v>0.36787944117144233</v>
      </c>
      <c r="N8" s="1">
        <f t="shared" si="4"/>
        <v>0.28650479686019009</v>
      </c>
      <c r="O8" s="1">
        <f t="shared" si="4"/>
        <v>0.22313016014842982</v>
      </c>
      <c r="P8" s="1">
        <f t="shared" si="4"/>
        <v>0.17377394345044511</v>
      </c>
      <c r="Q8" s="1">
        <f t="shared" si="4"/>
        <v>0.13533528323661267</v>
      </c>
      <c r="R8" s="1">
        <f t="shared" si="4"/>
        <v>0.10539922456186432</v>
      </c>
      <c r="S8" s="2">
        <f t="shared" si="4"/>
        <v>8.2084998623898786E-2</v>
      </c>
    </row>
    <row r="9" spans="1:19" ht="18" customHeight="1" thickBot="1">
      <c r="A9" s="150" t="s">
        <v>11</v>
      </c>
      <c r="B9" s="1" t="s">
        <v>34</v>
      </c>
      <c r="C9" s="2">
        <v>175</v>
      </c>
      <c r="D9" s="1"/>
      <c r="G9" s="6" t="s">
        <v>29</v>
      </c>
      <c r="H9" s="4" t="s">
        <v>36</v>
      </c>
      <c r="I9" s="4">
        <v>1</v>
      </c>
      <c r="J9" s="4">
        <f t="shared" ref="J9:S9" si="5">I9*EXP(-(M+AVERAGE($G$20:$G$39)))</f>
        <v>0.70468808971871344</v>
      </c>
      <c r="K9" s="4">
        <f t="shared" si="5"/>
        <v>0.49658530379140953</v>
      </c>
      <c r="L9" s="4">
        <f t="shared" si="5"/>
        <v>0.34993774911115538</v>
      </c>
      <c r="M9" s="4">
        <f t="shared" si="5"/>
        <v>0.24659696394160649</v>
      </c>
      <c r="N9" s="4">
        <f t="shared" si="5"/>
        <v>0.17377394345044514</v>
      </c>
      <c r="O9" s="4">
        <f t="shared" si="5"/>
        <v>0.12245642825298192</v>
      </c>
      <c r="P9" s="4">
        <f t="shared" si="5"/>
        <v>8.6293586499370523E-2</v>
      </c>
      <c r="Q9" s="4">
        <f t="shared" si="5"/>
        <v>6.0810062625217973E-2</v>
      </c>
      <c r="R9" s="4">
        <f t="shared" si="5"/>
        <v>4.2852126867040187E-2</v>
      </c>
      <c r="S9" s="4">
        <f t="shared" si="5"/>
        <v>3.0197383422318504E-2</v>
      </c>
    </row>
    <row r="10" spans="1:19" ht="16" customHeight="1" thickBot="1">
      <c r="A10" s="151"/>
      <c r="B10" s="4" t="s">
        <v>12</v>
      </c>
      <c r="C10" s="5">
        <v>10</v>
      </c>
      <c r="D10" s="1"/>
    </row>
    <row r="11" spans="1:19" ht="17" customHeight="1"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</row>
    <row r="12" spans="1:19" ht="16" customHeight="1" thickBot="1"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</row>
    <row r="13" spans="1:19">
      <c r="A13" s="159" t="s">
        <v>15</v>
      </c>
      <c r="B13" s="160"/>
      <c r="C13" s="161"/>
      <c r="D13" s="108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</row>
    <row r="14" spans="1:19">
      <c r="A14" s="59" t="s">
        <v>61</v>
      </c>
      <c r="B14" s="1" t="s">
        <v>41</v>
      </c>
      <c r="C14" s="67">
        <v>0.85</v>
      </c>
      <c r="D14" s="103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</row>
    <row r="15" spans="1:19">
      <c r="A15" s="62" t="s">
        <v>64</v>
      </c>
      <c r="B15" s="1" t="s">
        <v>18</v>
      </c>
      <c r="C15" s="70">
        <v>4000</v>
      </c>
      <c r="D15" s="101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</row>
    <row r="16" spans="1:19" ht="17" thickBot="1">
      <c r="A16" s="62" t="s">
        <v>65</v>
      </c>
      <c r="B16" s="64" t="s">
        <v>16</v>
      </c>
      <c r="C16" s="67">
        <v>0.1</v>
      </c>
      <c r="D16" s="103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</row>
    <row r="17" spans="1:65" ht="17" thickBot="1">
      <c r="A17" s="59" t="s">
        <v>60</v>
      </c>
      <c r="B17" s="64" t="s">
        <v>52</v>
      </c>
      <c r="C17" s="67">
        <v>0.5</v>
      </c>
      <c r="D17" s="103"/>
      <c r="E17" s="1"/>
      <c r="O17" s="168" t="s">
        <v>40</v>
      </c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70"/>
      <c r="AB17" s="153" t="s">
        <v>39</v>
      </c>
      <c r="AC17" s="154"/>
      <c r="AD17" s="154"/>
      <c r="AE17" s="154"/>
      <c r="AF17" s="154"/>
      <c r="AG17" s="154"/>
      <c r="AH17" s="154"/>
      <c r="AI17" s="154"/>
      <c r="AJ17" s="154"/>
      <c r="AK17" s="154"/>
      <c r="AL17" s="154"/>
      <c r="AM17" s="155"/>
      <c r="AO17" s="156" t="s">
        <v>50</v>
      </c>
      <c r="AP17" s="157"/>
      <c r="AQ17" s="157"/>
      <c r="AR17" s="157"/>
      <c r="AS17" s="157"/>
      <c r="AT17" s="157"/>
      <c r="AU17" s="157"/>
      <c r="AV17" s="157"/>
      <c r="AW17" s="157"/>
      <c r="AX17" s="157"/>
      <c r="AY17" s="157"/>
      <c r="AZ17" s="158"/>
      <c r="BB17" s="171" t="s">
        <v>47</v>
      </c>
      <c r="BC17" s="172"/>
      <c r="BD17" s="172"/>
      <c r="BE17" s="172"/>
      <c r="BF17" s="172"/>
      <c r="BG17" s="172"/>
      <c r="BH17" s="172"/>
      <c r="BI17" s="172"/>
      <c r="BJ17" s="172"/>
      <c r="BK17" s="172"/>
      <c r="BL17" s="172"/>
      <c r="BM17" s="173"/>
    </row>
    <row r="18" spans="1:65" ht="17" thickBot="1">
      <c r="A18" s="72" t="s">
        <v>67</v>
      </c>
      <c r="B18" s="61" t="s">
        <v>68</v>
      </c>
      <c r="C18" s="73">
        <v>0.25</v>
      </c>
      <c r="D18" s="110"/>
      <c r="E18" s="1"/>
      <c r="O18" s="21"/>
      <c r="P18" s="22" t="s">
        <v>37</v>
      </c>
      <c r="Q18" s="22"/>
      <c r="R18" s="22"/>
      <c r="S18" s="22"/>
      <c r="T18" s="22"/>
      <c r="U18" s="22"/>
      <c r="V18" s="22"/>
      <c r="W18" s="22"/>
      <c r="X18" s="22"/>
      <c r="Y18" s="22"/>
      <c r="Z18" s="23"/>
      <c r="AB18" s="15"/>
      <c r="AC18" s="28" t="s">
        <v>37</v>
      </c>
      <c r="AD18" s="28"/>
      <c r="AE18" s="28"/>
      <c r="AF18" s="28"/>
      <c r="AG18" s="28"/>
      <c r="AH18" s="28"/>
      <c r="AI18" s="28"/>
      <c r="AJ18" s="28"/>
      <c r="AK18" s="28"/>
      <c r="AL18" s="28"/>
      <c r="AM18" s="29"/>
      <c r="AO18" s="37"/>
      <c r="AP18" s="41" t="s">
        <v>37</v>
      </c>
      <c r="AQ18" s="41"/>
      <c r="AR18" s="41"/>
      <c r="AS18" s="41"/>
      <c r="AT18" s="41"/>
      <c r="AU18" s="41"/>
      <c r="AV18" s="41"/>
      <c r="AW18" s="41"/>
      <c r="AX18" s="41"/>
      <c r="AY18" s="41"/>
      <c r="AZ18" s="43"/>
      <c r="BB18" s="52"/>
      <c r="BC18" s="49" t="s">
        <v>37</v>
      </c>
      <c r="BD18" s="49"/>
      <c r="BE18" s="49"/>
      <c r="BF18" s="49"/>
      <c r="BG18" s="49"/>
      <c r="BH18" s="49"/>
      <c r="BI18" s="49"/>
      <c r="BJ18" s="49"/>
      <c r="BK18" s="49"/>
      <c r="BL18" s="49"/>
      <c r="BM18" s="53"/>
    </row>
    <row r="19" spans="1:65" ht="17" thickBot="1">
      <c r="E19" s="94" t="s">
        <v>38</v>
      </c>
      <c r="F19" s="71" t="s">
        <v>69</v>
      </c>
      <c r="G19" s="97" t="s">
        <v>44</v>
      </c>
      <c r="H19" s="97" t="s">
        <v>48</v>
      </c>
      <c r="I19" s="38" t="s">
        <v>46</v>
      </c>
      <c r="J19" s="38" t="s">
        <v>85</v>
      </c>
      <c r="K19" s="111" t="s">
        <v>86</v>
      </c>
      <c r="M19" s="39" t="s">
        <v>43</v>
      </c>
      <c r="N19" s="40" t="s">
        <v>42</v>
      </c>
      <c r="O19" s="27" t="s">
        <v>38</v>
      </c>
      <c r="P19" s="20">
        <v>0</v>
      </c>
      <c r="Q19" s="26">
        <v>1</v>
      </c>
      <c r="R19" s="26">
        <v>2</v>
      </c>
      <c r="S19" s="26">
        <v>3</v>
      </c>
      <c r="T19" s="26">
        <v>4</v>
      </c>
      <c r="U19" s="26">
        <v>5</v>
      </c>
      <c r="V19" s="26">
        <v>6</v>
      </c>
      <c r="W19" s="26">
        <v>7</v>
      </c>
      <c r="X19" s="26">
        <v>8</v>
      </c>
      <c r="Y19" s="26">
        <v>9</v>
      </c>
      <c r="Z19" s="78" t="s">
        <v>72</v>
      </c>
      <c r="AB19" s="32" t="s">
        <v>38</v>
      </c>
      <c r="AC19" s="30">
        <v>0</v>
      </c>
      <c r="AD19" s="30">
        <v>1</v>
      </c>
      <c r="AE19" s="30">
        <v>2</v>
      </c>
      <c r="AF19" s="30">
        <v>3</v>
      </c>
      <c r="AG19" s="30">
        <v>4</v>
      </c>
      <c r="AH19" s="30">
        <v>5</v>
      </c>
      <c r="AI19" s="30">
        <v>6</v>
      </c>
      <c r="AJ19" s="30">
        <v>7</v>
      </c>
      <c r="AK19" s="30">
        <v>8</v>
      </c>
      <c r="AL19" s="30">
        <v>9</v>
      </c>
      <c r="AM19" s="31">
        <v>10</v>
      </c>
      <c r="AO19" s="46" t="s">
        <v>38</v>
      </c>
      <c r="AP19" s="44">
        <v>0</v>
      </c>
      <c r="AQ19" s="44">
        <v>1</v>
      </c>
      <c r="AR19" s="44">
        <v>2</v>
      </c>
      <c r="AS19" s="44">
        <v>3</v>
      </c>
      <c r="AT19" s="44">
        <v>4</v>
      </c>
      <c r="AU19" s="44">
        <v>5</v>
      </c>
      <c r="AV19" s="44">
        <v>6</v>
      </c>
      <c r="AW19" s="44">
        <v>7</v>
      </c>
      <c r="AX19" s="44">
        <v>8</v>
      </c>
      <c r="AY19" s="44">
        <v>9</v>
      </c>
      <c r="AZ19" s="45">
        <v>10</v>
      </c>
      <c r="BB19" s="54" t="s">
        <v>38</v>
      </c>
      <c r="BC19" s="51">
        <v>0</v>
      </c>
      <c r="BD19" s="51">
        <v>1</v>
      </c>
      <c r="BE19" s="51">
        <v>2</v>
      </c>
      <c r="BF19" s="51">
        <v>3</v>
      </c>
      <c r="BG19" s="51">
        <v>4</v>
      </c>
      <c r="BH19" s="51">
        <v>5</v>
      </c>
      <c r="BI19" s="51">
        <v>6</v>
      </c>
      <c r="BJ19" s="51">
        <v>7</v>
      </c>
      <c r="BK19" s="51">
        <v>8</v>
      </c>
      <c r="BL19" s="51">
        <v>9</v>
      </c>
      <c r="BM19" s="55">
        <v>10</v>
      </c>
    </row>
    <row r="20" spans="1:65">
      <c r="A20" s="159" t="s">
        <v>53</v>
      </c>
      <c r="B20" s="160"/>
      <c r="C20" s="161"/>
      <c r="D20" s="108"/>
      <c r="E20" s="94">
        <v>1</v>
      </c>
      <c r="F20" s="74">
        <f t="shared" ref="F20:F30" si="6">-LN(_xlfn.NORM.DIST(H20,0,sigmaF,FALSE))</f>
        <v>-0.46735582791521796</v>
      </c>
      <c r="G20" s="98">
        <f t="shared" ref="G20:G30" si="7">MAX(0.000001,Fbar+H20)</f>
        <v>0.1</v>
      </c>
      <c r="H20" s="98">
        <v>0</v>
      </c>
      <c r="I20" s="18">
        <f t="shared" ref="I20:I39" si="8">SUM(AC20:AM20)</f>
        <v>2806</v>
      </c>
      <c r="J20" s="18">
        <v>412.24912799128799</v>
      </c>
      <c r="K20" s="16">
        <f>I20/J20</f>
        <v>6.8065638214262005</v>
      </c>
      <c r="M20" s="35">
        <f t="shared" ref="M20:M39" si="9">SUMPRODUCT(P20:Z20,$I$6:$S$6)</f>
        <v>19859.082226496503</v>
      </c>
      <c r="N20" s="20">
        <f t="shared" ref="N20:N39" si="10">SUM(P20:Z20)</f>
        <v>16422.741563556705</v>
      </c>
      <c r="O20" s="21">
        <v>1</v>
      </c>
      <c r="P20" s="142">
        <f>Ro</f>
        <v>4000</v>
      </c>
      <c r="Q20" s="130">
        <f t="shared" ref="Q20:Y20" si="11">Ro*EXP(-(AP20+M*Q19))</f>
        <v>3115.2031239796447</v>
      </c>
      <c r="R20" s="130">
        <f t="shared" si="11"/>
        <v>2426.1033679924217</v>
      </c>
      <c r="S20" s="130">
        <f t="shared" si="11"/>
        <v>1882.5775129085746</v>
      </c>
      <c r="T20" s="130">
        <f t="shared" si="11"/>
        <v>1356.3366168145396</v>
      </c>
      <c r="U20" s="130">
        <f t="shared" si="11"/>
        <v>1037.5589486609626</v>
      </c>
      <c r="V20" s="130">
        <f t="shared" si="11"/>
        <v>807.61376429158508</v>
      </c>
      <c r="W20" s="130">
        <f t="shared" si="11"/>
        <v>628.95110364289349</v>
      </c>
      <c r="X20" s="130">
        <f t="shared" si="11"/>
        <v>489.82606660544064</v>
      </c>
      <c r="Y20" s="130">
        <f t="shared" si="11"/>
        <v>381.47672420397953</v>
      </c>
      <c r="Z20" s="130">
        <f>Ro*EXP(-(AY20+M*10))</f>
        <v>297.09433445666116</v>
      </c>
      <c r="AB20" s="33">
        <v>1</v>
      </c>
      <c r="AC20" s="18">
        <v>0</v>
      </c>
      <c r="AD20" s="18">
        <v>0</v>
      </c>
      <c r="AE20" s="18">
        <v>106</v>
      </c>
      <c r="AF20" s="18">
        <v>681</v>
      </c>
      <c r="AG20" s="18">
        <v>541</v>
      </c>
      <c r="AH20" s="18">
        <v>421</v>
      </c>
      <c r="AI20" s="18">
        <v>328</v>
      </c>
      <c r="AJ20" s="18">
        <v>255</v>
      </c>
      <c r="AK20" s="18">
        <v>199</v>
      </c>
      <c r="AL20" s="18">
        <v>155</v>
      </c>
      <c r="AM20" s="16">
        <v>120</v>
      </c>
      <c r="AO20" s="47">
        <v>1</v>
      </c>
      <c r="AP20" s="42">
        <f t="shared" ref="AP20:AP39" si="12">$G20*I$7</f>
        <v>2.6662706008235182E-9</v>
      </c>
      <c r="AQ20" s="42">
        <f t="shared" ref="AQ20:AQ39" si="13">$G20*J$7</f>
        <v>7.943099964778705E-6</v>
      </c>
      <c r="AR20" s="42">
        <f t="shared" ref="AR20:AR39" si="14">$G20*K$7</f>
        <v>3.6525057598242173E-3</v>
      </c>
      <c r="AS20" s="42">
        <f t="shared" ref="AS20:AS39" si="15">$G20*L$7</f>
        <v>8.1506959920156552E-2</v>
      </c>
      <c r="AT20" s="42">
        <f t="shared" ref="AT20:AT39" si="16">$G20*M$7</f>
        <v>9.9423571624784782E-2</v>
      </c>
      <c r="AU20" s="42">
        <f t="shared" ref="AU20:AU39" si="17">$G20*N$7</f>
        <v>9.9965710356892903E-2</v>
      </c>
      <c r="AV20" s="42">
        <f t="shared" ref="AV20:AV39" si="18">$G20*O$7</f>
        <v>9.9996123080004634E-2</v>
      </c>
      <c r="AW20" s="42">
        <f t="shared" ref="AW20:AW39" si="19">$G20*P$7</f>
        <v>9.9999278124083879E-2</v>
      </c>
      <c r="AX20" s="42">
        <f t="shared" ref="AX20:AX39" si="20">$G20*Q$7</f>
        <v>9.9999802499644741E-2</v>
      </c>
      <c r="AY20" s="42">
        <f t="shared" ref="AY20:AY39" si="21">$G20*R$7</f>
        <v>9.9999927298087085E-2</v>
      </c>
      <c r="AZ20" s="42">
        <f t="shared" ref="AZ20:AZ39" si="22">$G20*S$7</f>
        <v>9.9999966357194478E-2</v>
      </c>
      <c r="BB20" s="56">
        <v>1</v>
      </c>
      <c r="BC20" s="50">
        <f>(AP20/AP44)*(1-EXP(-AP44))*P20</f>
        <v>9.4364314922939377E-6</v>
      </c>
      <c r="BD20" s="50">
        <f t="shared" ref="BD20:BM20" si="23">(AQ20/AQ44)*(1-EXP(-AQ44))*Q20</f>
        <v>2.1893657581525915E-2</v>
      </c>
      <c r="BE20" s="50">
        <f t="shared" si="23"/>
        <v>7.8267940933330724</v>
      </c>
      <c r="BF20" s="50">
        <f t="shared" si="23"/>
        <v>130.60162242218931</v>
      </c>
      <c r="BG20" s="50">
        <f t="shared" si="23"/>
        <v>113.81189500788359</v>
      </c>
      <c r="BH20" s="50">
        <f t="shared" si="23"/>
        <v>87.515256075393992</v>
      </c>
      <c r="BI20" s="50">
        <f t="shared" si="23"/>
        <v>68.139757861687656</v>
      </c>
      <c r="BJ20" s="50">
        <f t="shared" si="23"/>
        <v>53.067278353644774</v>
      </c>
      <c r="BK20" s="50">
        <f t="shared" si="23"/>
        <v>41.32891405726464</v>
      </c>
      <c r="BL20" s="50">
        <f t="shared" si="23"/>
        <v>32.187012030619037</v>
      </c>
      <c r="BM20" s="50">
        <f t="shared" si="23"/>
        <v>25.067276375823017</v>
      </c>
    </row>
    <row r="21" spans="1:65">
      <c r="A21" s="59" t="s">
        <v>54</v>
      </c>
      <c r="B21" s="1" t="s">
        <v>55</v>
      </c>
      <c r="C21" s="63">
        <f>IFERROR(SUM(BC44:BM63),10000)</f>
        <v>-537.94305489870101</v>
      </c>
      <c r="D21" s="92"/>
      <c r="E21" s="94">
        <v>2</v>
      </c>
      <c r="F21" s="74">
        <f t="shared" si="6"/>
        <v>-0.46735582791521796</v>
      </c>
      <c r="G21" s="98">
        <f t="shared" si="7"/>
        <v>0.1</v>
      </c>
      <c r="H21" s="98">
        <v>0</v>
      </c>
      <c r="I21" s="18">
        <f t="shared" si="8"/>
        <v>1966</v>
      </c>
      <c r="J21" s="18">
        <v>496.39116814446777</v>
      </c>
      <c r="K21" s="16">
        <f t="shared" ref="K21:K39" si="24">I21/J21</f>
        <v>3.9605861791397201</v>
      </c>
      <c r="M21" s="35">
        <f t="shared" si="9"/>
        <v>19839.153498341988</v>
      </c>
      <c r="N21" s="20">
        <f t="shared" si="10"/>
        <v>16280.774676801346</v>
      </c>
      <c r="O21" s="21">
        <v>2</v>
      </c>
      <c r="P21" s="143">
        <f t="shared" ref="P21:P30" si="25">(bha*M20)/(1+bhb*M20)</f>
        <v>3982.2998238530126</v>
      </c>
      <c r="Q21" s="132">
        <f>P20*EXP(-AP44)</f>
        <v>3115.2031239796447</v>
      </c>
      <c r="R21" s="132">
        <f t="shared" ref="R21:Z36" si="26">Q20*EXP(-AQ44)</f>
        <v>2426.1033615237734</v>
      </c>
      <c r="S21" s="132">
        <f t="shared" si="26"/>
        <v>1882.5625594665864</v>
      </c>
      <c r="T21" s="132">
        <f t="shared" si="26"/>
        <v>1351.3916258109348</v>
      </c>
      <c r="U21" s="132">
        <f t="shared" si="26"/>
        <v>956.34536527187231</v>
      </c>
      <c r="V21" s="132">
        <f t="shared" si="26"/>
        <v>731.18050499116475</v>
      </c>
      <c r="W21" s="132">
        <f t="shared" si="26"/>
        <v>569.11800720988117</v>
      </c>
      <c r="X21" s="132">
        <f t="shared" si="26"/>
        <v>443.21467169846886</v>
      </c>
      <c r="Y21" s="132">
        <f t="shared" si="26"/>
        <v>345.17466334273115</v>
      </c>
      <c r="Z21" s="132">
        <f>Y20*EXP(-AY44)+Z20*EXP(-AZ44)</f>
        <v>478.18096965327265</v>
      </c>
      <c r="AB21" s="33">
        <v>2</v>
      </c>
      <c r="AC21" s="18">
        <v>0</v>
      </c>
      <c r="AD21" s="18">
        <v>0</v>
      </c>
      <c r="AE21" s="18">
        <v>146</v>
      </c>
      <c r="AF21" s="18">
        <v>660</v>
      </c>
      <c r="AG21" s="18">
        <v>314</v>
      </c>
      <c r="AH21" s="18">
        <v>241</v>
      </c>
      <c r="AI21" s="18">
        <v>188</v>
      </c>
      <c r="AJ21" s="18">
        <v>146</v>
      </c>
      <c r="AK21" s="18">
        <v>114</v>
      </c>
      <c r="AL21" s="18">
        <v>88</v>
      </c>
      <c r="AM21" s="16">
        <v>69</v>
      </c>
      <c r="AO21" s="47">
        <v>2</v>
      </c>
      <c r="AP21" s="42">
        <f t="shared" si="12"/>
        <v>2.6662706008235182E-9</v>
      </c>
      <c r="AQ21" s="42">
        <f t="shared" si="13"/>
        <v>7.943099964778705E-6</v>
      </c>
      <c r="AR21" s="42">
        <f t="shared" si="14"/>
        <v>3.6525057598242173E-3</v>
      </c>
      <c r="AS21" s="42">
        <f t="shared" si="15"/>
        <v>8.1506959920156552E-2</v>
      </c>
      <c r="AT21" s="42">
        <f t="shared" si="16"/>
        <v>9.9423571624784782E-2</v>
      </c>
      <c r="AU21" s="42">
        <f t="shared" si="17"/>
        <v>9.9965710356892903E-2</v>
      </c>
      <c r="AV21" s="42">
        <f t="shared" si="18"/>
        <v>9.9996123080004634E-2</v>
      </c>
      <c r="AW21" s="42">
        <f t="shared" si="19"/>
        <v>9.9999278124083879E-2</v>
      </c>
      <c r="AX21" s="42">
        <f t="shared" si="20"/>
        <v>9.9999802499644741E-2</v>
      </c>
      <c r="AY21" s="42">
        <f t="shared" si="21"/>
        <v>9.9999927298087085E-2</v>
      </c>
      <c r="AZ21" s="42">
        <f t="shared" si="22"/>
        <v>9.9999966357194478E-2</v>
      </c>
      <c r="BB21" s="56">
        <v>2</v>
      </c>
      <c r="BC21" s="50">
        <f t="shared" ref="BC21:BC39" si="27">(AP21/AP45)*(1-EXP(-AP45))*P21</f>
        <v>9.3946748673907918E-6</v>
      </c>
      <c r="BD21" s="50">
        <f t="shared" ref="BD21:BD39" si="28">(AQ21/AQ45)*(1-EXP(-AQ45))*Q21</f>
        <v>2.1893657581525915E-2</v>
      </c>
      <c r="BE21" s="50">
        <f t="shared" ref="BE21:BE39" si="29">(AR21/AR45)*(1-EXP(-AR45))*R21</f>
        <v>7.8267940724647209</v>
      </c>
      <c r="BF21" s="50">
        <f t="shared" ref="BF21:BF39" si="30">(AS21/AS45)*(1-EXP(-AS45))*S21</f>
        <v>130.60058504456686</v>
      </c>
      <c r="BG21" s="50">
        <f t="shared" ref="BG21:BG39" si="31">(AT21/AT45)*(1-EXP(-AT45))*T21</f>
        <v>113.39695465315147</v>
      </c>
      <c r="BH21" s="50">
        <f t="shared" ref="BH21:BH39" si="32">(AU21/AU45)*(1-EXP(-AU45))*U21</f>
        <v>80.665112711232183</v>
      </c>
      <c r="BI21" s="50">
        <f t="shared" ref="BI21:BI39" si="33">(AV21/AV45)*(1-EXP(-AV45))*V21</f>
        <v>61.690952737769727</v>
      </c>
      <c r="BJ21" s="50">
        <f t="shared" ref="BJ21:BJ39" si="34">(AW21/AW45)*(1-EXP(-AW45))*W21</f>
        <v>48.01890565061516</v>
      </c>
      <c r="BK21" s="50">
        <f t="shared" ref="BK21:BK39" si="35">(AX21/AX45)*(1-EXP(-AX45))*X21</f>
        <v>37.396092867184549</v>
      </c>
      <c r="BL21" s="50">
        <f t="shared" ref="BL21:BL39" si="36">(AY21/AY45)*(1-EXP(-AY45))*Y21</f>
        <v>29.124033884008757</v>
      </c>
      <c r="BM21" s="50">
        <f t="shared" ref="BM21:BM39" si="37">(AZ21/AZ45)*(1-EXP(-AZ45))*Z21</f>
        <v>40.346425810776246</v>
      </c>
    </row>
    <row r="22" spans="1:65">
      <c r="A22" s="62" t="s">
        <v>70</v>
      </c>
      <c r="B22" s="8" t="s">
        <v>71</v>
      </c>
      <c r="C22" s="63">
        <f>IFERROR(SUM(F20:F39),1000)</f>
        <v>-9.3471165583043589</v>
      </c>
      <c r="D22" s="92"/>
      <c r="E22" s="94">
        <v>3</v>
      </c>
      <c r="F22" s="74">
        <f t="shared" si="6"/>
        <v>-0.46735582791521796</v>
      </c>
      <c r="G22" s="98">
        <f t="shared" si="7"/>
        <v>0.1</v>
      </c>
      <c r="H22" s="98">
        <v>0</v>
      </c>
      <c r="I22" s="18">
        <f t="shared" si="8"/>
        <v>1207</v>
      </c>
      <c r="J22" s="18">
        <v>188.24436422588224</v>
      </c>
      <c r="K22" s="16">
        <f t="shared" si="24"/>
        <v>6.4118785439529571</v>
      </c>
      <c r="M22" s="35">
        <f t="shared" si="9"/>
        <v>19605.243572678937</v>
      </c>
      <c r="N22" s="20">
        <f t="shared" si="10"/>
        <v>16179.222688720076</v>
      </c>
      <c r="O22" s="21">
        <v>3</v>
      </c>
      <c r="P22" s="143">
        <f t="shared" si="25"/>
        <v>3982.1064298297383</v>
      </c>
      <c r="Q22" s="132">
        <f t="shared" ref="Q22:Z37" si="38">P21*EXP(-AP45)</f>
        <v>3101.4182129726237</v>
      </c>
      <c r="R22" s="132">
        <f t="shared" si="26"/>
        <v>2426.1033615237734</v>
      </c>
      <c r="S22" s="132">
        <f t="shared" si="26"/>
        <v>1882.562554447165</v>
      </c>
      <c r="T22" s="132">
        <f t="shared" si="26"/>
        <v>1351.3808916147907</v>
      </c>
      <c r="U22" s="132">
        <f t="shared" si="26"/>
        <v>952.85867976255133</v>
      </c>
      <c r="V22" s="132">
        <f t="shared" si="26"/>
        <v>673.94829761517599</v>
      </c>
      <c r="W22" s="132">
        <f t="shared" si="26"/>
        <v>515.25619090494502</v>
      </c>
      <c r="X22" s="132">
        <f t="shared" si="26"/>
        <v>401.05097083418462</v>
      </c>
      <c r="Y22" s="132">
        <f t="shared" si="26"/>
        <v>312.32816201941762</v>
      </c>
      <c r="Z22" s="132">
        <f t="shared" ref="Z22:Z39" si="39">Y21*EXP(-AY45)+Z21*EXP(-AZ45)</f>
        <v>580.20893719570813</v>
      </c>
      <c r="AB22" s="33">
        <v>3</v>
      </c>
      <c r="AC22" s="18">
        <v>0</v>
      </c>
      <c r="AD22" s="18">
        <v>0</v>
      </c>
      <c r="AE22" s="18">
        <v>49</v>
      </c>
      <c r="AF22" s="18">
        <v>482</v>
      </c>
      <c r="AG22" s="18">
        <v>248</v>
      </c>
      <c r="AH22" s="18">
        <v>123</v>
      </c>
      <c r="AI22" s="18">
        <v>95</v>
      </c>
      <c r="AJ22" s="18">
        <v>74</v>
      </c>
      <c r="AK22" s="18">
        <v>57</v>
      </c>
      <c r="AL22" s="18">
        <v>44</v>
      </c>
      <c r="AM22" s="16">
        <v>35</v>
      </c>
      <c r="AO22" s="47">
        <v>3</v>
      </c>
      <c r="AP22" s="42">
        <f t="shared" si="12"/>
        <v>2.6662706008235182E-9</v>
      </c>
      <c r="AQ22" s="42">
        <f t="shared" si="13"/>
        <v>7.943099964778705E-6</v>
      </c>
      <c r="AR22" s="42">
        <f t="shared" si="14"/>
        <v>3.6525057598242173E-3</v>
      </c>
      <c r="AS22" s="42">
        <f t="shared" si="15"/>
        <v>8.1506959920156552E-2</v>
      </c>
      <c r="AT22" s="42">
        <f t="shared" si="16"/>
        <v>9.9423571624784782E-2</v>
      </c>
      <c r="AU22" s="42">
        <f t="shared" si="17"/>
        <v>9.9965710356892903E-2</v>
      </c>
      <c r="AV22" s="42">
        <f t="shared" si="18"/>
        <v>9.9996123080004634E-2</v>
      </c>
      <c r="AW22" s="42">
        <f t="shared" si="19"/>
        <v>9.9999278124083879E-2</v>
      </c>
      <c r="AX22" s="42">
        <f t="shared" si="20"/>
        <v>9.9999802499644741E-2</v>
      </c>
      <c r="AY22" s="42">
        <f t="shared" si="21"/>
        <v>9.9999927298087085E-2</v>
      </c>
      <c r="AZ22" s="42">
        <f t="shared" si="22"/>
        <v>9.9999966357194478E-2</v>
      </c>
      <c r="BB22" s="56">
        <v>3</v>
      </c>
      <c r="BC22" s="50">
        <f t="shared" si="27"/>
        <v>9.3942186300278799E-6</v>
      </c>
      <c r="BD22" s="50">
        <f t="shared" si="28"/>
        <v>2.1796777182602207E-2</v>
      </c>
      <c r="BE22" s="50">
        <f t="shared" si="29"/>
        <v>7.8267940724647209</v>
      </c>
      <c r="BF22" s="50">
        <f t="shared" si="30"/>
        <v>130.60058469635032</v>
      </c>
      <c r="BG22" s="50">
        <f t="shared" si="31"/>
        <v>113.39605393338219</v>
      </c>
      <c r="BH22" s="50">
        <f t="shared" si="32"/>
        <v>80.371020336436132</v>
      </c>
      <c r="BI22" s="50">
        <f t="shared" si="33"/>
        <v>56.862173282889401</v>
      </c>
      <c r="BJ22" s="50">
        <f t="shared" si="34"/>
        <v>43.474355236550196</v>
      </c>
      <c r="BK22" s="50">
        <f t="shared" si="35"/>
        <v>33.838544406294083</v>
      </c>
      <c r="BL22" s="50">
        <f t="shared" si="36"/>
        <v>26.352617789191072</v>
      </c>
      <c r="BM22" s="50">
        <f t="shared" si="37"/>
        <v>48.955015621575271</v>
      </c>
    </row>
    <row r="23" spans="1:65" ht="17" thickBot="1">
      <c r="A23" s="60" t="s">
        <v>56</v>
      </c>
      <c r="B23" s="64" t="s">
        <v>57</v>
      </c>
      <c r="C23" s="65">
        <f>SUM(C21:C22)</f>
        <v>-547.29017145700539</v>
      </c>
      <c r="D23" s="92"/>
      <c r="E23" s="94">
        <v>4</v>
      </c>
      <c r="F23" s="74">
        <f t="shared" si="6"/>
        <v>-0.46735582791521796</v>
      </c>
      <c r="G23" s="98">
        <f t="shared" si="7"/>
        <v>0.1</v>
      </c>
      <c r="H23" s="98">
        <v>0</v>
      </c>
      <c r="I23" s="18">
        <f t="shared" si="8"/>
        <v>1440</v>
      </c>
      <c r="J23" s="18">
        <v>323.67359571820191</v>
      </c>
      <c r="K23" s="16">
        <f t="shared" si="24"/>
        <v>4.4489263846337934</v>
      </c>
      <c r="M23" s="35">
        <f t="shared" si="9"/>
        <v>19316.951206758335</v>
      </c>
      <c r="N23" s="20">
        <f t="shared" si="10"/>
        <v>16104.326170477791</v>
      </c>
      <c r="O23" s="21">
        <v>4</v>
      </c>
      <c r="P23" s="143">
        <f t="shared" si="25"/>
        <v>3979.8085502059075</v>
      </c>
      <c r="Q23" s="132">
        <f t="shared" si="38"/>
        <v>3101.2675975562579</v>
      </c>
      <c r="R23" s="132">
        <f t="shared" si="26"/>
        <v>2415.3677473113316</v>
      </c>
      <c r="S23" s="132">
        <f t="shared" si="26"/>
        <v>1882.562554447165</v>
      </c>
      <c r="T23" s="132">
        <f t="shared" si="26"/>
        <v>1351.3808880116435</v>
      </c>
      <c r="U23" s="132">
        <f t="shared" si="26"/>
        <v>952.85111114086476</v>
      </c>
      <c r="V23" s="132">
        <f t="shared" si="26"/>
        <v>671.49118761218199</v>
      </c>
      <c r="W23" s="132">
        <f t="shared" si="26"/>
        <v>474.92517965897343</v>
      </c>
      <c r="X23" s="132">
        <f t="shared" si="26"/>
        <v>363.09516299410524</v>
      </c>
      <c r="Y23" s="132">
        <f t="shared" si="26"/>
        <v>282.61589833371181</v>
      </c>
      <c r="Z23" s="132">
        <f t="shared" si="39"/>
        <v>628.96029320565003</v>
      </c>
      <c r="AB23" s="33">
        <v>4</v>
      </c>
      <c r="AC23" s="18">
        <v>0</v>
      </c>
      <c r="AD23" s="18">
        <v>0</v>
      </c>
      <c r="AE23" s="18">
        <v>83</v>
      </c>
      <c r="AF23" s="18">
        <v>628</v>
      </c>
      <c r="AG23" s="18">
        <v>339</v>
      </c>
      <c r="AH23" s="18">
        <v>151</v>
      </c>
      <c r="AI23" s="18">
        <v>75</v>
      </c>
      <c r="AJ23" s="18">
        <v>57</v>
      </c>
      <c r="AK23" s="18">
        <v>45</v>
      </c>
      <c r="AL23" s="18">
        <v>35</v>
      </c>
      <c r="AM23" s="16">
        <v>27</v>
      </c>
      <c r="AO23" s="47">
        <v>4</v>
      </c>
      <c r="AP23" s="42">
        <f t="shared" si="12"/>
        <v>2.6662706008235182E-9</v>
      </c>
      <c r="AQ23" s="42">
        <f t="shared" si="13"/>
        <v>7.943099964778705E-6</v>
      </c>
      <c r="AR23" s="42">
        <f t="shared" si="14"/>
        <v>3.6525057598242173E-3</v>
      </c>
      <c r="AS23" s="42">
        <f t="shared" si="15"/>
        <v>8.1506959920156552E-2</v>
      </c>
      <c r="AT23" s="42">
        <f t="shared" si="16"/>
        <v>9.9423571624784782E-2</v>
      </c>
      <c r="AU23" s="42">
        <f t="shared" si="17"/>
        <v>9.9965710356892903E-2</v>
      </c>
      <c r="AV23" s="42">
        <f t="shared" si="18"/>
        <v>9.9996123080004634E-2</v>
      </c>
      <c r="AW23" s="42">
        <f t="shared" si="19"/>
        <v>9.9999278124083879E-2</v>
      </c>
      <c r="AX23" s="42">
        <f t="shared" si="20"/>
        <v>9.9999802499644741E-2</v>
      </c>
      <c r="AY23" s="42">
        <f t="shared" si="21"/>
        <v>9.9999927298087085E-2</v>
      </c>
      <c r="AZ23" s="42">
        <f t="shared" si="22"/>
        <v>9.9999966357194478E-2</v>
      </c>
      <c r="BB23" s="56">
        <v>4</v>
      </c>
      <c r="BC23" s="50">
        <f t="shared" si="27"/>
        <v>9.3887976841159252E-6</v>
      </c>
      <c r="BD23" s="50">
        <f t="shared" si="28"/>
        <v>2.179571865697124E-2</v>
      </c>
      <c r="BE23" s="50">
        <f t="shared" si="29"/>
        <v>7.7921601640275169</v>
      </c>
      <c r="BF23" s="50">
        <f t="shared" si="30"/>
        <v>130.60058469635032</v>
      </c>
      <c r="BG23" s="50">
        <f t="shared" si="31"/>
        <v>113.39605363103763</v>
      </c>
      <c r="BH23" s="50">
        <f t="shared" si="32"/>
        <v>80.370381943922737</v>
      </c>
      <c r="BI23" s="50">
        <f t="shared" si="33"/>
        <v>56.654862699481491</v>
      </c>
      <c r="BJ23" s="50">
        <f t="shared" si="34"/>
        <v>40.071456366228553</v>
      </c>
      <c r="BK23" s="50">
        <f t="shared" si="35"/>
        <v>30.636035542141958</v>
      </c>
      <c r="BL23" s="50">
        <f t="shared" si="36"/>
        <v>23.845652283748151</v>
      </c>
      <c r="BM23" s="50">
        <f t="shared" si="37"/>
        <v>53.068401752052367</v>
      </c>
    </row>
    <row r="24" spans="1:65" ht="17" thickBot="1">
      <c r="E24" s="94">
        <v>5</v>
      </c>
      <c r="F24" s="74">
        <f t="shared" si="6"/>
        <v>-0.46735582791521796</v>
      </c>
      <c r="G24" s="98">
        <f t="shared" si="7"/>
        <v>0.1</v>
      </c>
      <c r="H24" s="98">
        <v>0</v>
      </c>
      <c r="I24" s="18">
        <f t="shared" si="8"/>
        <v>1171</v>
      </c>
      <c r="J24" s="18">
        <v>202.24580574140785</v>
      </c>
      <c r="K24" s="16">
        <f t="shared" si="24"/>
        <v>5.7899841023019505</v>
      </c>
      <c r="M24" s="35">
        <f t="shared" si="9"/>
        <v>19047.562909944769</v>
      </c>
      <c r="N24" s="20">
        <f t="shared" si="10"/>
        <v>16047.695944469542</v>
      </c>
      <c r="O24" s="21">
        <v>5</v>
      </c>
      <c r="P24" s="143">
        <f t="shared" si="25"/>
        <v>3976.9036679865399</v>
      </c>
      <c r="Q24" s="132">
        <f t="shared" si="38"/>
        <v>3099.4780071105861</v>
      </c>
      <c r="R24" s="132">
        <f t="shared" si="26"/>
        <v>2415.2504488388404</v>
      </c>
      <c r="S24" s="132">
        <f t="shared" si="26"/>
        <v>1874.2321322418061</v>
      </c>
      <c r="T24" s="132">
        <f t="shared" si="26"/>
        <v>1351.3808880116435</v>
      </c>
      <c r="U24" s="132">
        <f t="shared" si="26"/>
        <v>952.85110860030591</v>
      </c>
      <c r="V24" s="132">
        <f t="shared" si="26"/>
        <v>671.4858539117364</v>
      </c>
      <c r="W24" s="132">
        <f t="shared" si="26"/>
        <v>473.19367679184978</v>
      </c>
      <c r="X24" s="132">
        <f t="shared" si="26"/>
        <v>334.67435920647125</v>
      </c>
      <c r="Y24" s="132">
        <f t="shared" si="26"/>
        <v>255.86888733061207</v>
      </c>
      <c r="Z24" s="132">
        <f t="shared" si="39"/>
        <v>642.37691443915219</v>
      </c>
      <c r="AB24" s="33">
        <v>5</v>
      </c>
      <c r="AC24" s="18">
        <v>0</v>
      </c>
      <c r="AD24" s="18">
        <v>0</v>
      </c>
      <c r="AE24" s="18">
        <v>46</v>
      </c>
      <c r="AF24" s="18">
        <v>540</v>
      </c>
      <c r="AG24" s="18">
        <v>287</v>
      </c>
      <c r="AH24" s="18">
        <v>144</v>
      </c>
      <c r="AI24" s="18">
        <v>64</v>
      </c>
      <c r="AJ24" s="18">
        <v>32</v>
      </c>
      <c r="AK24" s="18">
        <v>24</v>
      </c>
      <c r="AL24" s="18">
        <v>19</v>
      </c>
      <c r="AM24" s="16">
        <v>15</v>
      </c>
      <c r="AO24" s="47">
        <v>5</v>
      </c>
      <c r="AP24" s="42">
        <f t="shared" si="12"/>
        <v>2.6662706008235182E-9</v>
      </c>
      <c r="AQ24" s="42">
        <f t="shared" si="13"/>
        <v>7.943099964778705E-6</v>
      </c>
      <c r="AR24" s="42">
        <f t="shared" si="14"/>
        <v>3.6525057598242173E-3</v>
      </c>
      <c r="AS24" s="42">
        <f t="shared" si="15"/>
        <v>8.1506959920156552E-2</v>
      </c>
      <c r="AT24" s="42">
        <f t="shared" si="16"/>
        <v>9.9423571624784782E-2</v>
      </c>
      <c r="AU24" s="42">
        <f t="shared" si="17"/>
        <v>9.9965710356892903E-2</v>
      </c>
      <c r="AV24" s="42">
        <f t="shared" si="18"/>
        <v>9.9996123080004634E-2</v>
      </c>
      <c r="AW24" s="42">
        <f t="shared" si="19"/>
        <v>9.9999278124083879E-2</v>
      </c>
      <c r="AX24" s="42">
        <f t="shared" si="20"/>
        <v>9.9999802499644741E-2</v>
      </c>
      <c r="AY24" s="42">
        <f t="shared" si="21"/>
        <v>9.9999927298087085E-2</v>
      </c>
      <c r="AZ24" s="42">
        <f t="shared" si="22"/>
        <v>9.9999966357194478E-2</v>
      </c>
      <c r="BB24" s="56">
        <v>5</v>
      </c>
      <c r="BC24" s="50">
        <f t="shared" si="27"/>
        <v>9.3819447536018634E-6</v>
      </c>
      <c r="BD24" s="50">
        <f t="shared" si="28"/>
        <v>2.1783141409559309E-2</v>
      </c>
      <c r="BE24" s="50">
        <f t="shared" si="29"/>
        <v>7.791781750228763</v>
      </c>
      <c r="BF24" s="50">
        <f t="shared" si="30"/>
        <v>130.02267135784413</v>
      </c>
      <c r="BG24" s="50">
        <f t="shared" si="31"/>
        <v>113.39605363103763</v>
      </c>
      <c r="BH24" s="50">
        <f t="shared" si="32"/>
        <v>80.37038172963355</v>
      </c>
      <c r="BI24" s="50">
        <f t="shared" si="33"/>
        <v>56.654412686030831</v>
      </c>
      <c r="BJ24" s="50">
        <f t="shared" si="34"/>
        <v>39.925362108523018</v>
      </c>
      <c r="BK24" s="50">
        <f t="shared" si="35"/>
        <v>28.238039524254123</v>
      </c>
      <c r="BL24" s="50">
        <f t="shared" si="36"/>
        <v>21.588879300451968</v>
      </c>
      <c r="BM24" s="50">
        <f t="shared" si="37"/>
        <v>54.200426545137056</v>
      </c>
    </row>
    <row r="25" spans="1:65">
      <c r="A25" s="159" t="s">
        <v>17</v>
      </c>
      <c r="B25" s="160"/>
      <c r="C25" s="161"/>
      <c r="D25" s="108"/>
      <c r="E25" s="94">
        <v>6</v>
      </c>
      <c r="F25" s="74">
        <f t="shared" si="6"/>
        <v>-0.46735582791521796</v>
      </c>
      <c r="G25" s="98">
        <f t="shared" si="7"/>
        <v>0.1</v>
      </c>
      <c r="H25" s="98">
        <v>0</v>
      </c>
      <c r="I25" s="18">
        <f t="shared" si="8"/>
        <v>1154</v>
      </c>
      <c r="J25" s="18">
        <v>221.55067447341082</v>
      </c>
      <c r="K25" s="16">
        <f t="shared" si="24"/>
        <v>5.2087406312026197</v>
      </c>
      <c r="M25" s="35">
        <f t="shared" si="9"/>
        <v>18820.599398720362</v>
      </c>
      <c r="N25" s="20">
        <f t="shared" si="10"/>
        <v>16004.533575983258</v>
      </c>
      <c r="O25" s="21">
        <v>6</v>
      </c>
      <c r="P25" s="143">
        <f t="shared" si="25"/>
        <v>3974.1137910055745</v>
      </c>
      <c r="Q25" s="132">
        <f t="shared" si="38"/>
        <v>3097.2156825694442</v>
      </c>
      <c r="R25" s="132">
        <f t="shared" si="26"/>
        <v>2413.8567254689019</v>
      </c>
      <c r="S25" s="132">
        <f t="shared" si="26"/>
        <v>1874.1411131551883</v>
      </c>
      <c r="T25" s="132">
        <f t="shared" si="26"/>
        <v>1345.4009680717743</v>
      </c>
      <c r="U25" s="132">
        <f t="shared" si="26"/>
        <v>952.85110860030591</v>
      </c>
      <c r="V25" s="132">
        <f t="shared" si="26"/>
        <v>671.48585212137345</v>
      </c>
      <c r="W25" s="132">
        <f t="shared" si="26"/>
        <v>473.18991818209986</v>
      </c>
      <c r="X25" s="132">
        <f t="shared" si="26"/>
        <v>333.45418887788412</v>
      </c>
      <c r="Y25" s="132">
        <f t="shared" si="26"/>
        <v>235.84108144573551</v>
      </c>
      <c r="Z25" s="132">
        <f t="shared" si="39"/>
        <v>632.98314648497808</v>
      </c>
      <c r="AB25" s="33">
        <v>6</v>
      </c>
      <c r="AC25" s="18">
        <v>0</v>
      </c>
      <c r="AD25" s="18">
        <v>0</v>
      </c>
      <c r="AE25" s="18">
        <v>46</v>
      </c>
      <c r="AF25" s="18">
        <v>478</v>
      </c>
      <c r="AG25" s="18">
        <v>327</v>
      </c>
      <c r="AH25" s="18">
        <v>153</v>
      </c>
      <c r="AI25" s="18">
        <v>76</v>
      </c>
      <c r="AJ25" s="18">
        <v>34</v>
      </c>
      <c r="AK25" s="18">
        <v>17</v>
      </c>
      <c r="AL25" s="18">
        <v>13</v>
      </c>
      <c r="AM25" s="16">
        <v>10</v>
      </c>
      <c r="AO25" s="47">
        <v>6</v>
      </c>
      <c r="AP25" s="42">
        <f t="shared" si="12"/>
        <v>2.6662706008235182E-9</v>
      </c>
      <c r="AQ25" s="42">
        <f t="shared" si="13"/>
        <v>7.943099964778705E-6</v>
      </c>
      <c r="AR25" s="42">
        <f t="shared" si="14"/>
        <v>3.6525057598242173E-3</v>
      </c>
      <c r="AS25" s="42">
        <f t="shared" si="15"/>
        <v>8.1506959920156552E-2</v>
      </c>
      <c r="AT25" s="42">
        <f t="shared" si="16"/>
        <v>9.9423571624784782E-2</v>
      </c>
      <c r="AU25" s="42">
        <f t="shared" si="17"/>
        <v>9.9965710356892903E-2</v>
      </c>
      <c r="AV25" s="42">
        <f t="shared" si="18"/>
        <v>9.9996123080004634E-2</v>
      </c>
      <c r="AW25" s="42">
        <f t="shared" si="19"/>
        <v>9.9999278124083879E-2</v>
      </c>
      <c r="AX25" s="42">
        <f t="shared" si="20"/>
        <v>9.9999802499644741E-2</v>
      </c>
      <c r="AY25" s="42">
        <f t="shared" si="21"/>
        <v>9.9999927298087085E-2</v>
      </c>
      <c r="AZ25" s="42">
        <f t="shared" si="22"/>
        <v>9.9999966357194478E-2</v>
      </c>
      <c r="BB25" s="56">
        <v>6</v>
      </c>
      <c r="BC25" s="50">
        <f t="shared" si="27"/>
        <v>9.375363132851162E-6</v>
      </c>
      <c r="BD25" s="50">
        <f t="shared" si="28"/>
        <v>2.1767241785402933E-2</v>
      </c>
      <c r="BE25" s="50">
        <f t="shared" si="29"/>
        <v>7.7872854925740027</v>
      </c>
      <c r="BF25" s="50">
        <f t="shared" si="30"/>
        <v>130.016357014715</v>
      </c>
      <c r="BG25" s="50">
        <f t="shared" si="31"/>
        <v>112.89427110012701</v>
      </c>
      <c r="BH25" s="50">
        <f t="shared" si="32"/>
        <v>80.37038172963355</v>
      </c>
      <c r="BI25" s="50">
        <f t="shared" si="33"/>
        <v>56.654412534974846</v>
      </c>
      <c r="BJ25" s="50">
        <f t="shared" si="34"/>
        <v>39.925044978640159</v>
      </c>
      <c r="BK25" s="50">
        <f t="shared" si="35"/>
        <v>28.135088052122647</v>
      </c>
      <c r="BL25" s="50">
        <f t="shared" si="36"/>
        <v>19.899037724118383</v>
      </c>
      <c r="BM25" s="50">
        <f t="shared" si="37"/>
        <v>53.40782921086516</v>
      </c>
    </row>
    <row r="26" spans="1:65">
      <c r="A26" s="162" t="s">
        <v>79</v>
      </c>
      <c r="B26" s="1" t="s">
        <v>20</v>
      </c>
      <c r="C26" s="70" cm="1">
        <f t="array" ref="C26">SUMPRODUCT(Ro*I8:S8,I6:S6)</f>
        <v>21859.821355230666</v>
      </c>
      <c r="D26" s="101"/>
      <c r="E26" s="94">
        <v>7</v>
      </c>
      <c r="F26" s="74">
        <f t="shared" si="6"/>
        <v>-0.46735582791521796</v>
      </c>
      <c r="G26" s="98">
        <f t="shared" si="7"/>
        <v>0.1</v>
      </c>
      <c r="H26" s="98">
        <v>0</v>
      </c>
      <c r="I26" s="18">
        <f t="shared" si="8"/>
        <v>907</v>
      </c>
      <c r="J26" s="18">
        <v>235.88523360555769</v>
      </c>
      <c r="K26" s="16">
        <f t="shared" si="24"/>
        <v>3.8450901997395319</v>
      </c>
      <c r="M26" s="35">
        <f t="shared" si="9"/>
        <v>18644.837002092285</v>
      </c>
      <c r="N26" s="20">
        <f t="shared" si="10"/>
        <v>15971.230840083972</v>
      </c>
      <c r="O26" s="21">
        <v>7</v>
      </c>
      <c r="P26" s="143">
        <f t="shared" si="25"/>
        <v>3971.704443996432</v>
      </c>
      <c r="Q26" s="132">
        <f t="shared" si="38"/>
        <v>3095.042924197789</v>
      </c>
      <c r="R26" s="132">
        <f t="shared" si="26"/>
        <v>2412.0948393395925</v>
      </c>
      <c r="S26" s="132">
        <f t="shared" si="26"/>
        <v>1873.0596376215756</v>
      </c>
      <c r="T26" s="132">
        <f t="shared" si="26"/>
        <v>1345.335630825047</v>
      </c>
      <c r="U26" s="132">
        <f t="shared" si="26"/>
        <v>948.63470048428667</v>
      </c>
      <c r="V26" s="132">
        <f t="shared" si="26"/>
        <v>671.48585212137345</v>
      </c>
      <c r="W26" s="132">
        <f t="shared" si="26"/>
        <v>473.1899169204475</v>
      </c>
      <c r="X26" s="132">
        <f t="shared" si="26"/>
        <v>333.45154022844747</v>
      </c>
      <c r="Y26" s="132">
        <f t="shared" si="26"/>
        <v>234.98124177793338</v>
      </c>
      <c r="Z26" s="132">
        <f t="shared" si="39"/>
        <v>612.25011257104688</v>
      </c>
      <c r="AB26" s="33">
        <v>7</v>
      </c>
      <c r="AC26" s="18">
        <v>0</v>
      </c>
      <c r="AD26" s="18">
        <v>0</v>
      </c>
      <c r="AE26" s="18">
        <v>34</v>
      </c>
      <c r="AF26" s="18">
        <v>351</v>
      </c>
      <c r="AG26" s="18">
        <v>240</v>
      </c>
      <c r="AH26" s="18">
        <v>149</v>
      </c>
      <c r="AI26" s="18">
        <v>70</v>
      </c>
      <c r="AJ26" s="18">
        <v>35</v>
      </c>
      <c r="AK26" s="18">
        <v>15</v>
      </c>
      <c r="AL26" s="18">
        <v>7</v>
      </c>
      <c r="AM26" s="16">
        <v>6</v>
      </c>
      <c r="AO26" s="47">
        <v>7</v>
      </c>
      <c r="AP26" s="42">
        <f t="shared" si="12"/>
        <v>2.6662706008235182E-9</v>
      </c>
      <c r="AQ26" s="42">
        <f t="shared" si="13"/>
        <v>7.943099964778705E-6</v>
      </c>
      <c r="AR26" s="42">
        <f t="shared" si="14"/>
        <v>3.6525057598242173E-3</v>
      </c>
      <c r="AS26" s="42">
        <f t="shared" si="15"/>
        <v>8.1506959920156552E-2</v>
      </c>
      <c r="AT26" s="42">
        <f t="shared" si="16"/>
        <v>9.9423571624784782E-2</v>
      </c>
      <c r="AU26" s="42">
        <f t="shared" si="17"/>
        <v>9.9965710356892903E-2</v>
      </c>
      <c r="AV26" s="42">
        <f t="shared" si="18"/>
        <v>9.9996123080004634E-2</v>
      </c>
      <c r="AW26" s="42">
        <f t="shared" si="19"/>
        <v>9.9999278124083879E-2</v>
      </c>
      <c r="AX26" s="42">
        <f t="shared" si="20"/>
        <v>9.9999802499644741E-2</v>
      </c>
      <c r="AY26" s="42">
        <f t="shared" si="21"/>
        <v>9.9999927298087085E-2</v>
      </c>
      <c r="AZ26" s="42">
        <f t="shared" si="22"/>
        <v>9.9999966357194478E-2</v>
      </c>
      <c r="BB26" s="56">
        <v>7</v>
      </c>
      <c r="BC26" s="50">
        <f t="shared" si="27"/>
        <v>9.3696792233529273E-6</v>
      </c>
      <c r="BD26" s="50">
        <f t="shared" si="28"/>
        <v>2.1751971632573978E-2</v>
      </c>
      <c r="BE26" s="50">
        <f t="shared" si="29"/>
        <v>7.7816015138400649</v>
      </c>
      <c r="BF26" s="50">
        <f t="shared" si="30"/>
        <v>129.94133090910648</v>
      </c>
      <c r="BG26" s="50">
        <f t="shared" si="31"/>
        <v>112.88878857036822</v>
      </c>
      <c r="BH26" s="50">
        <f t="shared" si="32"/>
        <v>80.014739251229784</v>
      </c>
      <c r="BI26" s="50">
        <f t="shared" si="33"/>
        <v>56.654412534974846</v>
      </c>
      <c r="BJ26" s="50">
        <f t="shared" si="34"/>
        <v>39.92504487218919</v>
      </c>
      <c r="BK26" s="50">
        <f t="shared" si="35"/>
        <v>28.13486457319329</v>
      </c>
      <c r="BL26" s="50">
        <f t="shared" si="36"/>
        <v>19.826488947283568</v>
      </c>
      <c r="BM26" s="50">
        <f t="shared" si="37"/>
        <v>51.658483528523853</v>
      </c>
    </row>
    <row r="27" spans="1:65">
      <c r="A27" s="162"/>
      <c r="B27" s="1" t="s">
        <v>21</v>
      </c>
      <c r="C27" s="70" cm="1">
        <f t="array" ref="C27">SUMPRODUCT(Ro*I8:S8,I5:S5,I7:S7)</f>
        <v>32368.296462309012</v>
      </c>
      <c r="D27" s="101"/>
      <c r="E27" s="94">
        <v>8</v>
      </c>
      <c r="F27" s="74">
        <f t="shared" si="6"/>
        <v>-0.46735582791521796</v>
      </c>
      <c r="G27" s="98">
        <f t="shared" si="7"/>
        <v>0.1</v>
      </c>
      <c r="H27" s="98">
        <v>0</v>
      </c>
      <c r="I27" s="18">
        <f t="shared" si="8"/>
        <v>883</v>
      </c>
      <c r="J27" s="18">
        <v>306.65970178479904</v>
      </c>
      <c r="K27" s="16">
        <f t="shared" si="24"/>
        <v>2.8794132220856734</v>
      </c>
      <c r="M27" s="35">
        <f t="shared" si="9"/>
        <v>18515.497913915373</v>
      </c>
      <c r="N27" s="20">
        <f t="shared" si="10"/>
        <v>15945.379240310705</v>
      </c>
      <c r="O27" s="21">
        <v>8</v>
      </c>
      <c r="P27" s="143">
        <f t="shared" si="25"/>
        <v>3969.8003934361195</v>
      </c>
      <c r="Q27" s="132">
        <f t="shared" si="38"/>
        <v>3093.166522865381</v>
      </c>
      <c r="R27" s="132">
        <f t="shared" si="26"/>
        <v>2410.4027068591531</v>
      </c>
      <c r="S27" s="132">
        <f t="shared" si="26"/>
        <v>1871.6924819987605</v>
      </c>
      <c r="T27" s="132">
        <f t="shared" si="26"/>
        <v>1344.5593031733979</v>
      </c>
      <c r="U27" s="132">
        <f t="shared" si="26"/>
        <v>948.58863155691824</v>
      </c>
      <c r="V27" s="132">
        <f t="shared" si="26"/>
        <v>668.51449765568395</v>
      </c>
      <c r="W27" s="132">
        <f t="shared" si="26"/>
        <v>473.1899169204475</v>
      </c>
      <c r="X27" s="132">
        <f t="shared" si="26"/>
        <v>333.45153933937542</v>
      </c>
      <c r="Y27" s="132">
        <f t="shared" si="26"/>
        <v>234.9793753058529</v>
      </c>
      <c r="Z27" s="132">
        <f t="shared" si="39"/>
        <v>597.03387119961371</v>
      </c>
      <c r="AB27" s="33">
        <v>8</v>
      </c>
      <c r="AC27" s="18">
        <v>0</v>
      </c>
      <c r="AD27" s="18">
        <v>0</v>
      </c>
      <c r="AE27" s="18">
        <v>44</v>
      </c>
      <c r="AF27" s="18">
        <v>351</v>
      </c>
      <c r="AG27" s="18">
        <v>212</v>
      </c>
      <c r="AH27" s="18">
        <v>129</v>
      </c>
      <c r="AI27" s="18">
        <v>80</v>
      </c>
      <c r="AJ27" s="18">
        <v>37</v>
      </c>
      <c r="AK27" s="18">
        <v>18</v>
      </c>
      <c r="AL27" s="18">
        <v>8</v>
      </c>
      <c r="AM27" s="16">
        <v>4</v>
      </c>
      <c r="AO27" s="47">
        <v>8</v>
      </c>
      <c r="AP27" s="42">
        <f t="shared" si="12"/>
        <v>2.6662706008235182E-9</v>
      </c>
      <c r="AQ27" s="42">
        <f t="shared" si="13"/>
        <v>7.943099964778705E-6</v>
      </c>
      <c r="AR27" s="42">
        <f t="shared" si="14"/>
        <v>3.6525057598242173E-3</v>
      </c>
      <c r="AS27" s="42">
        <f t="shared" si="15"/>
        <v>8.1506959920156552E-2</v>
      </c>
      <c r="AT27" s="42">
        <f t="shared" si="16"/>
        <v>9.9423571624784782E-2</v>
      </c>
      <c r="AU27" s="42">
        <f t="shared" si="17"/>
        <v>9.9965710356892903E-2</v>
      </c>
      <c r="AV27" s="42">
        <f t="shared" si="18"/>
        <v>9.9996123080004634E-2</v>
      </c>
      <c r="AW27" s="42">
        <f t="shared" si="19"/>
        <v>9.9999278124083879E-2</v>
      </c>
      <c r="AX27" s="42">
        <f t="shared" si="20"/>
        <v>9.9999802499644741E-2</v>
      </c>
      <c r="AY27" s="42">
        <f t="shared" si="21"/>
        <v>9.9999927298087085E-2</v>
      </c>
      <c r="AZ27" s="42">
        <f t="shared" si="22"/>
        <v>9.9999966357194478E-2</v>
      </c>
      <c r="BB27" s="56">
        <v>8</v>
      </c>
      <c r="BC27" s="50">
        <f t="shared" si="27"/>
        <v>9.3651873626853651E-6</v>
      </c>
      <c r="BD27" s="50">
        <f t="shared" si="28"/>
        <v>2.1738784277970664E-2</v>
      </c>
      <c r="BE27" s="50">
        <f t="shared" si="29"/>
        <v>7.7761425656856842</v>
      </c>
      <c r="BF27" s="50">
        <f t="shared" si="30"/>
        <v>129.84648608002561</v>
      </c>
      <c r="BG27" s="50">
        <f t="shared" si="31"/>
        <v>112.82364595010282</v>
      </c>
      <c r="BH27" s="50">
        <f t="shared" si="32"/>
        <v>80.010853463361087</v>
      </c>
      <c r="BI27" s="50">
        <f t="shared" si="33"/>
        <v>56.40371426463156</v>
      </c>
      <c r="BJ27" s="50">
        <f t="shared" si="34"/>
        <v>39.92504487218919</v>
      </c>
      <c r="BK27" s="50">
        <f t="shared" si="35"/>
        <v>28.134864498178128</v>
      </c>
      <c r="BL27" s="50">
        <f t="shared" si="36"/>
        <v>19.826331464125364</v>
      </c>
      <c r="BM27" s="50">
        <f t="shared" si="37"/>
        <v>50.374616138199755</v>
      </c>
    </row>
    <row r="28" spans="1:65">
      <c r="A28" s="162" t="s">
        <v>8</v>
      </c>
      <c r="B28" s="8" t="s">
        <v>9</v>
      </c>
      <c r="C28" s="67">
        <f>(4*h*Ro)/((1-h)*C26)</f>
        <v>4.1476398728652804</v>
      </c>
      <c r="D28" s="103"/>
      <c r="E28" s="94">
        <v>9</v>
      </c>
      <c r="F28" s="74">
        <f t="shared" si="6"/>
        <v>-0.46735582791521796</v>
      </c>
      <c r="G28" s="98">
        <f t="shared" si="7"/>
        <v>0.1</v>
      </c>
      <c r="H28" s="98">
        <v>0</v>
      </c>
      <c r="I28" s="18">
        <f t="shared" si="8"/>
        <v>644</v>
      </c>
      <c r="J28" s="18">
        <v>267.14062033052551</v>
      </c>
      <c r="K28" s="16">
        <f t="shared" si="24"/>
        <v>2.4107153723128931</v>
      </c>
      <c r="M28" s="35">
        <f t="shared" si="9"/>
        <v>18419.698160756601</v>
      </c>
      <c r="N28" s="20">
        <f t="shared" si="10"/>
        <v>15925.319809104769</v>
      </c>
      <c r="O28" s="21">
        <v>9</v>
      </c>
      <c r="P28" s="143">
        <f t="shared" si="25"/>
        <v>3968.3773557525924</v>
      </c>
      <c r="Q28" s="132">
        <f t="shared" si="38"/>
        <v>3091.6836468019555</v>
      </c>
      <c r="R28" s="132">
        <f t="shared" si="26"/>
        <v>2408.9413756396639</v>
      </c>
      <c r="S28" s="132">
        <f t="shared" si="26"/>
        <v>1870.3794525147907</v>
      </c>
      <c r="T28" s="132">
        <f t="shared" si="26"/>
        <v>1343.5779025951033</v>
      </c>
      <c r="U28" s="132">
        <f t="shared" si="26"/>
        <v>948.04124727016892</v>
      </c>
      <c r="V28" s="132">
        <f t="shared" si="26"/>
        <v>668.48203231805553</v>
      </c>
      <c r="W28" s="132">
        <f t="shared" si="26"/>
        <v>471.09603070033</v>
      </c>
      <c r="X28" s="132">
        <f t="shared" si="26"/>
        <v>333.45153933937542</v>
      </c>
      <c r="Y28" s="132">
        <f t="shared" si="26"/>
        <v>234.97937467933428</v>
      </c>
      <c r="Z28" s="132">
        <f t="shared" si="39"/>
        <v>586.30985149339733</v>
      </c>
      <c r="AB28" s="33">
        <v>9</v>
      </c>
      <c r="AC28" s="18">
        <v>0</v>
      </c>
      <c r="AD28" s="18">
        <v>0</v>
      </c>
      <c r="AE28" s="18">
        <v>28</v>
      </c>
      <c r="AF28" s="18">
        <v>261</v>
      </c>
      <c r="AG28" s="18">
        <v>155</v>
      </c>
      <c r="AH28" s="18">
        <v>88</v>
      </c>
      <c r="AI28" s="18">
        <v>53</v>
      </c>
      <c r="AJ28" s="18">
        <v>33</v>
      </c>
      <c r="AK28" s="18">
        <v>15</v>
      </c>
      <c r="AL28" s="18">
        <v>8</v>
      </c>
      <c r="AM28" s="16">
        <v>3</v>
      </c>
      <c r="AO28" s="47">
        <v>9</v>
      </c>
      <c r="AP28" s="42">
        <f t="shared" si="12"/>
        <v>2.6662706008235182E-9</v>
      </c>
      <c r="AQ28" s="42">
        <f t="shared" si="13"/>
        <v>7.943099964778705E-6</v>
      </c>
      <c r="AR28" s="42">
        <f t="shared" si="14"/>
        <v>3.6525057598242173E-3</v>
      </c>
      <c r="AS28" s="42">
        <f t="shared" si="15"/>
        <v>8.1506959920156552E-2</v>
      </c>
      <c r="AT28" s="42">
        <f t="shared" si="16"/>
        <v>9.9423571624784782E-2</v>
      </c>
      <c r="AU28" s="42">
        <f t="shared" si="17"/>
        <v>9.9965710356892903E-2</v>
      </c>
      <c r="AV28" s="42">
        <f t="shared" si="18"/>
        <v>9.9996123080004634E-2</v>
      </c>
      <c r="AW28" s="42">
        <f t="shared" si="19"/>
        <v>9.9999278124083879E-2</v>
      </c>
      <c r="AX28" s="42">
        <f t="shared" si="20"/>
        <v>9.9999802499644741E-2</v>
      </c>
      <c r="AY28" s="42">
        <f t="shared" si="21"/>
        <v>9.9999927298087085E-2</v>
      </c>
      <c r="AZ28" s="42">
        <f t="shared" si="22"/>
        <v>9.9999966357194478E-2</v>
      </c>
      <c r="BB28" s="56">
        <v>9</v>
      </c>
      <c r="BC28" s="50">
        <f t="shared" si="27"/>
        <v>9.3618302632824762E-6</v>
      </c>
      <c r="BD28" s="50">
        <f t="shared" si="28"/>
        <v>2.1728362620224314E-2</v>
      </c>
      <c r="BE28" s="50">
        <f t="shared" si="29"/>
        <v>7.7714281999632675</v>
      </c>
      <c r="BF28" s="50">
        <f t="shared" si="30"/>
        <v>129.75539618878938</v>
      </c>
      <c r="BG28" s="50">
        <f t="shared" si="31"/>
        <v>112.741295405118</v>
      </c>
      <c r="BH28" s="50">
        <f t="shared" si="32"/>
        <v>79.964683097727075</v>
      </c>
      <c r="BI28" s="50">
        <f t="shared" si="33"/>
        <v>56.400975108437464</v>
      </c>
      <c r="BJ28" s="50">
        <f t="shared" si="34"/>
        <v>39.748374790460659</v>
      </c>
      <c r="BK28" s="50">
        <f t="shared" si="35"/>
        <v>28.134864498178128</v>
      </c>
      <c r="BL28" s="50">
        <f t="shared" si="36"/>
        <v>19.826331411262998</v>
      </c>
      <c r="BM28" s="50">
        <f t="shared" si="37"/>
        <v>49.469779072467311</v>
      </c>
    </row>
    <row r="29" spans="1:65" ht="16" customHeight="1">
      <c r="A29" s="162"/>
      <c r="B29" s="8" t="s">
        <v>10</v>
      </c>
      <c r="C29" s="66">
        <f>(5*h-1)/((1-h)*C26)</f>
        <v>9.9116394020677657E-4</v>
      </c>
      <c r="D29" s="104"/>
      <c r="E29" s="94">
        <v>10</v>
      </c>
      <c r="F29" s="74">
        <f t="shared" si="6"/>
        <v>-0.46735582791521796</v>
      </c>
      <c r="G29" s="98">
        <f t="shared" si="7"/>
        <v>0.1</v>
      </c>
      <c r="H29" s="98">
        <v>0</v>
      </c>
      <c r="I29" s="18">
        <f t="shared" si="8"/>
        <v>384</v>
      </c>
      <c r="J29" s="18">
        <v>102.62482144956589</v>
      </c>
      <c r="K29" s="16">
        <f t="shared" si="24"/>
        <v>3.7417848292063884</v>
      </c>
      <c r="M29" s="35">
        <f t="shared" si="9"/>
        <v>18347.89205195535</v>
      </c>
      <c r="N29" s="20">
        <f t="shared" si="10"/>
        <v>15909.780734001148</v>
      </c>
      <c r="O29" s="21">
        <v>10</v>
      </c>
      <c r="P29" s="143">
        <f t="shared" si="25"/>
        <v>3967.3111165003852</v>
      </c>
      <c r="Q29" s="132">
        <f t="shared" si="38"/>
        <v>3090.5753839426397</v>
      </c>
      <c r="R29" s="132">
        <f t="shared" si="26"/>
        <v>2407.7865197734423</v>
      </c>
      <c r="S29" s="132">
        <f t="shared" si="26"/>
        <v>1869.2455158997707</v>
      </c>
      <c r="T29" s="132">
        <f t="shared" si="26"/>
        <v>1342.6353559871084</v>
      </c>
      <c r="U29" s="132">
        <f t="shared" si="26"/>
        <v>947.34926720939939</v>
      </c>
      <c r="V29" s="132">
        <f t="shared" si="26"/>
        <v>668.09628390373553</v>
      </c>
      <c r="W29" s="132">
        <f t="shared" si="26"/>
        <v>471.07315267487843</v>
      </c>
      <c r="X29" s="132">
        <f t="shared" si="26"/>
        <v>331.97600159367772</v>
      </c>
      <c r="Y29" s="132">
        <f t="shared" si="26"/>
        <v>234.97937467933428</v>
      </c>
      <c r="Z29" s="132">
        <f t="shared" si="39"/>
        <v>578.7527618367759</v>
      </c>
      <c r="AB29" s="33">
        <v>10</v>
      </c>
      <c r="AC29" s="18">
        <v>0</v>
      </c>
      <c r="AD29" s="18">
        <v>0</v>
      </c>
      <c r="AE29" s="18">
        <v>11</v>
      </c>
      <c r="AF29" s="18">
        <v>160</v>
      </c>
      <c r="AG29" s="18">
        <v>97</v>
      </c>
      <c r="AH29" s="18">
        <v>51</v>
      </c>
      <c r="AI29" s="18">
        <v>29</v>
      </c>
      <c r="AJ29" s="18">
        <v>18</v>
      </c>
      <c r="AK29" s="18">
        <v>11</v>
      </c>
      <c r="AL29" s="18">
        <v>5</v>
      </c>
      <c r="AM29" s="16">
        <v>2</v>
      </c>
      <c r="AO29" s="47">
        <v>10</v>
      </c>
      <c r="AP29" s="42">
        <f t="shared" si="12"/>
        <v>2.6662706008235182E-9</v>
      </c>
      <c r="AQ29" s="42">
        <f t="shared" si="13"/>
        <v>7.943099964778705E-6</v>
      </c>
      <c r="AR29" s="42">
        <f t="shared" si="14"/>
        <v>3.6525057598242173E-3</v>
      </c>
      <c r="AS29" s="42">
        <f t="shared" si="15"/>
        <v>8.1506959920156552E-2</v>
      </c>
      <c r="AT29" s="42">
        <f t="shared" si="16"/>
        <v>9.9423571624784782E-2</v>
      </c>
      <c r="AU29" s="42">
        <f t="shared" si="17"/>
        <v>9.9965710356892903E-2</v>
      </c>
      <c r="AV29" s="42">
        <f t="shared" si="18"/>
        <v>9.9996123080004634E-2</v>
      </c>
      <c r="AW29" s="42">
        <f t="shared" si="19"/>
        <v>9.9999278124083879E-2</v>
      </c>
      <c r="AX29" s="42">
        <f t="shared" si="20"/>
        <v>9.9999802499644741E-2</v>
      </c>
      <c r="AY29" s="42">
        <f t="shared" si="21"/>
        <v>9.9999927298087085E-2</v>
      </c>
      <c r="AZ29" s="42">
        <f t="shared" si="22"/>
        <v>9.9999966357194478E-2</v>
      </c>
      <c r="BB29" s="56">
        <v>10</v>
      </c>
      <c r="BC29" s="50">
        <f t="shared" si="27"/>
        <v>9.3593148898680136E-6</v>
      </c>
      <c r="BD29" s="50">
        <f t="shared" si="28"/>
        <v>2.1720573745282131E-2</v>
      </c>
      <c r="BE29" s="50">
        <f t="shared" si="29"/>
        <v>7.7677025470534851</v>
      </c>
      <c r="BF29" s="50">
        <f t="shared" si="30"/>
        <v>129.6767306567568</v>
      </c>
      <c r="BG29" s="50">
        <f t="shared" si="31"/>
        <v>112.66220514517862</v>
      </c>
      <c r="BH29" s="50">
        <f t="shared" si="32"/>
        <v>79.906316474514512</v>
      </c>
      <c r="BI29" s="50">
        <f t="shared" si="33"/>
        <v>56.368428853396416</v>
      </c>
      <c r="BJ29" s="50">
        <f t="shared" si="34"/>
        <v>39.746444474196345</v>
      </c>
      <c r="BK29" s="50">
        <f t="shared" si="35"/>
        <v>28.01036648380579</v>
      </c>
      <c r="BL29" s="50">
        <f t="shared" si="36"/>
        <v>19.826331411262998</v>
      </c>
      <c r="BM29" s="50">
        <f t="shared" si="37"/>
        <v>48.832151110406535</v>
      </c>
    </row>
    <row r="30" spans="1:65" ht="17" thickBot="1">
      <c r="A30" s="163"/>
      <c r="B30" s="61" t="s">
        <v>75</v>
      </c>
      <c r="C30" s="69">
        <f>(4*h)/(1-h)</f>
        <v>22.666666666666664</v>
      </c>
      <c r="D30" s="103"/>
      <c r="E30" s="94">
        <v>11</v>
      </c>
      <c r="F30" s="74">
        <f t="shared" si="6"/>
        <v>-0.46735582791521796</v>
      </c>
      <c r="G30" s="98">
        <f t="shared" si="7"/>
        <v>0.1</v>
      </c>
      <c r="H30" s="98">
        <v>0</v>
      </c>
      <c r="I30" s="18">
        <f t="shared" si="8"/>
        <v>663</v>
      </c>
      <c r="J30" s="18">
        <v>260.44640221469183</v>
      </c>
      <c r="K30" s="16">
        <f t="shared" si="24"/>
        <v>2.545629328576688</v>
      </c>
      <c r="M30" s="35">
        <f t="shared" si="9"/>
        <v>18293.410653469193</v>
      </c>
      <c r="N30" s="20">
        <f t="shared" si="10"/>
        <v>15897.765642195855</v>
      </c>
      <c r="O30" s="21">
        <v>11</v>
      </c>
      <c r="P30" s="143">
        <f t="shared" si="25"/>
        <v>3966.5050034873775</v>
      </c>
      <c r="Q30" s="132">
        <f t="shared" si="38"/>
        <v>3089.7449959802934</v>
      </c>
      <c r="R30" s="132">
        <f t="shared" si="26"/>
        <v>2406.9234106465474</v>
      </c>
      <c r="S30" s="132">
        <f t="shared" si="26"/>
        <v>1868.3493923281158</v>
      </c>
      <c r="T30" s="132">
        <f t="shared" si="26"/>
        <v>1341.8213696119228</v>
      </c>
      <c r="U30" s="132">
        <f t="shared" si="26"/>
        <v>946.68468286585664</v>
      </c>
      <c r="V30" s="132">
        <f t="shared" si="26"/>
        <v>667.60863707563931</v>
      </c>
      <c r="W30" s="132">
        <f t="shared" si="26"/>
        <v>470.8013193078051</v>
      </c>
      <c r="X30" s="132">
        <f t="shared" si="26"/>
        <v>331.95987970998772</v>
      </c>
      <c r="Y30" s="132">
        <f t="shared" si="26"/>
        <v>233.93958059865105</v>
      </c>
      <c r="Z30" s="132">
        <f t="shared" si="39"/>
        <v>573.42737058365719</v>
      </c>
      <c r="AB30" s="33">
        <v>11</v>
      </c>
      <c r="AC30" s="18">
        <v>0</v>
      </c>
      <c r="AD30" s="18">
        <v>0</v>
      </c>
      <c r="AE30" s="18">
        <v>29</v>
      </c>
      <c r="AF30" s="18">
        <v>258</v>
      </c>
      <c r="AG30" s="18">
        <v>179</v>
      </c>
      <c r="AH30" s="18">
        <v>91</v>
      </c>
      <c r="AI30" s="18">
        <v>48</v>
      </c>
      <c r="AJ30" s="18">
        <v>27</v>
      </c>
      <c r="AK30" s="18">
        <v>16</v>
      </c>
      <c r="AL30" s="18">
        <v>10</v>
      </c>
      <c r="AM30" s="16">
        <v>5</v>
      </c>
      <c r="AO30" s="47">
        <v>11</v>
      </c>
      <c r="AP30" s="42">
        <f t="shared" si="12"/>
        <v>2.6662706008235182E-9</v>
      </c>
      <c r="AQ30" s="42">
        <f t="shared" si="13"/>
        <v>7.943099964778705E-6</v>
      </c>
      <c r="AR30" s="42">
        <f t="shared" si="14"/>
        <v>3.6525057598242173E-3</v>
      </c>
      <c r="AS30" s="42">
        <f t="shared" si="15"/>
        <v>8.1506959920156552E-2</v>
      </c>
      <c r="AT30" s="42">
        <f t="shared" si="16"/>
        <v>9.9423571624784782E-2</v>
      </c>
      <c r="AU30" s="42">
        <f t="shared" si="17"/>
        <v>9.9965710356892903E-2</v>
      </c>
      <c r="AV30" s="42">
        <f t="shared" si="18"/>
        <v>9.9996123080004634E-2</v>
      </c>
      <c r="AW30" s="42">
        <f t="shared" si="19"/>
        <v>9.9999278124083879E-2</v>
      </c>
      <c r="AX30" s="42">
        <f t="shared" si="20"/>
        <v>9.9999802499644741E-2</v>
      </c>
      <c r="AY30" s="42">
        <f t="shared" si="21"/>
        <v>9.9999927298087085E-2</v>
      </c>
      <c r="AZ30" s="42">
        <f t="shared" si="22"/>
        <v>9.9999966357194478E-2</v>
      </c>
      <c r="BB30" s="56">
        <v>11</v>
      </c>
      <c r="BC30" s="50">
        <f t="shared" si="27"/>
        <v>9.357413182312441E-6</v>
      </c>
      <c r="BD30" s="50">
        <f t="shared" si="28"/>
        <v>2.1714737776010178E-2</v>
      </c>
      <c r="BE30" s="50">
        <f t="shared" si="29"/>
        <v>7.7649180913269049</v>
      </c>
      <c r="BF30" s="50">
        <f t="shared" si="30"/>
        <v>129.61456312763971</v>
      </c>
      <c r="BG30" s="50">
        <f t="shared" si="31"/>
        <v>112.59390253451251</v>
      </c>
      <c r="BH30" s="50">
        <f t="shared" si="32"/>
        <v>79.850260605029803</v>
      </c>
      <c r="BI30" s="50">
        <f t="shared" si="33"/>
        <v>56.327285254491009</v>
      </c>
      <c r="BJ30" s="50">
        <f t="shared" si="34"/>
        <v>39.723508737423273</v>
      </c>
      <c r="BK30" s="50">
        <f t="shared" si="35"/>
        <v>28.009006205145891</v>
      </c>
      <c r="BL30" s="50">
        <f t="shared" si="36"/>
        <v>19.738599021681026</v>
      </c>
      <c r="BM30" s="50">
        <f t="shared" si="37"/>
        <v>48.382822264754012</v>
      </c>
    </row>
    <row r="31" spans="1:65" ht="17" customHeight="1">
      <c r="E31" s="94">
        <v>12</v>
      </c>
      <c r="F31" s="74">
        <f t="shared" ref="F31" si="40">-LN(_xlfn.NORM.DIST(H31,0,sigmaF,FALSE))</f>
        <v>-0.46735582791521796</v>
      </c>
      <c r="G31" s="98">
        <f t="shared" ref="G31" si="41">MAX(0.000001,Fbar+H31)</f>
        <v>0.1</v>
      </c>
      <c r="H31" s="98">
        <v>0</v>
      </c>
      <c r="I31" s="18">
        <f t="shared" si="8"/>
        <v>600</v>
      </c>
      <c r="J31" s="18">
        <v>313.43959449316407</v>
      </c>
      <c r="K31" s="16">
        <f t="shared" si="24"/>
        <v>1.9142444366998619</v>
      </c>
      <c r="M31" s="35">
        <f t="shared" si="9"/>
        <v>18251.645943390271</v>
      </c>
      <c r="N31" s="20">
        <f t="shared" si="10"/>
        <v>15888.488194720161</v>
      </c>
      <c r="O31" s="21">
        <v>12</v>
      </c>
      <c r="P31" s="143">
        <f t="shared" ref="P31" si="42">(bha*M30)/(1+bhb*M30)</f>
        <v>3965.8893803285373</v>
      </c>
      <c r="Q31" s="132">
        <f t="shared" si="38"/>
        <v>3089.1171945361925</v>
      </c>
      <c r="R31" s="132">
        <f t="shared" si="26"/>
        <v>2406.2767089880554</v>
      </c>
      <c r="S31" s="132">
        <f t="shared" si="26"/>
        <v>1867.6796529639721</v>
      </c>
      <c r="T31" s="132">
        <f t="shared" si="26"/>
        <v>1341.178095227669</v>
      </c>
      <c r="U31" s="132">
        <f t="shared" si="26"/>
        <v>946.11074562369083</v>
      </c>
      <c r="V31" s="132">
        <f t="shared" si="26"/>
        <v>667.1402963451701</v>
      </c>
      <c r="W31" s="132">
        <f t="shared" si="26"/>
        <v>470.45767906379342</v>
      </c>
      <c r="X31" s="132">
        <f t="shared" si="26"/>
        <v>331.76832183554205</v>
      </c>
      <c r="Y31" s="132">
        <f t="shared" si="26"/>
        <v>233.92821969698707</v>
      </c>
      <c r="Z31" s="132">
        <f t="shared" si="39"/>
        <v>568.94190011055116</v>
      </c>
      <c r="AB31" s="33">
        <v>12</v>
      </c>
      <c r="AC31" s="18">
        <v>0</v>
      </c>
      <c r="AD31" s="18">
        <v>0</v>
      </c>
      <c r="AE31" s="18">
        <v>32</v>
      </c>
      <c r="AF31" s="18">
        <v>247</v>
      </c>
      <c r="AG31" s="18">
        <v>139</v>
      </c>
      <c r="AH31" s="18">
        <v>88</v>
      </c>
      <c r="AI31" s="18">
        <v>45</v>
      </c>
      <c r="AJ31" s="18">
        <v>23</v>
      </c>
      <c r="AK31" s="18">
        <v>13</v>
      </c>
      <c r="AL31" s="18">
        <v>8</v>
      </c>
      <c r="AM31" s="16">
        <v>5</v>
      </c>
      <c r="AO31" s="47">
        <v>12</v>
      </c>
      <c r="AP31" s="42">
        <f t="shared" si="12"/>
        <v>2.6662706008235182E-9</v>
      </c>
      <c r="AQ31" s="42">
        <f t="shared" si="13"/>
        <v>7.943099964778705E-6</v>
      </c>
      <c r="AR31" s="42">
        <f t="shared" si="14"/>
        <v>3.6525057598242173E-3</v>
      </c>
      <c r="AS31" s="42">
        <f t="shared" si="15"/>
        <v>8.1506959920156552E-2</v>
      </c>
      <c r="AT31" s="42">
        <f t="shared" si="16"/>
        <v>9.9423571624784782E-2</v>
      </c>
      <c r="AU31" s="42">
        <f t="shared" si="17"/>
        <v>9.9965710356892903E-2</v>
      </c>
      <c r="AV31" s="42">
        <f t="shared" si="18"/>
        <v>9.9996123080004634E-2</v>
      </c>
      <c r="AW31" s="42">
        <f t="shared" si="19"/>
        <v>9.9999278124083879E-2</v>
      </c>
      <c r="AX31" s="42">
        <f t="shared" si="20"/>
        <v>9.9999802499644741E-2</v>
      </c>
      <c r="AY31" s="42">
        <f t="shared" si="21"/>
        <v>9.9999927298087085E-2</v>
      </c>
      <c r="AZ31" s="42">
        <f t="shared" si="22"/>
        <v>9.9999966357194478E-2</v>
      </c>
      <c r="BB31" s="56">
        <v>12</v>
      </c>
      <c r="BC31" s="50">
        <f t="shared" si="27"/>
        <v>9.3559608608715738E-6</v>
      </c>
      <c r="BD31" s="50">
        <f t="shared" si="28"/>
        <v>2.1710325585440476E-2</v>
      </c>
      <c r="BE31" s="50">
        <f t="shared" si="29"/>
        <v>7.762831782562154</v>
      </c>
      <c r="BF31" s="50">
        <f t="shared" si="30"/>
        <v>129.56810073926133</v>
      </c>
      <c r="BG31" s="50">
        <f t="shared" si="31"/>
        <v>112.53992457964914</v>
      </c>
      <c r="BH31" s="50">
        <f t="shared" si="32"/>
        <v>79.801850570318834</v>
      </c>
      <c r="BI31" s="50">
        <f t="shared" si="33"/>
        <v>56.287770544140663</v>
      </c>
      <c r="BJ31" s="50">
        <f t="shared" si="34"/>
        <v>39.694514349184089</v>
      </c>
      <c r="BK31" s="50">
        <f t="shared" si="35"/>
        <v>27.992843572183496</v>
      </c>
      <c r="BL31" s="50">
        <f t="shared" si="36"/>
        <v>19.737640448181423</v>
      </c>
      <c r="BM31" s="50">
        <f t="shared" si="37"/>
        <v>48.004361570676572</v>
      </c>
    </row>
    <row r="32" spans="1:65">
      <c r="E32" s="94">
        <v>13</v>
      </c>
      <c r="F32" s="74">
        <f t="shared" ref="F32:F39" si="43">-LN(_xlfn.NORM.DIST(H32,0,sigmaF,FALSE))</f>
        <v>-0.46735582791521796</v>
      </c>
      <c r="G32" s="98">
        <f t="shared" ref="G32:G39" si="44">MAX(0.000001,Fbar+H32)</f>
        <v>0.1</v>
      </c>
      <c r="H32" s="98">
        <v>0</v>
      </c>
      <c r="I32" s="18">
        <f t="shared" si="8"/>
        <v>499</v>
      </c>
      <c r="J32" s="18">
        <v>361.11903794262292</v>
      </c>
      <c r="K32" s="16">
        <f t="shared" si="24"/>
        <v>1.3818158212951501</v>
      </c>
      <c r="M32" s="35">
        <f t="shared" si="9"/>
        <v>18219.66860719589</v>
      </c>
      <c r="N32" s="20">
        <f t="shared" si="10"/>
        <v>15881.328873075208</v>
      </c>
      <c r="O32" s="21">
        <v>13</v>
      </c>
      <c r="P32" s="143">
        <f t="shared" ref="P32:P38" si="45">(bha*M31)/(1+bhb*M31)</f>
        <v>3965.4150936105962</v>
      </c>
      <c r="Q32" s="132">
        <f t="shared" si="38"/>
        <v>3088.6377467392895</v>
      </c>
      <c r="R32" s="132">
        <f t="shared" si="26"/>
        <v>2405.7877806153983</v>
      </c>
      <c r="S32" s="132">
        <f t="shared" si="26"/>
        <v>1867.1778374414002</v>
      </c>
      <c r="T32" s="132">
        <f t="shared" si="26"/>
        <v>1340.6973287455594</v>
      </c>
      <c r="U32" s="132">
        <f t="shared" si="26"/>
        <v>945.65717645188442</v>
      </c>
      <c r="V32" s="132">
        <f t="shared" si="26"/>
        <v>666.73583573779774</v>
      </c>
      <c r="W32" s="132">
        <f t="shared" si="26"/>
        <v>470.12764364958321</v>
      </c>
      <c r="X32" s="132">
        <f t="shared" si="26"/>
        <v>331.52616247363005</v>
      </c>
      <c r="Y32" s="132">
        <f t="shared" si="26"/>
        <v>233.79323111771311</v>
      </c>
      <c r="Z32" s="132">
        <f t="shared" si="39"/>
        <v>565.77303649235512</v>
      </c>
      <c r="AB32" s="33">
        <v>13</v>
      </c>
      <c r="AC32" s="18">
        <v>0</v>
      </c>
      <c r="AD32" s="18">
        <v>0</v>
      </c>
      <c r="AE32" s="18">
        <v>28</v>
      </c>
      <c r="AF32" s="18">
        <v>209</v>
      </c>
      <c r="AG32" s="18">
        <v>118</v>
      </c>
      <c r="AH32" s="18">
        <v>63</v>
      </c>
      <c r="AI32" s="18">
        <v>40</v>
      </c>
      <c r="AJ32" s="18">
        <v>20</v>
      </c>
      <c r="AK32" s="18">
        <v>11</v>
      </c>
      <c r="AL32" s="18">
        <v>6</v>
      </c>
      <c r="AM32" s="16">
        <v>4</v>
      </c>
      <c r="AO32" s="47">
        <v>13</v>
      </c>
      <c r="AP32" s="42">
        <f t="shared" si="12"/>
        <v>2.6662706008235182E-9</v>
      </c>
      <c r="AQ32" s="42">
        <f t="shared" si="13"/>
        <v>7.943099964778705E-6</v>
      </c>
      <c r="AR32" s="42">
        <f t="shared" si="14"/>
        <v>3.6525057598242173E-3</v>
      </c>
      <c r="AS32" s="42">
        <f t="shared" si="15"/>
        <v>8.1506959920156552E-2</v>
      </c>
      <c r="AT32" s="42">
        <f t="shared" si="16"/>
        <v>9.9423571624784782E-2</v>
      </c>
      <c r="AU32" s="42">
        <f t="shared" si="17"/>
        <v>9.9965710356892903E-2</v>
      </c>
      <c r="AV32" s="42">
        <f t="shared" si="18"/>
        <v>9.9996123080004634E-2</v>
      </c>
      <c r="AW32" s="42">
        <f t="shared" si="19"/>
        <v>9.9999278124083879E-2</v>
      </c>
      <c r="AX32" s="42">
        <f t="shared" si="20"/>
        <v>9.9999802499644741E-2</v>
      </c>
      <c r="AY32" s="42">
        <f t="shared" si="21"/>
        <v>9.9999927298087085E-2</v>
      </c>
      <c r="AZ32" s="42">
        <f t="shared" si="22"/>
        <v>9.9999966357194478E-2</v>
      </c>
      <c r="BB32" s="56">
        <v>13</v>
      </c>
      <c r="BC32" s="50">
        <f t="shared" si="27"/>
        <v>9.3548419673411849E-6</v>
      </c>
      <c r="BD32" s="50">
        <f t="shared" si="28"/>
        <v>2.170695602478075E-2</v>
      </c>
      <c r="BE32" s="50">
        <f t="shared" si="29"/>
        <v>7.7612544624241657</v>
      </c>
      <c r="BF32" s="50">
        <f t="shared" si="30"/>
        <v>129.53328787182022</v>
      </c>
      <c r="BG32" s="50">
        <f t="shared" si="31"/>
        <v>112.49958286527909</v>
      </c>
      <c r="BH32" s="50">
        <f t="shared" si="32"/>
        <v>79.763593252727617</v>
      </c>
      <c r="BI32" s="50">
        <f t="shared" si="33"/>
        <v>56.253645509291708</v>
      </c>
      <c r="BJ32" s="50">
        <f t="shared" si="34"/>
        <v>39.66666785827087</v>
      </c>
      <c r="BK32" s="50">
        <f t="shared" si="35"/>
        <v>27.972411455277221</v>
      </c>
      <c r="BL32" s="50">
        <f t="shared" si="36"/>
        <v>19.726250817440114</v>
      </c>
      <c r="BM32" s="50">
        <f t="shared" si="37"/>
        <v>47.736989322532281</v>
      </c>
    </row>
    <row r="33" spans="1:65">
      <c r="E33" s="94">
        <v>14</v>
      </c>
      <c r="F33" s="74">
        <f t="shared" si="43"/>
        <v>-0.46735582791521796</v>
      </c>
      <c r="G33" s="98">
        <f t="shared" si="44"/>
        <v>0.1</v>
      </c>
      <c r="H33" s="98">
        <v>0</v>
      </c>
      <c r="I33" s="18">
        <f t="shared" si="8"/>
        <v>464</v>
      </c>
      <c r="J33" s="18">
        <v>559.29771094199009</v>
      </c>
      <c r="K33" s="16">
        <f t="shared" si="24"/>
        <v>0.8296118344888519</v>
      </c>
      <c r="M33" s="35">
        <f t="shared" si="9"/>
        <v>18195.001231113783</v>
      </c>
      <c r="N33" s="20">
        <f t="shared" si="10"/>
        <v>15875.806915478322</v>
      </c>
      <c r="O33" s="21">
        <v>14</v>
      </c>
      <c r="P33" s="143">
        <f t="shared" si="45"/>
        <v>3965.0505612246502</v>
      </c>
      <c r="Q33" s="132">
        <f t="shared" si="38"/>
        <v>3088.2683718729413</v>
      </c>
      <c r="R33" s="132">
        <f t="shared" si="26"/>
        <v>2405.4143892616253</v>
      </c>
      <c r="S33" s="132">
        <f t="shared" si="26"/>
        <v>1866.7984478981648</v>
      </c>
      <c r="T33" s="132">
        <f t="shared" si="26"/>
        <v>1340.3371049086891</v>
      </c>
      <c r="U33" s="132">
        <f t="shared" si="26"/>
        <v>945.31819069330231</v>
      </c>
      <c r="V33" s="132">
        <f t="shared" si="26"/>
        <v>666.41619998455417</v>
      </c>
      <c r="W33" s="132">
        <f t="shared" si="26"/>
        <v>469.84262397181112</v>
      </c>
      <c r="X33" s="132">
        <f t="shared" si="26"/>
        <v>331.2935902801625</v>
      </c>
      <c r="Y33" s="132">
        <f t="shared" si="26"/>
        <v>233.62258426585703</v>
      </c>
      <c r="Z33" s="132">
        <f t="shared" si="39"/>
        <v>563.44485111656491</v>
      </c>
      <c r="AB33" s="33">
        <v>14</v>
      </c>
      <c r="AC33" s="18">
        <v>0</v>
      </c>
      <c r="AD33" s="18">
        <v>0</v>
      </c>
      <c r="AE33" s="18">
        <v>45</v>
      </c>
      <c r="AF33" s="18">
        <v>200</v>
      </c>
      <c r="AG33" s="18">
        <v>101</v>
      </c>
      <c r="AH33" s="18">
        <v>54</v>
      </c>
      <c r="AI33" s="18">
        <v>29</v>
      </c>
      <c r="AJ33" s="18">
        <v>18</v>
      </c>
      <c r="AK33" s="18">
        <v>9</v>
      </c>
      <c r="AL33" s="18">
        <v>5</v>
      </c>
      <c r="AM33" s="16">
        <v>3</v>
      </c>
      <c r="AO33" s="47">
        <v>14</v>
      </c>
      <c r="AP33" s="42">
        <f t="shared" si="12"/>
        <v>2.6662706008235182E-9</v>
      </c>
      <c r="AQ33" s="42">
        <f t="shared" si="13"/>
        <v>7.943099964778705E-6</v>
      </c>
      <c r="AR33" s="42">
        <f t="shared" si="14"/>
        <v>3.6525057598242173E-3</v>
      </c>
      <c r="AS33" s="42">
        <f t="shared" si="15"/>
        <v>8.1506959920156552E-2</v>
      </c>
      <c r="AT33" s="42">
        <f t="shared" si="16"/>
        <v>9.9423571624784782E-2</v>
      </c>
      <c r="AU33" s="42">
        <f t="shared" si="17"/>
        <v>9.9965710356892903E-2</v>
      </c>
      <c r="AV33" s="42">
        <f t="shared" si="18"/>
        <v>9.9996123080004634E-2</v>
      </c>
      <c r="AW33" s="42">
        <f t="shared" si="19"/>
        <v>9.9999278124083879E-2</v>
      </c>
      <c r="AX33" s="42">
        <f t="shared" si="20"/>
        <v>9.9999802499644741E-2</v>
      </c>
      <c r="AY33" s="42">
        <f t="shared" si="21"/>
        <v>9.9999927298087085E-2</v>
      </c>
      <c r="AZ33" s="42">
        <f t="shared" si="22"/>
        <v>9.9999966357194478E-2</v>
      </c>
      <c r="BB33" s="56">
        <v>14</v>
      </c>
      <c r="BC33" s="50">
        <f t="shared" si="27"/>
        <v>9.3539819961195096E-6</v>
      </c>
      <c r="BD33" s="50">
        <f t="shared" si="28"/>
        <v>2.1704360057031233E-2</v>
      </c>
      <c r="BE33" s="50">
        <f t="shared" si="29"/>
        <v>7.7600498735015471</v>
      </c>
      <c r="BF33" s="50">
        <f t="shared" si="30"/>
        <v>129.50696816411266</v>
      </c>
      <c r="BG33" s="50">
        <f t="shared" si="31"/>
        <v>112.46935603442238</v>
      </c>
      <c r="BH33" s="50">
        <f t="shared" si="32"/>
        <v>79.735000732267437</v>
      </c>
      <c r="BI33" s="50">
        <f t="shared" si="33"/>
        <v>56.226677292808844</v>
      </c>
      <c r="BJ33" s="50">
        <f t="shared" si="34"/>
        <v>39.6426195364077</v>
      </c>
      <c r="BK33" s="50">
        <f t="shared" si="35"/>
        <v>27.952788252570713</v>
      </c>
      <c r="BL33" s="50">
        <f t="shared" si="36"/>
        <v>19.711852528042144</v>
      </c>
      <c r="BM33" s="50">
        <f t="shared" si="37"/>
        <v>47.540549136704378</v>
      </c>
    </row>
    <row r="34" spans="1:65" ht="16" customHeight="1">
      <c r="E34" s="94">
        <v>15</v>
      </c>
      <c r="F34" s="74">
        <f t="shared" si="43"/>
        <v>-0.46735582791521796</v>
      </c>
      <c r="G34" s="98">
        <f t="shared" si="44"/>
        <v>0.1</v>
      </c>
      <c r="H34" s="98">
        <v>0</v>
      </c>
      <c r="I34" s="18">
        <f t="shared" si="8"/>
        <v>432</v>
      </c>
      <c r="J34" s="18">
        <v>441.87612290874796</v>
      </c>
      <c r="K34" s="16">
        <f t="shared" si="24"/>
        <v>0.97764956648090373</v>
      </c>
      <c r="M34" s="35">
        <f t="shared" si="9"/>
        <v>18175.916957697998</v>
      </c>
      <c r="N34" s="20">
        <f t="shared" si="10"/>
        <v>15871.547479127526</v>
      </c>
      <c r="O34" s="21">
        <v>15</v>
      </c>
      <c r="P34" s="143">
        <f t="shared" si="45"/>
        <v>3964.7685308275559</v>
      </c>
      <c r="Q34" s="132">
        <f t="shared" si="38"/>
        <v>3087.9844737660687</v>
      </c>
      <c r="R34" s="132">
        <f t="shared" si="26"/>
        <v>2405.1267221114445</v>
      </c>
      <c r="S34" s="132">
        <f t="shared" si="26"/>
        <v>1866.5087106215444</v>
      </c>
      <c r="T34" s="132">
        <f t="shared" si="26"/>
        <v>1340.06476347885</v>
      </c>
      <c r="U34" s="132">
        <f t="shared" si="26"/>
        <v>945.06419887992752</v>
      </c>
      <c r="V34" s="132">
        <f t="shared" si="26"/>
        <v>666.17731256667321</v>
      </c>
      <c r="W34" s="132">
        <f t="shared" si="26"/>
        <v>469.61737959019939</v>
      </c>
      <c r="X34" s="132">
        <f t="shared" si="26"/>
        <v>331.09274016291226</v>
      </c>
      <c r="Y34" s="132">
        <f t="shared" si="26"/>
        <v>233.45869337875217</v>
      </c>
      <c r="Z34" s="132">
        <f t="shared" si="39"/>
        <v>561.68395374359875</v>
      </c>
      <c r="AB34" s="33">
        <v>15</v>
      </c>
      <c r="AC34" s="18">
        <v>0</v>
      </c>
      <c r="AD34" s="18">
        <v>0</v>
      </c>
      <c r="AE34" s="18">
        <v>37</v>
      </c>
      <c r="AF34" s="18">
        <v>206</v>
      </c>
      <c r="AG34" s="18">
        <v>90</v>
      </c>
      <c r="AH34" s="18">
        <v>47</v>
      </c>
      <c r="AI34" s="18">
        <v>25</v>
      </c>
      <c r="AJ34" s="18">
        <v>13</v>
      </c>
      <c r="AK34" s="18">
        <v>8</v>
      </c>
      <c r="AL34" s="18">
        <v>4</v>
      </c>
      <c r="AM34" s="16">
        <v>2</v>
      </c>
      <c r="AO34" s="47">
        <v>15</v>
      </c>
      <c r="AP34" s="42">
        <f t="shared" si="12"/>
        <v>2.6662706008235182E-9</v>
      </c>
      <c r="AQ34" s="42">
        <f t="shared" si="13"/>
        <v>7.943099964778705E-6</v>
      </c>
      <c r="AR34" s="42">
        <f t="shared" si="14"/>
        <v>3.6525057598242173E-3</v>
      </c>
      <c r="AS34" s="42">
        <f t="shared" si="15"/>
        <v>8.1506959920156552E-2</v>
      </c>
      <c r="AT34" s="42">
        <f t="shared" si="16"/>
        <v>9.9423571624784782E-2</v>
      </c>
      <c r="AU34" s="42">
        <f t="shared" si="17"/>
        <v>9.9965710356892903E-2</v>
      </c>
      <c r="AV34" s="42">
        <f t="shared" si="18"/>
        <v>9.9996123080004634E-2</v>
      </c>
      <c r="AW34" s="42">
        <f t="shared" si="19"/>
        <v>9.9999278124083879E-2</v>
      </c>
      <c r="AX34" s="42">
        <f t="shared" si="20"/>
        <v>9.9999802499644741E-2</v>
      </c>
      <c r="AY34" s="42">
        <f t="shared" si="21"/>
        <v>9.9999927298087085E-2</v>
      </c>
      <c r="AZ34" s="42">
        <f t="shared" si="22"/>
        <v>9.9999966357194478E-2</v>
      </c>
      <c r="BB34" s="56">
        <v>15</v>
      </c>
      <c r="BC34" s="50">
        <f t="shared" si="27"/>
        <v>9.3533166559892784E-6</v>
      </c>
      <c r="BD34" s="50">
        <f t="shared" si="28"/>
        <v>2.1702364820222416E-2</v>
      </c>
      <c r="BE34" s="50">
        <f t="shared" si="29"/>
        <v>7.7591218373833888</v>
      </c>
      <c r="BF34" s="50">
        <f t="shared" si="30"/>
        <v>129.4868679779884</v>
      </c>
      <c r="BG34" s="50">
        <f t="shared" si="31"/>
        <v>112.44650352580845</v>
      </c>
      <c r="BH34" s="50">
        <f t="shared" si="32"/>
        <v>79.713577218338671</v>
      </c>
      <c r="BI34" s="50">
        <f t="shared" si="33"/>
        <v>56.206521951815013</v>
      </c>
      <c r="BJ34" s="50">
        <f t="shared" si="34"/>
        <v>39.62361471039285</v>
      </c>
      <c r="BK34" s="50">
        <f t="shared" si="35"/>
        <v>27.935841589662893</v>
      </c>
      <c r="BL34" s="50">
        <f t="shared" si="36"/>
        <v>19.698024271636829</v>
      </c>
      <c r="BM34" s="50">
        <f t="shared" si="37"/>
        <v>47.391973765187011</v>
      </c>
    </row>
    <row r="35" spans="1:65">
      <c r="E35" s="94">
        <v>16</v>
      </c>
      <c r="F35" s="74">
        <f t="shared" si="43"/>
        <v>-0.46735582791521796</v>
      </c>
      <c r="G35" s="98">
        <f t="shared" si="44"/>
        <v>0.1</v>
      </c>
      <c r="H35" s="98">
        <v>0</v>
      </c>
      <c r="I35" s="18">
        <f t="shared" si="8"/>
        <v>393</v>
      </c>
      <c r="J35" s="18">
        <v>524.98794467934135</v>
      </c>
      <c r="K35" s="16">
        <f t="shared" si="24"/>
        <v>0.74858861804920385</v>
      </c>
      <c r="M35" s="35">
        <f t="shared" si="9"/>
        <v>18161.145939370337</v>
      </c>
      <c r="N35" s="20">
        <f t="shared" si="10"/>
        <v>15868.26083825477</v>
      </c>
      <c r="O35" s="21">
        <v>16</v>
      </c>
      <c r="P35" s="143">
        <f t="shared" si="45"/>
        <v>3964.5498363134043</v>
      </c>
      <c r="Q35" s="132">
        <f t="shared" si="38"/>
        <v>3087.7648282725472</v>
      </c>
      <c r="R35" s="132">
        <f t="shared" si="26"/>
        <v>2404.9056237997124</v>
      </c>
      <c r="S35" s="132">
        <f t="shared" si="26"/>
        <v>1866.2854920177274</v>
      </c>
      <c r="T35" s="132">
        <f t="shared" si="26"/>
        <v>1339.8567781360816</v>
      </c>
      <c r="U35" s="132">
        <f t="shared" si="26"/>
        <v>944.872172460402</v>
      </c>
      <c r="V35" s="132">
        <f t="shared" si="26"/>
        <v>665.99832142346474</v>
      </c>
      <c r="W35" s="132">
        <f t="shared" si="26"/>
        <v>469.44903781938871</v>
      </c>
      <c r="X35" s="132">
        <f t="shared" si="26"/>
        <v>330.93401301533316</v>
      </c>
      <c r="Y35" s="132">
        <f t="shared" si="26"/>
        <v>233.31715666535376</v>
      </c>
      <c r="Z35" s="132">
        <f t="shared" si="39"/>
        <v>560.32757833135304</v>
      </c>
      <c r="AB35" s="33">
        <v>16</v>
      </c>
      <c r="AC35" s="18">
        <v>0</v>
      </c>
      <c r="AD35" s="18">
        <v>0</v>
      </c>
      <c r="AE35" s="18">
        <v>32</v>
      </c>
      <c r="AF35" s="18">
        <v>180</v>
      </c>
      <c r="AG35" s="18">
        <v>93</v>
      </c>
      <c r="AH35" s="18">
        <v>42</v>
      </c>
      <c r="AI35" s="18">
        <v>22</v>
      </c>
      <c r="AJ35" s="18">
        <v>12</v>
      </c>
      <c r="AK35" s="18">
        <v>6</v>
      </c>
      <c r="AL35" s="18">
        <v>4</v>
      </c>
      <c r="AM35" s="16">
        <v>2</v>
      </c>
      <c r="AO35" s="47">
        <v>16</v>
      </c>
      <c r="AP35" s="42">
        <f t="shared" si="12"/>
        <v>2.6662706008235182E-9</v>
      </c>
      <c r="AQ35" s="42">
        <f t="shared" si="13"/>
        <v>7.943099964778705E-6</v>
      </c>
      <c r="AR35" s="42">
        <f t="shared" si="14"/>
        <v>3.6525057598242173E-3</v>
      </c>
      <c r="AS35" s="42">
        <f t="shared" si="15"/>
        <v>8.1506959920156552E-2</v>
      </c>
      <c r="AT35" s="42">
        <f t="shared" si="16"/>
        <v>9.9423571624784782E-2</v>
      </c>
      <c r="AU35" s="42">
        <f t="shared" si="17"/>
        <v>9.9965710356892903E-2</v>
      </c>
      <c r="AV35" s="42">
        <f t="shared" si="18"/>
        <v>9.9996123080004634E-2</v>
      </c>
      <c r="AW35" s="42">
        <f t="shared" si="19"/>
        <v>9.9999278124083879E-2</v>
      </c>
      <c r="AX35" s="42">
        <f t="shared" si="20"/>
        <v>9.9999802499644741E-2</v>
      </c>
      <c r="AY35" s="42">
        <f t="shared" si="21"/>
        <v>9.9999927298087085E-2</v>
      </c>
      <c r="AZ35" s="42">
        <f t="shared" si="22"/>
        <v>9.9999966357194478E-2</v>
      </c>
      <c r="BB35" s="56">
        <v>16</v>
      </c>
      <c r="BC35" s="50">
        <f t="shared" si="27"/>
        <v>9.3528007320391458E-6</v>
      </c>
      <c r="BD35" s="50">
        <f t="shared" si="28"/>
        <v>2.1700821150987024E-2</v>
      </c>
      <c r="BE35" s="50">
        <f t="shared" si="29"/>
        <v>7.7584085574040031</v>
      </c>
      <c r="BF35" s="50">
        <f t="shared" si="30"/>
        <v>129.4713824473192</v>
      </c>
      <c r="BG35" s="50">
        <f t="shared" si="31"/>
        <v>112.42905121662437</v>
      </c>
      <c r="BH35" s="50">
        <f t="shared" si="32"/>
        <v>79.697380315695497</v>
      </c>
      <c r="BI35" s="50">
        <f t="shared" si="33"/>
        <v>56.191420162201119</v>
      </c>
      <c r="BJ35" s="50">
        <f t="shared" si="34"/>
        <v>39.609410999550441</v>
      </c>
      <c r="BK35" s="50">
        <f t="shared" si="35"/>
        <v>27.922449038534872</v>
      </c>
      <c r="BL35" s="50">
        <f t="shared" si="36"/>
        <v>19.686082143564835</v>
      </c>
      <c r="BM35" s="50">
        <f t="shared" si="37"/>
        <v>47.277529855005028</v>
      </c>
    </row>
    <row r="36" spans="1:65">
      <c r="A36" s="102"/>
      <c r="B36" s="8"/>
      <c r="C36" s="101"/>
      <c r="D36" s="101"/>
      <c r="E36" s="94">
        <v>17</v>
      </c>
      <c r="F36" s="74">
        <f t="shared" si="43"/>
        <v>-0.46735582791521796</v>
      </c>
      <c r="G36" s="98">
        <f t="shared" si="44"/>
        <v>0.1</v>
      </c>
      <c r="H36" s="98">
        <v>0</v>
      </c>
      <c r="I36" s="18">
        <f t="shared" si="8"/>
        <v>336</v>
      </c>
      <c r="J36" s="18">
        <v>605.38595561470254</v>
      </c>
      <c r="K36" s="16">
        <f t="shared" si="24"/>
        <v>0.55501783099482238</v>
      </c>
      <c r="M36" s="35">
        <f t="shared" si="9"/>
        <v>18149.72127584702</v>
      </c>
      <c r="N36" s="20">
        <f t="shared" si="10"/>
        <v>15865.723946084621</v>
      </c>
      <c r="O36" s="21">
        <v>17</v>
      </c>
      <c r="P36" s="143">
        <f t="shared" si="45"/>
        <v>3964.380270223548</v>
      </c>
      <c r="Q36" s="132">
        <f t="shared" si="38"/>
        <v>3087.5945088141266</v>
      </c>
      <c r="R36" s="132">
        <f t="shared" si="26"/>
        <v>2404.7345650761017</v>
      </c>
      <c r="S36" s="132">
        <f t="shared" si="26"/>
        <v>1866.113928262811</v>
      </c>
      <c r="T36" s="132">
        <f t="shared" si="26"/>
        <v>1339.6965426345657</v>
      </c>
      <c r="U36" s="132">
        <f t="shared" si="26"/>
        <v>944.72552315805694</v>
      </c>
      <c r="V36" s="132">
        <f t="shared" si="26"/>
        <v>665.86299805260319</v>
      </c>
      <c r="W36" s="132">
        <f t="shared" si="26"/>
        <v>469.32290440359634</v>
      </c>
      <c r="X36" s="132">
        <f t="shared" si="26"/>
        <v>330.81538448880565</v>
      </c>
      <c r="Y36" s="132">
        <f t="shared" si="26"/>
        <v>233.20530351284873</v>
      </c>
      <c r="Z36" s="132">
        <f t="shared" si="39"/>
        <v>559.2720174575586</v>
      </c>
      <c r="AB36" s="33">
        <v>17</v>
      </c>
      <c r="AC36" s="18">
        <v>0</v>
      </c>
      <c r="AD36" s="18">
        <v>0</v>
      </c>
      <c r="AE36" s="18">
        <v>35</v>
      </c>
      <c r="AF36" s="18">
        <v>149</v>
      </c>
      <c r="AG36" s="18">
        <v>76</v>
      </c>
      <c r="AH36" s="18">
        <v>40</v>
      </c>
      <c r="AI36" s="18">
        <v>18</v>
      </c>
      <c r="AJ36" s="18">
        <v>9</v>
      </c>
      <c r="AK36" s="18">
        <v>5</v>
      </c>
      <c r="AL36" s="18">
        <v>3</v>
      </c>
      <c r="AM36" s="16">
        <v>1</v>
      </c>
      <c r="AO36" s="47">
        <v>17</v>
      </c>
      <c r="AP36" s="42">
        <f t="shared" si="12"/>
        <v>2.6662706008235182E-9</v>
      </c>
      <c r="AQ36" s="42">
        <f t="shared" si="13"/>
        <v>7.943099964778705E-6</v>
      </c>
      <c r="AR36" s="42">
        <f t="shared" si="14"/>
        <v>3.6525057598242173E-3</v>
      </c>
      <c r="AS36" s="42">
        <f t="shared" si="15"/>
        <v>8.1506959920156552E-2</v>
      </c>
      <c r="AT36" s="42">
        <f t="shared" si="16"/>
        <v>9.9423571624784782E-2</v>
      </c>
      <c r="AU36" s="42">
        <f t="shared" si="17"/>
        <v>9.9965710356892903E-2</v>
      </c>
      <c r="AV36" s="42">
        <f t="shared" si="18"/>
        <v>9.9996123080004634E-2</v>
      </c>
      <c r="AW36" s="42">
        <f t="shared" si="19"/>
        <v>9.9999278124083879E-2</v>
      </c>
      <c r="AX36" s="42">
        <f t="shared" si="20"/>
        <v>9.9999802499644741E-2</v>
      </c>
      <c r="AY36" s="42">
        <f t="shared" si="21"/>
        <v>9.9999927298087085E-2</v>
      </c>
      <c r="AZ36" s="42">
        <f t="shared" si="22"/>
        <v>9.9999966357194478E-2</v>
      </c>
      <c r="BB36" s="56">
        <v>17</v>
      </c>
      <c r="BC36" s="50">
        <f t="shared" si="27"/>
        <v>9.3524007073415598E-6</v>
      </c>
      <c r="BD36" s="50">
        <f t="shared" si="28"/>
        <v>2.1699624145285073E-2</v>
      </c>
      <c r="BE36" s="50">
        <f t="shared" si="29"/>
        <v>7.7578567089439447</v>
      </c>
      <c r="BF36" s="50">
        <f t="shared" si="30"/>
        <v>129.45948041163285</v>
      </c>
      <c r="BG36" s="50">
        <f t="shared" si="31"/>
        <v>112.41560565609834</v>
      </c>
      <c r="BH36" s="50">
        <f t="shared" si="32"/>
        <v>79.685010848626121</v>
      </c>
      <c r="BI36" s="50">
        <f t="shared" si="33"/>
        <v>56.180002697403921</v>
      </c>
      <c r="BJ36" s="50">
        <f t="shared" si="34"/>
        <v>39.598768587053222</v>
      </c>
      <c r="BK36" s="50">
        <f t="shared" si="35"/>
        <v>27.912439795434409</v>
      </c>
      <c r="BL36" s="50">
        <f t="shared" si="36"/>
        <v>19.676644559206693</v>
      </c>
      <c r="BM36" s="50">
        <f t="shared" si="37"/>
        <v>47.188467112683462</v>
      </c>
    </row>
    <row r="37" spans="1:65" ht="16" customHeight="1">
      <c r="E37" s="94">
        <v>18</v>
      </c>
      <c r="F37" s="74">
        <f t="shared" si="43"/>
        <v>-0.46735582791521796</v>
      </c>
      <c r="G37" s="98">
        <f t="shared" si="44"/>
        <v>0.1</v>
      </c>
      <c r="H37" s="98">
        <v>0</v>
      </c>
      <c r="I37" s="18">
        <f t="shared" si="8"/>
        <v>285</v>
      </c>
      <c r="J37" s="18">
        <v>710.6361708201398</v>
      </c>
      <c r="K37" s="16">
        <f t="shared" si="24"/>
        <v>0.40104910459466714</v>
      </c>
      <c r="M37" s="35">
        <f t="shared" si="9"/>
        <v>18140.894514473985</v>
      </c>
      <c r="N37" s="20">
        <f t="shared" si="10"/>
        <v>15863.765191526929</v>
      </c>
      <c r="O37" s="21">
        <v>18</v>
      </c>
      <c r="P37" s="143">
        <f t="shared" si="45"/>
        <v>3964.2489397852119</v>
      </c>
      <c r="Q37" s="132">
        <f t="shared" si="38"/>
        <v>3087.4624506109162</v>
      </c>
      <c r="R37" s="132">
        <f t="shared" si="38"/>
        <v>2404.6019212021192</v>
      </c>
      <c r="S37" s="132">
        <f t="shared" si="38"/>
        <v>1865.9811932966145</v>
      </c>
      <c r="T37" s="132">
        <f t="shared" si="38"/>
        <v>1339.5733871097086</v>
      </c>
      <c r="U37" s="132">
        <f t="shared" si="38"/>
        <v>944.61254200181077</v>
      </c>
      <c r="V37" s="132">
        <f t="shared" si="38"/>
        <v>665.75965249225351</v>
      </c>
      <c r="W37" s="132">
        <f t="shared" si="38"/>
        <v>469.22754326618281</v>
      </c>
      <c r="X37" s="132">
        <f t="shared" si="38"/>
        <v>330.72649970881747</v>
      </c>
      <c r="Y37" s="132">
        <f t="shared" si="38"/>
        <v>233.12170738659364</v>
      </c>
      <c r="Z37" s="132">
        <f t="shared" si="39"/>
        <v>558.44935466669938</v>
      </c>
      <c r="AB37" s="33">
        <v>18</v>
      </c>
      <c r="AC37" s="18">
        <v>0</v>
      </c>
      <c r="AD37" s="18">
        <v>0</v>
      </c>
      <c r="AE37" s="18">
        <v>35</v>
      </c>
      <c r="AF37" s="18">
        <v>121</v>
      </c>
      <c r="AG37" s="18">
        <v>62</v>
      </c>
      <c r="AH37" s="18">
        <v>34</v>
      </c>
      <c r="AI37" s="18">
        <v>18</v>
      </c>
      <c r="AJ37" s="18">
        <v>8</v>
      </c>
      <c r="AK37" s="18">
        <v>4</v>
      </c>
      <c r="AL37" s="18">
        <v>2</v>
      </c>
      <c r="AM37" s="16">
        <v>1</v>
      </c>
      <c r="AO37" s="47">
        <v>18</v>
      </c>
      <c r="AP37" s="42">
        <f t="shared" si="12"/>
        <v>2.6662706008235182E-9</v>
      </c>
      <c r="AQ37" s="42">
        <f t="shared" si="13"/>
        <v>7.943099964778705E-6</v>
      </c>
      <c r="AR37" s="42">
        <f t="shared" si="14"/>
        <v>3.6525057598242173E-3</v>
      </c>
      <c r="AS37" s="42">
        <f t="shared" si="15"/>
        <v>8.1506959920156552E-2</v>
      </c>
      <c r="AT37" s="42">
        <f t="shared" si="16"/>
        <v>9.9423571624784782E-2</v>
      </c>
      <c r="AU37" s="42">
        <f t="shared" si="17"/>
        <v>9.9965710356892903E-2</v>
      </c>
      <c r="AV37" s="42">
        <f t="shared" si="18"/>
        <v>9.9996123080004634E-2</v>
      </c>
      <c r="AW37" s="42">
        <f t="shared" si="19"/>
        <v>9.9999278124083879E-2</v>
      </c>
      <c r="AX37" s="42">
        <f t="shared" si="20"/>
        <v>9.9999802499644741E-2</v>
      </c>
      <c r="AY37" s="42">
        <f t="shared" si="21"/>
        <v>9.9999927298087085E-2</v>
      </c>
      <c r="AZ37" s="42">
        <f t="shared" si="22"/>
        <v>9.9999966357194478E-2</v>
      </c>
      <c r="BB37" s="56">
        <v>18</v>
      </c>
      <c r="BC37" s="50">
        <f t="shared" si="27"/>
        <v>9.3520908846705064E-6</v>
      </c>
      <c r="BD37" s="50">
        <f t="shared" si="28"/>
        <v>2.1698696039807886E-2</v>
      </c>
      <c r="BE37" s="50">
        <f t="shared" si="29"/>
        <v>7.7574287897121836</v>
      </c>
      <c r="BF37" s="50">
        <f t="shared" si="30"/>
        <v>129.45027207794217</v>
      </c>
      <c r="BG37" s="50">
        <f t="shared" si="31"/>
        <v>112.40527152260159</v>
      </c>
      <c r="BH37" s="50">
        <f t="shared" si="32"/>
        <v>79.675481197483563</v>
      </c>
      <c r="BI37" s="50">
        <f t="shared" si="33"/>
        <v>56.171283255302185</v>
      </c>
      <c r="BJ37" s="50">
        <f t="shared" si="34"/>
        <v>39.59072256249911</v>
      </c>
      <c r="BK37" s="50">
        <f t="shared" si="35"/>
        <v>27.904940171213536</v>
      </c>
      <c r="BL37" s="50">
        <f t="shared" si="36"/>
        <v>19.669591155025611</v>
      </c>
      <c r="BM37" s="50">
        <f t="shared" si="37"/>
        <v>47.119055100568566</v>
      </c>
    </row>
    <row r="38" spans="1:65">
      <c r="E38" s="94">
        <v>19</v>
      </c>
      <c r="F38" s="74">
        <f t="shared" si="43"/>
        <v>-0.46735582791521796</v>
      </c>
      <c r="G38" s="98">
        <f t="shared" si="44"/>
        <v>0.1</v>
      </c>
      <c r="H38" s="98">
        <v>0</v>
      </c>
      <c r="I38" s="18">
        <f t="shared" si="8"/>
        <v>260</v>
      </c>
      <c r="J38" s="18">
        <v>688.61433936124547</v>
      </c>
      <c r="K38" s="16">
        <f t="shared" si="24"/>
        <v>0.37756983138221378</v>
      </c>
      <c r="M38" s="35">
        <f t="shared" si="9"/>
        <v>18134.080757748467</v>
      </c>
      <c r="N38" s="20">
        <f t="shared" si="10"/>
        <v>15862.252533954628</v>
      </c>
      <c r="O38" s="21">
        <v>19</v>
      </c>
      <c r="P38" s="143">
        <f t="shared" si="45"/>
        <v>3964.1473658223608</v>
      </c>
      <c r="Q38" s="132">
        <f t="shared" ref="Q38:Z39" si="46">P37*EXP(-AP61)</f>
        <v>3087.360170362972</v>
      </c>
      <c r="R38" s="132">
        <f t="shared" si="46"/>
        <v>2404.4990749869689</v>
      </c>
      <c r="S38" s="132">
        <f t="shared" si="46"/>
        <v>1865.8782667708133</v>
      </c>
      <c r="T38" s="132">
        <f t="shared" si="46"/>
        <v>1339.4781044875906</v>
      </c>
      <c r="U38" s="132">
        <f t="shared" si="46"/>
        <v>944.52570572979346</v>
      </c>
      <c r="V38" s="132">
        <f t="shared" si="46"/>
        <v>665.68003328701684</v>
      </c>
      <c r="W38" s="132">
        <f t="shared" si="46"/>
        <v>469.15471659833651</v>
      </c>
      <c r="X38" s="132">
        <f t="shared" si="46"/>
        <v>330.65929980255015</v>
      </c>
      <c r="Y38" s="132">
        <f t="shared" si="46"/>
        <v>233.05907132840807</v>
      </c>
      <c r="Z38" s="132">
        <f t="shared" si="39"/>
        <v>557.81072477782129</v>
      </c>
      <c r="AB38" s="33">
        <v>19</v>
      </c>
      <c r="AC38" s="18">
        <v>0</v>
      </c>
      <c r="AD38" s="18">
        <v>0</v>
      </c>
      <c r="AE38" s="18">
        <v>29</v>
      </c>
      <c r="AF38" s="18">
        <v>109</v>
      </c>
      <c r="AG38" s="18">
        <v>56</v>
      </c>
      <c r="AH38" s="18">
        <v>32</v>
      </c>
      <c r="AI38" s="18">
        <v>18</v>
      </c>
      <c r="AJ38" s="18">
        <v>9</v>
      </c>
      <c r="AK38" s="18">
        <v>4</v>
      </c>
      <c r="AL38" s="18">
        <v>2</v>
      </c>
      <c r="AM38" s="16">
        <v>1</v>
      </c>
      <c r="AO38" s="47">
        <v>19</v>
      </c>
      <c r="AP38" s="42">
        <f t="shared" si="12"/>
        <v>2.6662706008235182E-9</v>
      </c>
      <c r="AQ38" s="42">
        <f t="shared" si="13"/>
        <v>7.943099964778705E-6</v>
      </c>
      <c r="AR38" s="42">
        <f t="shared" si="14"/>
        <v>3.6525057598242173E-3</v>
      </c>
      <c r="AS38" s="42">
        <f t="shared" si="15"/>
        <v>8.1506959920156552E-2</v>
      </c>
      <c r="AT38" s="42">
        <f t="shared" si="16"/>
        <v>9.9423571624784782E-2</v>
      </c>
      <c r="AU38" s="42">
        <f t="shared" si="17"/>
        <v>9.9965710356892903E-2</v>
      </c>
      <c r="AV38" s="42">
        <f t="shared" si="18"/>
        <v>9.9996123080004634E-2</v>
      </c>
      <c r="AW38" s="42">
        <f t="shared" si="19"/>
        <v>9.9999278124083879E-2</v>
      </c>
      <c r="AX38" s="42">
        <f t="shared" si="20"/>
        <v>9.9999802499644741E-2</v>
      </c>
      <c r="AY38" s="42">
        <f t="shared" si="21"/>
        <v>9.9999927298087085E-2</v>
      </c>
      <c r="AZ38" s="42">
        <f t="shared" si="22"/>
        <v>9.9999966357194478E-2</v>
      </c>
      <c r="BB38" s="56">
        <v>19</v>
      </c>
      <c r="BC38" s="50">
        <f t="shared" si="27"/>
        <v>9.3518512607350442E-6</v>
      </c>
      <c r="BD38" s="50">
        <f t="shared" si="28"/>
        <v>2.1697977213896148E-2</v>
      </c>
      <c r="BE38" s="50">
        <f t="shared" si="29"/>
        <v>7.7570969999954391</v>
      </c>
      <c r="BF38" s="50">
        <f t="shared" si="30"/>
        <v>129.44313167008767</v>
      </c>
      <c r="BG38" s="50">
        <f t="shared" si="31"/>
        <v>112.39727623909296</v>
      </c>
      <c r="BH38" s="50">
        <f t="shared" si="32"/>
        <v>79.668156795730738</v>
      </c>
      <c r="BI38" s="50">
        <f t="shared" si="33"/>
        <v>56.164565646457653</v>
      </c>
      <c r="BJ38" s="50">
        <f t="shared" si="34"/>
        <v>39.584577866938865</v>
      </c>
      <c r="BK38" s="50">
        <f t="shared" si="35"/>
        <v>27.89927020111573</v>
      </c>
      <c r="BL38" s="50">
        <f t="shared" si="36"/>
        <v>19.664306251831121</v>
      </c>
      <c r="BM38" s="50">
        <f t="shared" si="37"/>
        <v>47.065170828572448</v>
      </c>
    </row>
    <row r="39" spans="1:65" ht="17" thickBot="1">
      <c r="E39" s="94">
        <v>20</v>
      </c>
      <c r="F39" s="75">
        <f t="shared" si="43"/>
        <v>-0.46735582791521796</v>
      </c>
      <c r="G39" s="99">
        <f t="shared" si="44"/>
        <v>0.1</v>
      </c>
      <c r="H39" s="98">
        <v>0</v>
      </c>
      <c r="I39" s="18">
        <f t="shared" si="8"/>
        <v>237</v>
      </c>
      <c r="J39" s="19">
        <v>650.4674884686558</v>
      </c>
      <c r="K39" s="17">
        <f t="shared" si="24"/>
        <v>0.36435333694840055</v>
      </c>
      <c r="M39" s="36">
        <f t="shared" si="9"/>
        <v>18128.822884176981</v>
      </c>
      <c r="N39" s="25">
        <f t="shared" si="10"/>
        <v>15831.386049916753</v>
      </c>
      <c r="O39" s="24">
        <v>20</v>
      </c>
      <c r="P39" s="144" cm="1">
        <f t="array" ref="P39">(bha*SUM(P38:Z38))/(1+bhb*SUM(P38:Z38))</f>
        <v>3934.3706661967012</v>
      </c>
      <c r="Q39" s="132">
        <f t="shared" si="46"/>
        <v>3087.2810644813749</v>
      </c>
      <c r="R39" s="132">
        <f t="shared" si="46"/>
        <v>2404.4194196824897</v>
      </c>
      <c r="S39" s="132">
        <f t="shared" si="46"/>
        <v>1865.7984620779964</v>
      </c>
      <c r="T39" s="132">
        <f t="shared" si="46"/>
        <v>1339.4042195909062</v>
      </c>
      <c r="U39" s="132">
        <f t="shared" si="46"/>
        <v>944.45852248566075</v>
      </c>
      <c r="V39" s="132">
        <f t="shared" si="46"/>
        <v>665.61883870206611</v>
      </c>
      <c r="W39" s="132">
        <f t="shared" si="46"/>
        <v>469.0986096751717</v>
      </c>
      <c r="X39" s="132">
        <f t="shared" si="46"/>
        <v>330.60797968005824</v>
      </c>
      <c r="Y39" s="132">
        <f t="shared" si="46"/>
        <v>233.01171634547865</v>
      </c>
      <c r="Z39" s="132">
        <f t="shared" si="39"/>
        <v>557.31655099885086</v>
      </c>
      <c r="AB39" s="34">
        <v>20</v>
      </c>
      <c r="AC39" s="19">
        <v>0</v>
      </c>
      <c r="AD39" s="19">
        <v>0</v>
      </c>
      <c r="AE39" s="19">
        <v>25</v>
      </c>
      <c r="AF39" s="19">
        <v>102</v>
      </c>
      <c r="AG39" s="19">
        <v>49</v>
      </c>
      <c r="AH39" s="19">
        <v>28</v>
      </c>
      <c r="AI39" s="19">
        <v>16</v>
      </c>
      <c r="AJ39" s="19">
        <v>9</v>
      </c>
      <c r="AK39" s="19">
        <v>5</v>
      </c>
      <c r="AL39" s="19">
        <v>2</v>
      </c>
      <c r="AM39" s="17">
        <v>1</v>
      </c>
      <c r="AO39" s="48">
        <v>20</v>
      </c>
      <c r="AP39" s="42">
        <f t="shared" si="12"/>
        <v>2.6662706008235182E-9</v>
      </c>
      <c r="AQ39" s="42">
        <f t="shared" si="13"/>
        <v>7.943099964778705E-6</v>
      </c>
      <c r="AR39" s="42">
        <f t="shared" si="14"/>
        <v>3.6525057598242173E-3</v>
      </c>
      <c r="AS39" s="42">
        <f t="shared" si="15"/>
        <v>8.1506959920156552E-2</v>
      </c>
      <c r="AT39" s="42">
        <f t="shared" si="16"/>
        <v>9.9423571624784782E-2</v>
      </c>
      <c r="AU39" s="42">
        <f t="shared" si="17"/>
        <v>9.9965710356892903E-2</v>
      </c>
      <c r="AV39" s="42">
        <f t="shared" si="18"/>
        <v>9.9996123080004634E-2</v>
      </c>
      <c r="AW39" s="42">
        <f t="shared" si="19"/>
        <v>9.9999278124083879E-2</v>
      </c>
      <c r="AX39" s="42">
        <f t="shared" si="20"/>
        <v>9.9999802499644741E-2</v>
      </c>
      <c r="AY39" s="42">
        <f t="shared" si="21"/>
        <v>9.9999927298087085E-2</v>
      </c>
      <c r="AZ39" s="42">
        <f t="shared" si="22"/>
        <v>9.9999966357194478E-2</v>
      </c>
      <c r="BB39" s="57">
        <v>20</v>
      </c>
      <c r="BC39" s="50">
        <f t="shared" si="27"/>
        <v>9.2816048142140072E-6</v>
      </c>
      <c r="BD39" s="50">
        <f t="shared" si="28"/>
        <v>2.1697421257505681E-2</v>
      </c>
      <c r="BE39" s="50">
        <f t="shared" si="29"/>
        <v>7.7568400259213632</v>
      </c>
      <c r="BF39" s="50">
        <f t="shared" si="30"/>
        <v>129.43759531246769</v>
      </c>
      <c r="BG39" s="50">
        <f t="shared" si="31"/>
        <v>112.39107646537907</v>
      </c>
      <c r="BH39" s="50">
        <f t="shared" si="32"/>
        <v>79.662490073062273</v>
      </c>
      <c r="BI39" s="50">
        <f t="shared" si="33"/>
        <v>56.159402554413717</v>
      </c>
      <c r="BJ39" s="50">
        <f t="shared" si="34"/>
        <v>39.579843887314837</v>
      </c>
      <c r="BK39" s="50">
        <f t="shared" si="35"/>
        <v>27.894940082576763</v>
      </c>
      <c r="BL39" s="50">
        <f t="shared" si="36"/>
        <v>19.66031068589341</v>
      </c>
      <c r="BM39" s="50">
        <f t="shared" si="37"/>
        <v>47.023475012602773</v>
      </c>
    </row>
    <row r="40" spans="1:65" ht="17" thickBot="1"/>
    <row r="41" spans="1:65">
      <c r="G41" s="58"/>
      <c r="AO41" s="156" t="s">
        <v>49</v>
      </c>
      <c r="AP41" s="157"/>
      <c r="AQ41" s="157"/>
      <c r="AR41" s="157"/>
      <c r="AS41" s="157"/>
      <c r="AT41" s="157"/>
      <c r="AU41" s="157"/>
      <c r="AV41" s="157"/>
      <c r="AW41" s="157"/>
      <c r="AX41" s="157"/>
      <c r="AY41" s="157"/>
      <c r="AZ41" s="158"/>
      <c r="BB41" s="171" t="s">
        <v>51</v>
      </c>
      <c r="BC41" s="172"/>
      <c r="BD41" s="172"/>
      <c r="BE41" s="172"/>
      <c r="BF41" s="172"/>
      <c r="BG41" s="172"/>
      <c r="BH41" s="172"/>
      <c r="BI41" s="172"/>
      <c r="BJ41" s="172"/>
      <c r="BK41" s="172"/>
      <c r="BL41" s="172"/>
      <c r="BM41" s="173"/>
    </row>
    <row r="42" spans="1:65">
      <c r="AO42" s="37"/>
      <c r="AP42" s="41" t="s">
        <v>37</v>
      </c>
      <c r="AQ42" s="41"/>
      <c r="AR42" s="41"/>
      <c r="AS42" s="41"/>
      <c r="AT42" s="41"/>
      <c r="AU42" s="41"/>
      <c r="AV42" s="41"/>
      <c r="AW42" s="41"/>
      <c r="AX42" s="41"/>
      <c r="AY42" s="41"/>
      <c r="AZ42" s="43"/>
      <c r="BB42" s="52"/>
      <c r="BC42" s="49" t="s">
        <v>37</v>
      </c>
      <c r="BD42" s="49"/>
      <c r="BE42" s="49"/>
      <c r="BF42" s="49"/>
      <c r="BG42" s="49"/>
      <c r="BH42" s="49"/>
      <c r="BI42" s="49"/>
      <c r="BJ42" s="49"/>
      <c r="BK42" s="49"/>
      <c r="BL42" s="49"/>
      <c r="BM42" s="53"/>
    </row>
    <row r="43" spans="1:65">
      <c r="AO43" s="46" t="s">
        <v>38</v>
      </c>
      <c r="AP43" s="44">
        <v>0</v>
      </c>
      <c r="AQ43" s="44">
        <v>1</v>
      </c>
      <c r="AR43" s="44">
        <v>2</v>
      </c>
      <c r="AS43" s="44">
        <v>3</v>
      </c>
      <c r="AT43" s="44">
        <v>4</v>
      </c>
      <c r="AU43" s="44">
        <v>5</v>
      </c>
      <c r="AV43" s="44">
        <v>6</v>
      </c>
      <c r="AW43" s="44">
        <v>7</v>
      </c>
      <c r="AX43" s="44">
        <v>8</v>
      </c>
      <c r="AY43" s="44">
        <v>9</v>
      </c>
      <c r="AZ43" s="45">
        <v>10</v>
      </c>
      <c r="BB43" s="54" t="s">
        <v>38</v>
      </c>
      <c r="BC43" s="51">
        <v>0</v>
      </c>
      <c r="BD43" s="51">
        <v>1</v>
      </c>
      <c r="BE43" s="51">
        <v>2</v>
      </c>
      <c r="BF43" s="51">
        <v>3</v>
      </c>
      <c r="BG43" s="51">
        <v>4</v>
      </c>
      <c r="BH43" s="51">
        <v>5</v>
      </c>
      <c r="BI43" s="51">
        <v>6</v>
      </c>
      <c r="BJ43" s="51">
        <v>7</v>
      </c>
      <c r="BK43" s="51">
        <v>8</v>
      </c>
      <c r="BL43" s="51">
        <v>9</v>
      </c>
      <c r="BM43" s="55">
        <v>10</v>
      </c>
    </row>
    <row r="44" spans="1:65">
      <c r="AO44" s="47">
        <v>1</v>
      </c>
      <c r="AP44" s="42">
        <f t="shared" ref="AP44:AZ44" si="47">AP20+M</f>
        <v>0.25000000266627059</v>
      </c>
      <c r="AQ44" s="42">
        <f t="shared" si="47"/>
        <v>0.25000794309996477</v>
      </c>
      <c r="AR44" s="42">
        <f t="shared" si="47"/>
        <v>0.25365250575982423</v>
      </c>
      <c r="AS44" s="42">
        <f t="shared" si="47"/>
        <v>0.33150695992015655</v>
      </c>
      <c r="AT44" s="42">
        <f t="shared" si="47"/>
        <v>0.34942357162478477</v>
      </c>
      <c r="AU44" s="42">
        <f t="shared" si="47"/>
        <v>0.34996571035689289</v>
      </c>
      <c r="AV44" s="42">
        <f t="shared" si="47"/>
        <v>0.34999612308000461</v>
      </c>
      <c r="AW44" s="42">
        <f t="shared" si="47"/>
        <v>0.34999927812408388</v>
      </c>
      <c r="AX44" s="42">
        <f t="shared" si="47"/>
        <v>0.34999980249964474</v>
      </c>
      <c r="AY44" s="42">
        <f t="shared" si="47"/>
        <v>0.3499999272980871</v>
      </c>
      <c r="AZ44" s="42">
        <f t="shared" si="47"/>
        <v>0.34999996635719449</v>
      </c>
      <c r="BB44" s="56">
        <v>1</v>
      </c>
      <c r="BC44" s="50">
        <f t="shared" ref="BC44:BC63" si="48">IFERROR(-LN(sigmaCC)-0.5*((LN(AC20)-LN(BC20))/sigmaCC)^2,0)</f>
        <v>0</v>
      </c>
      <c r="BD44" s="50">
        <f t="shared" ref="BD44:BD63" si="49">IFERROR(-LN(sigmaCC)-0.5*((LN(AD20)-LN(BD20))/sigmaCC)^2,0)</f>
        <v>0</v>
      </c>
      <c r="BE44" s="50">
        <f t="shared" ref="BE44:BE63" si="50">IFERROR(-LN(sigmaCC)-0.5*((LN(AE20)-LN(BE20))/sigmaCC)^2,0)</f>
        <v>-12.888137623318674</v>
      </c>
      <c r="BF44" s="50">
        <f t="shared" ref="BF44:BF63" si="51">IFERROR(-LN(sigmaCC)-0.5*((LN(AF20)-LN(BF20))/sigmaCC)^2,0)</f>
        <v>-4.7611671986290727</v>
      </c>
      <c r="BG44" s="50">
        <f t="shared" ref="BG44:BG63" si="52">IFERROR(-LN(sigmaCC)-0.5*((LN(AG20)-LN(BG20))/sigmaCC)^2,0)</f>
        <v>-4.1670181224184288</v>
      </c>
      <c r="BH44" s="50">
        <f t="shared" ref="BH44:BH63" si="53">IFERROR(-LN(sigmaCC)-0.5*((LN(AH20)-LN(BH20))/sigmaCC)^2,0)</f>
        <v>-4.2418018815781871</v>
      </c>
      <c r="BI44" s="50">
        <f t="shared" ref="BI44:BI63" si="54">IFERROR(-LN(sigmaCC)-0.5*((LN(AI20)-LN(BI20))/sigmaCC)^2,0)</f>
        <v>-4.2457803085135106</v>
      </c>
      <c r="BJ44" s="50">
        <f t="shared" ref="BJ44:BJ63" si="55">IFERROR(-LN(sigmaCC)-0.5*((LN(AJ20)-LN(BJ20))/sigmaCC)^2,0)</f>
        <v>-4.2347880475671822</v>
      </c>
      <c r="BK44" s="50">
        <f t="shared" ref="BK44:BK63" si="56">IFERROR(-LN(sigmaCC)-0.5*((LN(AK20)-LN(BK20))/sigmaCC)^2,0)</f>
        <v>-4.2476016127048064</v>
      </c>
      <c r="BL44" s="50">
        <f t="shared" ref="BL44:BL63" si="57">IFERROR(-LN(sigmaCC)-0.5*((LN(AL20)-LN(BL20))/sigmaCC)^2,0)</f>
        <v>-4.2483537348787515</v>
      </c>
      <c r="BM44" s="50">
        <f t="shared" ref="BM44:BM63" si="58">IFERROR(-LN(sigmaCC)-0.5*((LN(AM20)-LN(BM20))/sigmaCC)^2,0)</f>
        <v>-4.2111168113942838</v>
      </c>
    </row>
    <row r="45" spans="1:65">
      <c r="AO45" s="47">
        <v>2</v>
      </c>
      <c r="AP45" s="42">
        <f t="shared" ref="AP45:AZ45" si="59">AP21+M</f>
        <v>0.25000000266627059</v>
      </c>
      <c r="AQ45" s="42">
        <f t="shared" si="59"/>
        <v>0.25000794309996477</v>
      </c>
      <c r="AR45" s="42">
        <f t="shared" si="59"/>
        <v>0.25365250575982423</v>
      </c>
      <c r="AS45" s="42">
        <f t="shared" si="59"/>
        <v>0.33150695992015655</v>
      </c>
      <c r="AT45" s="42">
        <f t="shared" si="59"/>
        <v>0.34942357162478477</v>
      </c>
      <c r="AU45" s="42">
        <f t="shared" si="59"/>
        <v>0.34996571035689289</v>
      </c>
      <c r="AV45" s="42">
        <f t="shared" si="59"/>
        <v>0.34999612308000461</v>
      </c>
      <c r="AW45" s="42">
        <f t="shared" si="59"/>
        <v>0.34999927812408388</v>
      </c>
      <c r="AX45" s="42">
        <f t="shared" si="59"/>
        <v>0.34999980249964474</v>
      </c>
      <c r="AY45" s="42">
        <f t="shared" si="59"/>
        <v>0.3499999272980871</v>
      </c>
      <c r="AZ45" s="42">
        <f t="shared" si="59"/>
        <v>0.34999996635719449</v>
      </c>
      <c r="BB45" s="56">
        <v>2</v>
      </c>
      <c r="BC45" s="50">
        <f t="shared" si="48"/>
        <v>0</v>
      </c>
      <c r="BD45" s="50">
        <f t="shared" si="49"/>
        <v>0</v>
      </c>
      <c r="BE45" s="50">
        <f t="shared" si="50"/>
        <v>-16.430432594106112</v>
      </c>
      <c r="BF45" s="50">
        <f t="shared" si="51"/>
        <v>-4.5562758155396796</v>
      </c>
      <c r="BG45" s="50">
        <f t="shared" si="52"/>
        <v>-1.3815310042791276</v>
      </c>
      <c r="BH45" s="50">
        <f t="shared" si="53"/>
        <v>-1.7026728673197375</v>
      </c>
      <c r="BI45" s="50">
        <f t="shared" si="54"/>
        <v>-1.7902026403242512</v>
      </c>
      <c r="BJ45" s="50">
        <f t="shared" si="55"/>
        <v>-1.7799933978587359</v>
      </c>
      <c r="BK45" s="50">
        <f t="shared" si="56"/>
        <v>-1.7916627832419985</v>
      </c>
      <c r="BL45" s="50">
        <f t="shared" si="57"/>
        <v>-1.7523210040495161</v>
      </c>
      <c r="BM45" s="50">
        <f t="shared" si="58"/>
        <v>0.11726013288304993</v>
      </c>
    </row>
    <row r="46" spans="1:65">
      <c r="AO46" s="47">
        <v>3</v>
      </c>
      <c r="AP46" s="42">
        <f t="shared" ref="AP46:AZ46" si="60">AP22+M</f>
        <v>0.25000000266627059</v>
      </c>
      <c r="AQ46" s="42">
        <f t="shared" si="60"/>
        <v>0.25000794309996477</v>
      </c>
      <c r="AR46" s="42">
        <f t="shared" si="60"/>
        <v>0.25365250575982423</v>
      </c>
      <c r="AS46" s="42">
        <f t="shared" si="60"/>
        <v>0.33150695992015655</v>
      </c>
      <c r="AT46" s="42">
        <f t="shared" si="60"/>
        <v>0.34942357162478477</v>
      </c>
      <c r="AU46" s="42">
        <f t="shared" si="60"/>
        <v>0.34996571035689289</v>
      </c>
      <c r="AV46" s="42">
        <f t="shared" si="60"/>
        <v>0.34999612308000461</v>
      </c>
      <c r="AW46" s="42">
        <f t="shared" si="60"/>
        <v>0.34999927812408388</v>
      </c>
      <c r="AX46" s="42">
        <f t="shared" si="60"/>
        <v>0.34999980249964474</v>
      </c>
      <c r="AY46" s="42">
        <f t="shared" si="60"/>
        <v>0.3499999272980871</v>
      </c>
      <c r="AZ46" s="42">
        <f t="shared" si="60"/>
        <v>0.34999996635719449</v>
      </c>
      <c r="BB46" s="56">
        <v>3</v>
      </c>
      <c r="BC46" s="50">
        <f t="shared" si="48"/>
        <v>0</v>
      </c>
      <c r="BD46" s="50">
        <f t="shared" si="49"/>
        <v>0</v>
      </c>
      <c r="BE46" s="50">
        <f t="shared" si="50"/>
        <v>-6.0359259743900342</v>
      </c>
      <c r="BF46" s="50">
        <f t="shared" si="51"/>
        <v>-2.7170822943185726</v>
      </c>
      <c r="BG46" s="50">
        <f t="shared" si="52"/>
        <v>-0.53159726264248464</v>
      </c>
      <c r="BH46" s="50">
        <f t="shared" si="53"/>
        <v>0.33099444814373691</v>
      </c>
      <c r="BI46" s="50">
        <f t="shared" si="54"/>
        <v>0.16630310869914944</v>
      </c>
      <c r="BJ46" s="50">
        <f t="shared" si="55"/>
        <v>0.12732501597982993</v>
      </c>
      <c r="BK46" s="50">
        <f t="shared" si="56"/>
        <v>0.14932541533858912</v>
      </c>
      <c r="BL46" s="50">
        <f t="shared" si="57"/>
        <v>0.16758451587810308</v>
      </c>
      <c r="BM46" s="50">
        <f t="shared" si="58"/>
        <v>0.46795452024629991</v>
      </c>
    </row>
    <row r="47" spans="1:65">
      <c r="AO47" s="47">
        <v>4</v>
      </c>
      <c r="AP47" s="42">
        <f t="shared" ref="AP47:AZ47" si="61">AP23+M</f>
        <v>0.25000000266627059</v>
      </c>
      <c r="AQ47" s="42">
        <f t="shared" si="61"/>
        <v>0.25000794309996477</v>
      </c>
      <c r="AR47" s="42">
        <f t="shared" si="61"/>
        <v>0.25365250575982423</v>
      </c>
      <c r="AS47" s="42">
        <f t="shared" si="61"/>
        <v>0.33150695992015655</v>
      </c>
      <c r="AT47" s="42">
        <f t="shared" si="61"/>
        <v>0.34942357162478477</v>
      </c>
      <c r="AU47" s="42">
        <f t="shared" si="61"/>
        <v>0.34996571035689289</v>
      </c>
      <c r="AV47" s="42">
        <f t="shared" si="61"/>
        <v>0.34999612308000461</v>
      </c>
      <c r="AW47" s="42">
        <f t="shared" si="61"/>
        <v>0.34999927812408388</v>
      </c>
      <c r="AX47" s="42">
        <f t="shared" si="61"/>
        <v>0.34999980249964474</v>
      </c>
      <c r="AY47" s="42">
        <f t="shared" si="61"/>
        <v>0.3499999272980871</v>
      </c>
      <c r="AZ47" s="42">
        <f t="shared" si="61"/>
        <v>0.34999996635719449</v>
      </c>
      <c r="BB47" s="56">
        <v>4</v>
      </c>
      <c r="BC47" s="50">
        <f t="shared" si="48"/>
        <v>0</v>
      </c>
      <c r="BD47" s="50">
        <f t="shared" si="49"/>
        <v>0</v>
      </c>
      <c r="BE47" s="50">
        <f t="shared" si="50"/>
        <v>-10.500138587936318</v>
      </c>
      <c r="BF47" s="50">
        <f t="shared" si="51"/>
        <v>-4.2391429819673103</v>
      </c>
      <c r="BG47" s="50">
        <f t="shared" si="52"/>
        <v>-1.7054000502159519</v>
      </c>
      <c r="BH47" s="50">
        <f t="shared" si="53"/>
        <v>-0.10225158658755074</v>
      </c>
      <c r="BI47" s="50">
        <f t="shared" si="54"/>
        <v>0.53577513254906894</v>
      </c>
      <c r="BJ47" s="50">
        <f t="shared" si="55"/>
        <v>0.44479398742384174</v>
      </c>
      <c r="BK47" s="50">
        <f t="shared" si="56"/>
        <v>0.39748891719087143</v>
      </c>
      <c r="BL47" s="50">
        <f t="shared" si="57"/>
        <v>0.39862495767424455</v>
      </c>
      <c r="BM47" s="50">
        <f t="shared" si="58"/>
        <v>-0.22011492818457445</v>
      </c>
    </row>
    <row r="48" spans="1:65">
      <c r="AO48" s="47">
        <v>5</v>
      </c>
      <c r="AP48" s="42">
        <f t="shared" ref="AP48:AZ48" si="62">AP24+M</f>
        <v>0.25000000266627059</v>
      </c>
      <c r="AQ48" s="42">
        <f t="shared" si="62"/>
        <v>0.25000794309996477</v>
      </c>
      <c r="AR48" s="42">
        <f t="shared" si="62"/>
        <v>0.25365250575982423</v>
      </c>
      <c r="AS48" s="42">
        <f t="shared" si="62"/>
        <v>0.33150695992015655</v>
      </c>
      <c r="AT48" s="42">
        <f t="shared" si="62"/>
        <v>0.34942357162478477</v>
      </c>
      <c r="AU48" s="42">
        <f t="shared" si="62"/>
        <v>0.34996571035689289</v>
      </c>
      <c r="AV48" s="42">
        <f t="shared" si="62"/>
        <v>0.34999612308000461</v>
      </c>
      <c r="AW48" s="42">
        <f t="shared" si="62"/>
        <v>0.34999927812408388</v>
      </c>
      <c r="AX48" s="42">
        <f t="shared" si="62"/>
        <v>0.34999980249964474</v>
      </c>
      <c r="AY48" s="42">
        <f t="shared" si="62"/>
        <v>0.3499999272980871</v>
      </c>
      <c r="AZ48" s="42">
        <f t="shared" si="62"/>
        <v>0.34999996635719449</v>
      </c>
      <c r="BB48" s="56">
        <v>5</v>
      </c>
      <c r="BC48" s="50">
        <f t="shared" si="48"/>
        <v>0</v>
      </c>
      <c r="BD48" s="50">
        <f t="shared" si="49"/>
        <v>0</v>
      </c>
      <c r="BE48" s="50">
        <f t="shared" si="50"/>
        <v>-5.6121635375037791</v>
      </c>
      <c r="BF48" s="50">
        <f t="shared" si="51"/>
        <v>-3.3616091799405385</v>
      </c>
      <c r="BG48" s="50">
        <f t="shared" si="52"/>
        <v>-1.0314324908477333</v>
      </c>
      <c r="BH48" s="50">
        <f t="shared" si="53"/>
        <v>1.297833317709296E-2</v>
      </c>
      <c r="BI48" s="50">
        <f t="shared" si="54"/>
        <v>0.66342152141452282</v>
      </c>
      <c r="BJ48" s="50">
        <f t="shared" si="55"/>
        <v>0.59522116725593377</v>
      </c>
      <c r="BK48" s="50">
        <f t="shared" si="56"/>
        <v>0.64025915092557628</v>
      </c>
      <c r="BL48" s="50">
        <f t="shared" si="57"/>
        <v>0.66051249454864447</v>
      </c>
      <c r="BM48" s="50">
        <f t="shared" si="58"/>
        <v>-2.6074453672383573</v>
      </c>
    </row>
    <row r="49" spans="41:65">
      <c r="AO49" s="47">
        <v>6</v>
      </c>
      <c r="AP49" s="42">
        <f t="shared" ref="AP49:AZ49" si="63">AP25+M</f>
        <v>0.25000000266627059</v>
      </c>
      <c r="AQ49" s="42">
        <f t="shared" si="63"/>
        <v>0.25000794309996477</v>
      </c>
      <c r="AR49" s="42">
        <f t="shared" si="63"/>
        <v>0.25365250575982423</v>
      </c>
      <c r="AS49" s="42">
        <f t="shared" si="63"/>
        <v>0.33150695992015655</v>
      </c>
      <c r="AT49" s="42">
        <f t="shared" si="63"/>
        <v>0.34942357162478477</v>
      </c>
      <c r="AU49" s="42">
        <f t="shared" si="63"/>
        <v>0.34996571035689289</v>
      </c>
      <c r="AV49" s="42">
        <f t="shared" si="63"/>
        <v>0.34999612308000461</v>
      </c>
      <c r="AW49" s="42">
        <f t="shared" si="63"/>
        <v>0.34999927812408388</v>
      </c>
      <c r="AX49" s="42">
        <f t="shared" si="63"/>
        <v>0.34999980249964474</v>
      </c>
      <c r="AY49" s="42">
        <f t="shared" si="63"/>
        <v>0.3499999272980871</v>
      </c>
      <c r="AZ49" s="42">
        <f t="shared" si="63"/>
        <v>0.34999996635719449</v>
      </c>
      <c r="BB49" s="56">
        <v>6</v>
      </c>
      <c r="BC49" s="50">
        <f t="shared" si="48"/>
        <v>0</v>
      </c>
      <c r="BD49" s="50">
        <f t="shared" si="49"/>
        <v>0</v>
      </c>
      <c r="BE49" s="50">
        <f t="shared" si="50"/>
        <v>-5.6162637708410061</v>
      </c>
      <c r="BF49" s="50">
        <f t="shared" si="51"/>
        <v>-2.6970028552375531</v>
      </c>
      <c r="BG49" s="50">
        <f t="shared" si="52"/>
        <v>-1.5689532410542193</v>
      </c>
      <c r="BH49" s="50">
        <f t="shared" si="53"/>
        <v>-0.13578961178062809</v>
      </c>
      <c r="BI49" s="50">
        <f t="shared" si="54"/>
        <v>0.52055323420746269</v>
      </c>
      <c r="BJ49" s="50">
        <f t="shared" si="55"/>
        <v>0.64153464342022126</v>
      </c>
      <c r="BK49" s="50">
        <f t="shared" si="56"/>
        <v>0.18550996071417802</v>
      </c>
      <c r="BL49" s="50">
        <f t="shared" si="57"/>
        <v>0.3306687081440628</v>
      </c>
      <c r="BM49" s="50">
        <f t="shared" si="58"/>
        <v>-4.9205972162183595</v>
      </c>
    </row>
    <row r="50" spans="41:65">
      <c r="AO50" s="47">
        <v>7</v>
      </c>
      <c r="AP50" s="42">
        <f t="shared" ref="AP50:AZ50" si="64">AP26+M</f>
        <v>0.25000000266627059</v>
      </c>
      <c r="AQ50" s="42">
        <f t="shared" si="64"/>
        <v>0.25000794309996477</v>
      </c>
      <c r="AR50" s="42">
        <f t="shared" si="64"/>
        <v>0.25365250575982423</v>
      </c>
      <c r="AS50" s="42">
        <f t="shared" si="64"/>
        <v>0.33150695992015655</v>
      </c>
      <c r="AT50" s="42">
        <f t="shared" si="64"/>
        <v>0.34942357162478477</v>
      </c>
      <c r="AU50" s="42">
        <f t="shared" si="64"/>
        <v>0.34996571035689289</v>
      </c>
      <c r="AV50" s="42">
        <f t="shared" si="64"/>
        <v>0.34999612308000461</v>
      </c>
      <c r="AW50" s="42">
        <f t="shared" si="64"/>
        <v>0.34999927812408388</v>
      </c>
      <c r="AX50" s="42">
        <f t="shared" si="64"/>
        <v>0.34999980249964474</v>
      </c>
      <c r="AY50" s="42">
        <f t="shared" si="64"/>
        <v>0.3499999272980871</v>
      </c>
      <c r="AZ50" s="42">
        <f t="shared" si="64"/>
        <v>0.34999996635719449</v>
      </c>
      <c r="BB50" s="56">
        <v>7</v>
      </c>
      <c r="BC50" s="50">
        <f t="shared" si="48"/>
        <v>0</v>
      </c>
      <c r="BD50" s="50">
        <f t="shared" si="49"/>
        <v>0</v>
      </c>
      <c r="BE50" s="50">
        <f t="shared" si="50"/>
        <v>-3.6557334513358954</v>
      </c>
      <c r="BF50" s="50">
        <f t="shared" si="51"/>
        <v>-1.2817448217407952</v>
      </c>
      <c r="BG50" s="50">
        <f t="shared" si="52"/>
        <v>-0.44459598635122066</v>
      </c>
      <c r="BH50" s="50">
        <f t="shared" si="53"/>
        <v>-7.9962753048350987E-2</v>
      </c>
      <c r="BI50" s="50">
        <f t="shared" si="54"/>
        <v>0.60366121926879213</v>
      </c>
      <c r="BJ50" s="50">
        <f t="shared" si="55"/>
        <v>0.65848070410860782</v>
      </c>
      <c r="BK50" s="50">
        <f t="shared" si="56"/>
        <v>-9.8032517928601459E-2</v>
      </c>
      <c r="BL50" s="50">
        <f t="shared" si="57"/>
        <v>-1.4746675538855758</v>
      </c>
      <c r="BM50" s="50">
        <f t="shared" si="58"/>
        <v>-8.5767662642414013</v>
      </c>
    </row>
    <row r="51" spans="41:65">
      <c r="AO51" s="47">
        <v>8</v>
      </c>
      <c r="AP51" s="42">
        <f t="shared" ref="AP51:AZ51" si="65">AP27+M</f>
        <v>0.25000000266627059</v>
      </c>
      <c r="AQ51" s="42">
        <f t="shared" si="65"/>
        <v>0.25000794309996477</v>
      </c>
      <c r="AR51" s="42">
        <f t="shared" si="65"/>
        <v>0.25365250575982423</v>
      </c>
      <c r="AS51" s="42">
        <f t="shared" si="65"/>
        <v>0.33150695992015655</v>
      </c>
      <c r="AT51" s="42">
        <f t="shared" si="65"/>
        <v>0.34942357162478477</v>
      </c>
      <c r="AU51" s="42">
        <f t="shared" si="65"/>
        <v>0.34996571035689289</v>
      </c>
      <c r="AV51" s="42">
        <f t="shared" si="65"/>
        <v>0.34999612308000461</v>
      </c>
      <c r="AW51" s="42">
        <f t="shared" si="65"/>
        <v>0.34999927812408388</v>
      </c>
      <c r="AX51" s="42">
        <f t="shared" si="65"/>
        <v>0.34999980249964474</v>
      </c>
      <c r="AY51" s="42">
        <f t="shared" si="65"/>
        <v>0.3499999272980871</v>
      </c>
      <c r="AZ51" s="42">
        <f t="shared" si="65"/>
        <v>0.34999996635719449</v>
      </c>
      <c r="BB51" s="56">
        <v>8</v>
      </c>
      <c r="BC51" s="50">
        <f t="shared" si="48"/>
        <v>0</v>
      </c>
      <c r="BD51" s="50">
        <f t="shared" si="49"/>
        <v>0</v>
      </c>
      <c r="BE51" s="50">
        <f t="shared" si="50"/>
        <v>-5.3143266950533032</v>
      </c>
      <c r="BF51" s="50">
        <f t="shared" si="51"/>
        <v>-1.2846481830953977</v>
      </c>
      <c r="BG51" s="50">
        <f t="shared" si="52"/>
        <v>-0.10257000815062067</v>
      </c>
      <c r="BH51" s="50">
        <f t="shared" si="53"/>
        <v>0.23684792425159795</v>
      </c>
      <c r="BI51" s="50">
        <f t="shared" si="54"/>
        <v>0.4488583920494098</v>
      </c>
      <c r="BJ51" s="50">
        <f t="shared" si="55"/>
        <v>0.68156905056852202</v>
      </c>
      <c r="BK51" s="50">
        <f t="shared" si="56"/>
        <v>0.29417656957259847</v>
      </c>
      <c r="BL51" s="50">
        <f t="shared" si="57"/>
        <v>-0.95421719462091514</v>
      </c>
      <c r="BM51" s="50">
        <f t="shared" si="58"/>
        <v>-12.140986765446081</v>
      </c>
    </row>
    <row r="52" spans="41:65">
      <c r="AO52" s="47">
        <v>9</v>
      </c>
      <c r="AP52" s="42">
        <f t="shared" ref="AP52:AZ52" si="66">AP28+M</f>
        <v>0.25000000266627059</v>
      </c>
      <c r="AQ52" s="42">
        <f t="shared" si="66"/>
        <v>0.25000794309996477</v>
      </c>
      <c r="AR52" s="42">
        <f t="shared" si="66"/>
        <v>0.25365250575982423</v>
      </c>
      <c r="AS52" s="42">
        <f t="shared" si="66"/>
        <v>0.33150695992015655</v>
      </c>
      <c r="AT52" s="42">
        <f t="shared" si="66"/>
        <v>0.34942357162478477</v>
      </c>
      <c r="AU52" s="42">
        <f t="shared" si="66"/>
        <v>0.34996571035689289</v>
      </c>
      <c r="AV52" s="42">
        <f t="shared" si="66"/>
        <v>0.34999612308000461</v>
      </c>
      <c r="AW52" s="42">
        <f t="shared" si="66"/>
        <v>0.34999927812408388</v>
      </c>
      <c r="AX52" s="42">
        <f t="shared" si="66"/>
        <v>0.34999980249964474</v>
      </c>
      <c r="AY52" s="42">
        <f t="shared" si="66"/>
        <v>0.3499999272980871</v>
      </c>
      <c r="AZ52" s="42">
        <f t="shared" si="66"/>
        <v>0.34999996635719449</v>
      </c>
      <c r="BB52" s="56">
        <v>9</v>
      </c>
      <c r="BC52" s="50">
        <f t="shared" si="48"/>
        <v>0</v>
      </c>
      <c r="BD52" s="50">
        <f t="shared" si="49"/>
        <v>0</v>
      </c>
      <c r="BE52" s="50">
        <f t="shared" si="50"/>
        <v>-2.5926217805302638</v>
      </c>
      <c r="BF52" s="50">
        <f t="shared" si="51"/>
        <v>-0.28368940806859066</v>
      </c>
      <c r="BG52" s="50">
        <f t="shared" si="52"/>
        <v>0.49048003788880501</v>
      </c>
      <c r="BH52" s="50">
        <f t="shared" si="53"/>
        <v>0.67481038968716089</v>
      </c>
      <c r="BI52" s="50">
        <f t="shared" si="54"/>
        <v>0.68541086045115907</v>
      </c>
      <c r="BJ52" s="50">
        <f t="shared" si="55"/>
        <v>0.62390949661229922</v>
      </c>
      <c r="BK52" s="50">
        <f t="shared" si="56"/>
        <v>-9.8032511220697893E-2</v>
      </c>
      <c r="BL52" s="50">
        <f t="shared" si="57"/>
        <v>-0.95421718494161378</v>
      </c>
      <c r="BM52" s="50">
        <f t="shared" si="58"/>
        <v>-15.017664252349192</v>
      </c>
    </row>
    <row r="53" spans="41:65">
      <c r="AO53" s="47">
        <v>10</v>
      </c>
      <c r="AP53" s="42">
        <f t="shared" ref="AP53:AZ53" si="67">AP29+M</f>
        <v>0.25000000266627059</v>
      </c>
      <c r="AQ53" s="42">
        <f t="shared" si="67"/>
        <v>0.25000794309996477</v>
      </c>
      <c r="AR53" s="42">
        <f t="shared" si="67"/>
        <v>0.25365250575982423</v>
      </c>
      <c r="AS53" s="42">
        <f t="shared" si="67"/>
        <v>0.33150695992015655</v>
      </c>
      <c r="AT53" s="42">
        <f t="shared" si="67"/>
        <v>0.34942357162478477</v>
      </c>
      <c r="AU53" s="42">
        <f t="shared" si="67"/>
        <v>0.34996571035689289</v>
      </c>
      <c r="AV53" s="42">
        <f t="shared" si="67"/>
        <v>0.34999612308000461</v>
      </c>
      <c r="AW53" s="42">
        <f t="shared" si="67"/>
        <v>0.34999927812408388</v>
      </c>
      <c r="AX53" s="42">
        <f t="shared" si="67"/>
        <v>0.34999980249964474</v>
      </c>
      <c r="AY53" s="42">
        <f t="shared" si="67"/>
        <v>0.3499999272980871</v>
      </c>
      <c r="AZ53" s="42">
        <f t="shared" si="67"/>
        <v>0.34999996635719449</v>
      </c>
      <c r="BB53" s="56">
        <v>10</v>
      </c>
      <c r="BC53" s="50">
        <f t="shared" si="48"/>
        <v>0</v>
      </c>
      <c r="BD53" s="50">
        <f t="shared" si="49"/>
        <v>0</v>
      </c>
      <c r="BE53" s="50">
        <f t="shared" si="50"/>
        <v>0.4510493662187256</v>
      </c>
      <c r="BF53" s="50">
        <f t="shared" si="51"/>
        <v>0.60483866206130366</v>
      </c>
      <c r="BG53" s="50">
        <f t="shared" si="52"/>
        <v>0.648337162683149</v>
      </c>
      <c r="BH53" s="50">
        <f t="shared" si="53"/>
        <v>0.28989260692137858</v>
      </c>
      <c r="BI53" s="50">
        <f t="shared" si="54"/>
        <v>-0.1902747615184216</v>
      </c>
      <c r="BJ53" s="50">
        <f t="shared" si="55"/>
        <v>-0.56185172984180121</v>
      </c>
      <c r="BK53" s="50">
        <f t="shared" si="56"/>
        <v>-1.0541039825885012</v>
      </c>
      <c r="BL53" s="50">
        <f t="shared" si="57"/>
        <v>-3.1022676208720448</v>
      </c>
      <c r="BM53" s="50">
        <f t="shared" si="58"/>
        <v>-19.725992496121833</v>
      </c>
    </row>
    <row r="54" spans="41:65">
      <c r="AO54" s="47">
        <v>11</v>
      </c>
      <c r="AP54" s="42">
        <f t="shared" ref="AP54:AZ54" si="68">AP30+M</f>
        <v>0.25000000266627059</v>
      </c>
      <c r="AQ54" s="42">
        <f t="shared" si="68"/>
        <v>0.25000794309996477</v>
      </c>
      <c r="AR54" s="42">
        <f t="shared" si="68"/>
        <v>0.25365250575982423</v>
      </c>
      <c r="AS54" s="42">
        <f t="shared" si="68"/>
        <v>0.33150695992015655</v>
      </c>
      <c r="AT54" s="42">
        <f t="shared" si="68"/>
        <v>0.34942357162478477</v>
      </c>
      <c r="AU54" s="42">
        <f t="shared" si="68"/>
        <v>0.34996571035689289</v>
      </c>
      <c r="AV54" s="42">
        <f t="shared" si="68"/>
        <v>0.34999612308000461</v>
      </c>
      <c r="AW54" s="42">
        <f t="shared" si="68"/>
        <v>0.34999927812408388</v>
      </c>
      <c r="AX54" s="42">
        <f t="shared" si="68"/>
        <v>0.34999980249964474</v>
      </c>
      <c r="AY54" s="42">
        <f t="shared" si="68"/>
        <v>0.3499999272980871</v>
      </c>
      <c r="AZ54" s="42">
        <f t="shared" si="68"/>
        <v>0.34999996635719449</v>
      </c>
      <c r="BB54" s="56">
        <v>11</v>
      </c>
      <c r="BC54" s="50">
        <f t="shared" si="48"/>
        <v>0</v>
      </c>
      <c r="BD54" s="50">
        <f t="shared" si="49"/>
        <v>0</v>
      </c>
      <c r="BE54" s="50">
        <f t="shared" si="50"/>
        <v>-2.7794135725238829</v>
      </c>
      <c r="BF54" s="50">
        <f t="shared" si="51"/>
        <v>-0.25462662261411562</v>
      </c>
      <c r="BG54" s="50">
        <f t="shared" si="52"/>
        <v>0.26330051843802171</v>
      </c>
      <c r="BH54" s="50">
        <f t="shared" si="53"/>
        <v>0.65897887119492071</v>
      </c>
      <c r="BI54" s="50">
        <f t="shared" si="54"/>
        <v>0.64196122936441125</v>
      </c>
      <c r="BJ54" s="50">
        <f t="shared" si="55"/>
        <v>0.394991021394689</v>
      </c>
      <c r="BK54" s="50">
        <f t="shared" si="56"/>
        <v>6.6087427181061753E-2</v>
      </c>
      <c r="BL54" s="50">
        <f t="shared" si="57"/>
        <v>-0.23162824969811535</v>
      </c>
      <c r="BM54" s="50">
        <f t="shared" si="58"/>
        <v>-9.6099918830008697</v>
      </c>
    </row>
    <row r="55" spans="41:65">
      <c r="AO55" s="47">
        <v>12</v>
      </c>
      <c r="AP55" s="42">
        <f t="shared" ref="AP55:AZ55" si="69">AP31+M</f>
        <v>0.25000000266627059</v>
      </c>
      <c r="AQ55" s="42">
        <f t="shared" si="69"/>
        <v>0.25000794309996477</v>
      </c>
      <c r="AR55" s="42">
        <f t="shared" si="69"/>
        <v>0.25365250575982423</v>
      </c>
      <c r="AS55" s="42">
        <f t="shared" si="69"/>
        <v>0.33150695992015655</v>
      </c>
      <c r="AT55" s="42">
        <f t="shared" si="69"/>
        <v>0.34942357162478477</v>
      </c>
      <c r="AU55" s="42">
        <f t="shared" si="69"/>
        <v>0.34996571035689289</v>
      </c>
      <c r="AV55" s="42">
        <f t="shared" si="69"/>
        <v>0.34999612308000461</v>
      </c>
      <c r="AW55" s="42">
        <f t="shared" si="69"/>
        <v>0.34999927812408388</v>
      </c>
      <c r="AX55" s="42">
        <f t="shared" si="69"/>
        <v>0.34999980249964474</v>
      </c>
      <c r="AY55" s="42">
        <f t="shared" si="69"/>
        <v>0.3499999272980871</v>
      </c>
      <c r="AZ55" s="42">
        <f t="shared" si="69"/>
        <v>0.34999996635719449</v>
      </c>
      <c r="BB55" s="56">
        <v>12</v>
      </c>
      <c r="BC55" s="50">
        <f t="shared" si="48"/>
        <v>0</v>
      </c>
      <c r="BD55" s="50">
        <f t="shared" si="49"/>
        <v>0</v>
      </c>
      <c r="BE55" s="50">
        <f t="shared" si="50"/>
        <v>-3.3191668019177776</v>
      </c>
      <c r="BF55" s="50">
        <f t="shared" si="51"/>
        <v>-0.13937172121963759</v>
      </c>
      <c r="BG55" s="50">
        <f t="shared" si="52"/>
        <v>0.60396511496014771</v>
      </c>
      <c r="BH55" s="50">
        <f t="shared" si="53"/>
        <v>0.67402136534753654</v>
      </c>
      <c r="BI55" s="50">
        <f t="shared" si="54"/>
        <v>0.5929610490892343</v>
      </c>
      <c r="BJ55" s="50">
        <f t="shared" si="55"/>
        <v>9.7529196798400886E-2</v>
      </c>
      <c r="BK55" s="50">
        <f t="shared" si="56"/>
        <v>-0.48342938772173782</v>
      </c>
      <c r="BL55" s="50">
        <f t="shared" si="57"/>
        <v>-0.93798129891047377</v>
      </c>
      <c r="BM55" s="50">
        <f t="shared" si="58"/>
        <v>-9.538819495807795</v>
      </c>
    </row>
    <row r="56" spans="41:65">
      <c r="AO56" s="47">
        <v>13</v>
      </c>
      <c r="AP56" s="42">
        <f t="shared" ref="AP56:AZ56" si="70">AP32+M</f>
        <v>0.25000000266627059</v>
      </c>
      <c r="AQ56" s="42">
        <f t="shared" si="70"/>
        <v>0.25000794309996477</v>
      </c>
      <c r="AR56" s="42">
        <f t="shared" si="70"/>
        <v>0.25365250575982423</v>
      </c>
      <c r="AS56" s="42">
        <f t="shared" si="70"/>
        <v>0.33150695992015655</v>
      </c>
      <c r="AT56" s="42">
        <f t="shared" si="70"/>
        <v>0.34942357162478477</v>
      </c>
      <c r="AU56" s="42">
        <f t="shared" si="70"/>
        <v>0.34996571035689289</v>
      </c>
      <c r="AV56" s="42">
        <f t="shared" si="70"/>
        <v>0.34999612308000461</v>
      </c>
      <c r="AW56" s="42">
        <f t="shared" si="70"/>
        <v>0.34999927812408388</v>
      </c>
      <c r="AX56" s="42">
        <f t="shared" si="70"/>
        <v>0.34999980249964474</v>
      </c>
      <c r="AY56" s="42">
        <f t="shared" si="70"/>
        <v>0.3499999272980871</v>
      </c>
      <c r="AZ56" s="42">
        <f t="shared" si="70"/>
        <v>0.34999996635719449</v>
      </c>
      <c r="BB56" s="56">
        <v>13</v>
      </c>
      <c r="BC56" s="50">
        <f t="shared" si="48"/>
        <v>0</v>
      </c>
      <c r="BD56" s="50">
        <f t="shared" si="49"/>
        <v>0</v>
      </c>
      <c r="BE56" s="50">
        <f t="shared" si="50"/>
        <v>-2.5993414745101391</v>
      </c>
      <c r="BF56" s="50">
        <f t="shared" si="51"/>
        <v>0.23542103626850802</v>
      </c>
      <c r="BG56" s="50">
        <f t="shared" si="52"/>
        <v>0.68858989897434253</v>
      </c>
      <c r="BH56" s="50">
        <f t="shared" si="53"/>
        <v>0.58181893952215702</v>
      </c>
      <c r="BI56" s="50">
        <f t="shared" si="54"/>
        <v>0.46059691909859052</v>
      </c>
      <c r="BJ56" s="50">
        <f t="shared" si="55"/>
        <v>-0.24469727010444076</v>
      </c>
      <c r="BK56" s="50">
        <f t="shared" si="56"/>
        <v>-1.0490381309234933</v>
      </c>
      <c r="BL56" s="50">
        <f t="shared" si="57"/>
        <v>-2.1399611397225105</v>
      </c>
      <c r="BM56" s="50">
        <f t="shared" si="58"/>
        <v>-11.601822472551998</v>
      </c>
    </row>
    <row r="57" spans="41:65">
      <c r="AO57" s="47">
        <v>14</v>
      </c>
      <c r="AP57" s="42">
        <f t="shared" ref="AP57:AZ57" si="71">AP33+M</f>
        <v>0.25000000266627059</v>
      </c>
      <c r="AQ57" s="42">
        <f t="shared" si="71"/>
        <v>0.25000794309996477</v>
      </c>
      <c r="AR57" s="42">
        <f t="shared" si="71"/>
        <v>0.25365250575982423</v>
      </c>
      <c r="AS57" s="42">
        <f t="shared" si="71"/>
        <v>0.33150695992015655</v>
      </c>
      <c r="AT57" s="42">
        <f t="shared" si="71"/>
        <v>0.34942357162478477</v>
      </c>
      <c r="AU57" s="42">
        <f t="shared" si="71"/>
        <v>0.34996571035689289</v>
      </c>
      <c r="AV57" s="42">
        <f t="shared" si="71"/>
        <v>0.34999612308000461</v>
      </c>
      <c r="AW57" s="42">
        <f t="shared" si="71"/>
        <v>0.34999927812408388</v>
      </c>
      <c r="AX57" s="42">
        <f t="shared" si="71"/>
        <v>0.34999980249964474</v>
      </c>
      <c r="AY57" s="42">
        <f t="shared" si="71"/>
        <v>0.3499999272980871</v>
      </c>
      <c r="AZ57" s="42">
        <f t="shared" si="71"/>
        <v>0.34999996635719449</v>
      </c>
      <c r="BB57" s="56">
        <v>14</v>
      </c>
      <c r="BC57" s="50">
        <f t="shared" si="48"/>
        <v>0</v>
      </c>
      <c r="BD57" s="50">
        <f t="shared" si="49"/>
        <v>0</v>
      </c>
      <c r="BE57" s="50">
        <f t="shared" si="50"/>
        <v>-5.485686691848815</v>
      </c>
      <c r="BF57" s="50">
        <f t="shared" si="51"/>
        <v>0.31542297141390435</v>
      </c>
      <c r="BG57" s="50">
        <f t="shared" si="52"/>
        <v>0.67000875422936157</v>
      </c>
      <c r="BH57" s="50">
        <f t="shared" si="53"/>
        <v>0.38937665471002125</v>
      </c>
      <c r="BI57" s="50">
        <f t="shared" si="54"/>
        <v>-0.18359371959189863</v>
      </c>
      <c r="BJ57" s="50">
        <f t="shared" si="55"/>
        <v>-0.55357763838634677</v>
      </c>
      <c r="BK57" s="50">
        <f t="shared" si="56"/>
        <v>-1.8755560378892842</v>
      </c>
      <c r="BL57" s="50">
        <f t="shared" si="57"/>
        <v>-3.0704255925765853</v>
      </c>
      <c r="BM57" s="50">
        <f t="shared" si="58"/>
        <v>-14.574867265485102</v>
      </c>
    </row>
    <row r="58" spans="41:65">
      <c r="AO58" s="47">
        <v>15</v>
      </c>
      <c r="AP58" s="42">
        <f t="shared" ref="AP58:AZ58" si="72">AP34+M</f>
        <v>0.25000000266627059</v>
      </c>
      <c r="AQ58" s="42">
        <f t="shared" si="72"/>
        <v>0.25000794309996477</v>
      </c>
      <c r="AR58" s="42">
        <f t="shared" si="72"/>
        <v>0.25365250575982423</v>
      </c>
      <c r="AS58" s="42">
        <f t="shared" si="72"/>
        <v>0.33150695992015655</v>
      </c>
      <c r="AT58" s="42">
        <f t="shared" si="72"/>
        <v>0.34942357162478477</v>
      </c>
      <c r="AU58" s="42">
        <f t="shared" si="72"/>
        <v>0.34996571035689289</v>
      </c>
      <c r="AV58" s="42">
        <f t="shared" si="72"/>
        <v>0.34999612308000461</v>
      </c>
      <c r="AW58" s="42">
        <f t="shared" si="72"/>
        <v>0.34999927812408388</v>
      </c>
      <c r="AX58" s="42">
        <f t="shared" si="72"/>
        <v>0.34999980249964474</v>
      </c>
      <c r="AY58" s="42">
        <f t="shared" si="72"/>
        <v>0.3499999272980871</v>
      </c>
      <c r="AZ58" s="42">
        <f t="shared" si="72"/>
        <v>0.34999996635719449</v>
      </c>
      <c r="BB58" s="56">
        <v>15</v>
      </c>
      <c r="BC58" s="50">
        <f t="shared" si="48"/>
        <v>0</v>
      </c>
      <c r="BD58" s="50">
        <f t="shared" si="49"/>
        <v>0</v>
      </c>
      <c r="BE58" s="50">
        <f t="shared" si="50"/>
        <v>-4.1868454150580332</v>
      </c>
      <c r="BF58" s="50">
        <f t="shared" si="51"/>
        <v>0.26200433233046672</v>
      </c>
      <c r="BG58" s="50">
        <f t="shared" si="52"/>
        <v>0.59398518070822692</v>
      </c>
      <c r="BH58" s="50">
        <f t="shared" si="53"/>
        <v>0.13496162213776608</v>
      </c>
      <c r="BI58" s="50">
        <f t="shared" si="54"/>
        <v>-0.61956146533389711</v>
      </c>
      <c r="BJ58" s="50">
        <f t="shared" si="55"/>
        <v>-1.7909659458128386</v>
      </c>
      <c r="BK58" s="50">
        <f t="shared" si="56"/>
        <v>-2.4341980967418531</v>
      </c>
      <c r="BL58" s="50">
        <f t="shared" si="57"/>
        <v>-4.3899530086958505</v>
      </c>
      <c r="BM58" s="50">
        <f t="shared" si="58"/>
        <v>-19.34517321841755</v>
      </c>
    </row>
    <row r="59" spans="41:65">
      <c r="AO59" s="47">
        <v>16</v>
      </c>
      <c r="AP59" s="42">
        <f t="shared" ref="AP59:AZ59" si="73">AP35+M</f>
        <v>0.25000000266627059</v>
      </c>
      <c r="AQ59" s="42">
        <f t="shared" si="73"/>
        <v>0.25000794309996477</v>
      </c>
      <c r="AR59" s="42">
        <f t="shared" si="73"/>
        <v>0.25365250575982423</v>
      </c>
      <c r="AS59" s="42">
        <f t="shared" si="73"/>
        <v>0.33150695992015655</v>
      </c>
      <c r="AT59" s="42">
        <f t="shared" si="73"/>
        <v>0.34942357162478477</v>
      </c>
      <c r="AU59" s="42">
        <f t="shared" si="73"/>
        <v>0.34996571035689289</v>
      </c>
      <c r="AV59" s="42">
        <f t="shared" si="73"/>
        <v>0.34999612308000461</v>
      </c>
      <c r="AW59" s="42">
        <f t="shared" si="73"/>
        <v>0.34999927812408388</v>
      </c>
      <c r="AX59" s="42">
        <f t="shared" si="73"/>
        <v>0.34999980249964474</v>
      </c>
      <c r="AY59" s="42">
        <f t="shared" si="73"/>
        <v>0.3499999272980871</v>
      </c>
      <c r="AZ59" s="42">
        <f t="shared" si="73"/>
        <v>0.34999996635719449</v>
      </c>
      <c r="BB59" s="56">
        <v>16</v>
      </c>
      <c r="BC59" s="50">
        <f t="shared" si="48"/>
        <v>0</v>
      </c>
      <c r="BD59" s="50">
        <f t="shared" si="49"/>
        <v>0</v>
      </c>
      <c r="BE59" s="50">
        <f t="shared" si="50"/>
        <v>-3.32239657827831</v>
      </c>
      <c r="BF59" s="50">
        <f t="shared" si="51"/>
        <v>0.47601066204284626</v>
      </c>
      <c r="BG59" s="50">
        <f t="shared" si="52"/>
        <v>0.62115764295608977</v>
      </c>
      <c r="BH59" s="50">
        <f t="shared" si="53"/>
        <v>-0.12750523264624569</v>
      </c>
      <c r="BI59" s="50">
        <f t="shared" si="54"/>
        <v>-1.0654965141772155</v>
      </c>
      <c r="BJ59" s="50">
        <f t="shared" si="55"/>
        <v>-2.1588894688566111</v>
      </c>
      <c r="BK59" s="50">
        <f t="shared" si="56"/>
        <v>-4.0357202330389308</v>
      </c>
      <c r="BL59" s="50">
        <f t="shared" si="57"/>
        <v>-4.3860865136794276</v>
      </c>
      <c r="BM59" s="50">
        <f t="shared" si="58"/>
        <v>-19.314573139160686</v>
      </c>
    </row>
    <row r="60" spans="41:65">
      <c r="AO60" s="47">
        <v>17</v>
      </c>
      <c r="AP60" s="42">
        <f t="shared" ref="AP60:AZ60" si="74">AP36+M</f>
        <v>0.25000000266627059</v>
      </c>
      <c r="AQ60" s="42">
        <f t="shared" si="74"/>
        <v>0.25000794309996477</v>
      </c>
      <c r="AR60" s="42">
        <f t="shared" si="74"/>
        <v>0.25365250575982423</v>
      </c>
      <c r="AS60" s="42">
        <f t="shared" si="74"/>
        <v>0.33150695992015655</v>
      </c>
      <c r="AT60" s="42">
        <f t="shared" si="74"/>
        <v>0.34942357162478477</v>
      </c>
      <c r="AU60" s="42">
        <f t="shared" si="74"/>
        <v>0.34996571035689289</v>
      </c>
      <c r="AV60" s="42">
        <f t="shared" si="74"/>
        <v>0.34999612308000461</v>
      </c>
      <c r="AW60" s="42">
        <f t="shared" si="74"/>
        <v>0.34999927812408388</v>
      </c>
      <c r="AX60" s="42">
        <f t="shared" si="74"/>
        <v>0.34999980249964474</v>
      </c>
      <c r="AY60" s="42">
        <f t="shared" si="74"/>
        <v>0.3499999272980871</v>
      </c>
      <c r="AZ60" s="42">
        <f t="shared" si="74"/>
        <v>0.34999996635719449</v>
      </c>
      <c r="BB60" s="56">
        <v>17</v>
      </c>
      <c r="BC60" s="50">
        <f t="shared" si="48"/>
        <v>0</v>
      </c>
      <c r="BD60" s="50">
        <f t="shared" si="49"/>
        <v>0</v>
      </c>
      <c r="BE60" s="50">
        <f t="shared" si="50"/>
        <v>-3.846792827247203</v>
      </c>
      <c r="BF60" s="50">
        <f t="shared" si="51"/>
        <v>0.65362262639360968</v>
      </c>
      <c r="BG60" s="50">
        <f t="shared" si="52"/>
        <v>0.38665055461086323</v>
      </c>
      <c r="BH60" s="50">
        <f t="shared" si="53"/>
        <v>-0.25685173528918459</v>
      </c>
      <c r="BI60" s="50">
        <f t="shared" si="54"/>
        <v>-1.8978017278507426</v>
      </c>
      <c r="BJ60" s="50">
        <f t="shared" si="55"/>
        <v>-3.6969725602858192</v>
      </c>
      <c r="BK60" s="50">
        <f t="shared" si="56"/>
        <v>-5.2211387755967493</v>
      </c>
      <c r="BL60" s="50">
        <f t="shared" si="57"/>
        <v>-6.3818212291393035</v>
      </c>
      <c r="BM60" s="50">
        <f t="shared" si="58"/>
        <v>-29.015789893801784</v>
      </c>
    </row>
    <row r="61" spans="41:65">
      <c r="AO61" s="47">
        <v>18</v>
      </c>
      <c r="AP61" s="42">
        <f t="shared" ref="AP61:AZ61" si="75">AP37+M</f>
        <v>0.25000000266627059</v>
      </c>
      <c r="AQ61" s="42">
        <f t="shared" si="75"/>
        <v>0.25000794309996477</v>
      </c>
      <c r="AR61" s="42">
        <f t="shared" si="75"/>
        <v>0.25365250575982423</v>
      </c>
      <c r="AS61" s="42">
        <f t="shared" si="75"/>
        <v>0.33150695992015655</v>
      </c>
      <c r="AT61" s="42">
        <f t="shared" si="75"/>
        <v>0.34942357162478477</v>
      </c>
      <c r="AU61" s="42">
        <f t="shared" si="75"/>
        <v>0.34996571035689289</v>
      </c>
      <c r="AV61" s="42">
        <f t="shared" si="75"/>
        <v>0.34999612308000461</v>
      </c>
      <c r="AW61" s="42">
        <f t="shared" si="75"/>
        <v>0.34999927812408388</v>
      </c>
      <c r="AX61" s="42">
        <f t="shared" si="75"/>
        <v>0.34999980249964474</v>
      </c>
      <c r="AY61" s="42">
        <f t="shared" si="75"/>
        <v>0.3499999272980871</v>
      </c>
      <c r="AZ61" s="42">
        <f t="shared" si="75"/>
        <v>0.34999996635719449</v>
      </c>
      <c r="BB61" s="56">
        <v>18</v>
      </c>
      <c r="BC61" s="50">
        <f t="shared" si="48"/>
        <v>0</v>
      </c>
      <c r="BD61" s="50">
        <f t="shared" si="49"/>
        <v>0</v>
      </c>
      <c r="BE61" s="50">
        <f t="shared" si="50"/>
        <v>-3.8471252647643484</v>
      </c>
      <c r="BF61" s="50">
        <f t="shared" si="51"/>
        <v>0.68403298963403036</v>
      </c>
      <c r="BG61" s="50">
        <f t="shared" si="52"/>
        <v>-1.4846773886369791E-2</v>
      </c>
      <c r="BH61" s="50">
        <f t="shared" si="53"/>
        <v>-0.75730262383324953</v>
      </c>
      <c r="BI61" s="50">
        <f t="shared" si="54"/>
        <v>-1.8970951086221723</v>
      </c>
      <c r="BJ61" s="50">
        <f t="shared" si="55"/>
        <v>-4.4214351839550607</v>
      </c>
      <c r="BK61" s="50">
        <f t="shared" si="56"/>
        <v>-6.8535381952345791</v>
      </c>
      <c r="BL61" s="50">
        <f t="shared" si="57"/>
        <v>-9.7577742679439261</v>
      </c>
      <c r="BM61" s="50">
        <f t="shared" si="58"/>
        <v>-28.993100443217575</v>
      </c>
    </row>
    <row r="62" spans="41:65">
      <c r="AO62" s="47">
        <v>19</v>
      </c>
      <c r="AP62" s="42">
        <f t="shared" ref="AP62:AZ62" si="76">AP38+M</f>
        <v>0.25000000266627059</v>
      </c>
      <c r="AQ62" s="42">
        <f t="shared" si="76"/>
        <v>0.25000794309996477</v>
      </c>
      <c r="AR62" s="42">
        <f t="shared" si="76"/>
        <v>0.25365250575982423</v>
      </c>
      <c r="AS62" s="42">
        <f t="shared" si="76"/>
        <v>0.33150695992015655</v>
      </c>
      <c r="AT62" s="42">
        <f t="shared" si="76"/>
        <v>0.34942357162478477</v>
      </c>
      <c r="AU62" s="42">
        <f t="shared" si="76"/>
        <v>0.34996571035689289</v>
      </c>
      <c r="AV62" s="42">
        <f t="shared" si="76"/>
        <v>0.34999612308000461</v>
      </c>
      <c r="AW62" s="42">
        <f t="shared" si="76"/>
        <v>0.34999927812408388</v>
      </c>
      <c r="AX62" s="42">
        <f t="shared" si="76"/>
        <v>0.34999980249964474</v>
      </c>
      <c r="AY62" s="42">
        <f t="shared" si="76"/>
        <v>0.3499999272980871</v>
      </c>
      <c r="AZ62" s="42">
        <f t="shared" si="76"/>
        <v>0.34999996635719449</v>
      </c>
      <c r="BB62" s="56">
        <v>19</v>
      </c>
      <c r="BC62" s="50">
        <f t="shared" si="48"/>
        <v>0</v>
      </c>
      <c r="BD62" s="50">
        <f t="shared" si="49"/>
        <v>0</v>
      </c>
      <c r="BE62" s="50">
        <f t="shared" si="50"/>
        <v>-2.784727128346121</v>
      </c>
      <c r="BF62" s="50">
        <f t="shared" si="51"/>
        <v>0.63405224782046588</v>
      </c>
      <c r="BG62" s="50">
        <f t="shared" si="52"/>
        <v>-0.27760119625790192</v>
      </c>
      <c r="BH62" s="50">
        <f t="shared" si="53"/>
        <v>-0.97082992391462952</v>
      </c>
      <c r="BI62" s="50">
        <f t="shared" si="54"/>
        <v>-1.8965507078860524</v>
      </c>
      <c r="BJ62" s="50">
        <f t="shared" si="55"/>
        <v>-3.6948486741836515</v>
      </c>
      <c r="BK62" s="50">
        <f t="shared" si="56"/>
        <v>-6.8519593331432791</v>
      </c>
      <c r="BL62" s="50">
        <f t="shared" si="57"/>
        <v>-9.7553173151513199</v>
      </c>
      <c r="BM62" s="50">
        <f t="shared" si="58"/>
        <v>-28.975469642379466</v>
      </c>
    </row>
    <row r="63" spans="41:65" ht="17" thickBot="1">
      <c r="AO63" s="48">
        <v>20</v>
      </c>
      <c r="AP63" s="42">
        <f t="shared" ref="AP63:AZ63" si="77">AP39+M</f>
        <v>0.25000000266627059</v>
      </c>
      <c r="AQ63" s="42">
        <f t="shared" si="77"/>
        <v>0.25000794309996477</v>
      </c>
      <c r="AR63" s="42">
        <f t="shared" si="77"/>
        <v>0.25365250575982423</v>
      </c>
      <c r="AS63" s="42">
        <f t="shared" si="77"/>
        <v>0.33150695992015655</v>
      </c>
      <c r="AT63" s="42">
        <f t="shared" si="77"/>
        <v>0.34942357162478477</v>
      </c>
      <c r="AU63" s="42">
        <f t="shared" si="77"/>
        <v>0.34996571035689289</v>
      </c>
      <c r="AV63" s="42">
        <f t="shared" si="77"/>
        <v>0.34999612308000461</v>
      </c>
      <c r="AW63" s="42">
        <f t="shared" si="77"/>
        <v>0.34999927812408388</v>
      </c>
      <c r="AX63" s="42">
        <f t="shared" si="77"/>
        <v>0.34999980249964474</v>
      </c>
      <c r="AY63" s="42">
        <f t="shared" si="77"/>
        <v>0.3499999272980871</v>
      </c>
      <c r="AZ63" s="42">
        <f t="shared" si="77"/>
        <v>0.34999996635719449</v>
      </c>
      <c r="BB63" s="57">
        <v>20</v>
      </c>
      <c r="BC63" s="50">
        <f t="shared" si="48"/>
        <v>0</v>
      </c>
      <c r="BD63" s="50">
        <f t="shared" si="49"/>
        <v>0</v>
      </c>
      <c r="BE63" s="50">
        <f t="shared" si="50"/>
        <v>-2.0460606824284242</v>
      </c>
      <c r="BF63" s="50">
        <f t="shared" si="51"/>
        <v>0.57964386710847549</v>
      </c>
      <c r="BG63" s="50">
        <f t="shared" si="52"/>
        <v>-0.68519816785527576</v>
      </c>
      <c r="BH63" s="50">
        <f t="shared" si="53"/>
        <v>-1.4933878079510738</v>
      </c>
      <c r="BI63" s="50">
        <f t="shared" si="54"/>
        <v>-2.4599426561645981</v>
      </c>
      <c r="BJ63" s="50">
        <f t="shared" si="55"/>
        <v>-3.6941400974291261</v>
      </c>
      <c r="BK63" s="50">
        <f t="shared" si="56"/>
        <v>-5.2168257081259766</v>
      </c>
      <c r="BL63" s="50">
        <f t="shared" si="57"/>
        <v>-9.7534595289990129</v>
      </c>
      <c r="BM63" s="50">
        <f t="shared" si="58"/>
        <v>-28.961816615222531</v>
      </c>
    </row>
  </sheetData>
  <mergeCells count="16">
    <mergeCell ref="AO41:AZ41"/>
    <mergeCell ref="BB41:BM41"/>
    <mergeCell ref="A20:C20"/>
    <mergeCell ref="A25:C25"/>
    <mergeCell ref="A26:A27"/>
    <mergeCell ref="A28:A30"/>
    <mergeCell ref="AB17:AM17"/>
    <mergeCell ref="AO17:AZ17"/>
    <mergeCell ref="BB17:BM17"/>
    <mergeCell ref="A1:C1"/>
    <mergeCell ref="A2:A3"/>
    <mergeCell ref="A4:A6"/>
    <mergeCell ref="A9:A10"/>
    <mergeCell ref="A13:C13"/>
    <mergeCell ref="O17:Z17"/>
    <mergeCell ref="E11:S16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1458-B6E5-5540-B9C0-08601CE27DDF}">
  <dimension ref="A1:BN63"/>
  <sheetViews>
    <sheetView topLeftCell="Q20" zoomScale="120" zoomScaleNormal="120" workbookViewId="0">
      <selection activeCell="AB42" sqref="AB42"/>
    </sheetView>
  </sheetViews>
  <sheetFormatPr baseColWidth="10" defaultRowHeight="16"/>
  <cols>
    <col min="1" max="1" width="12.140625" style="94" customWidth="1"/>
    <col min="2" max="2" width="10.7109375" style="94"/>
    <col min="3" max="3" width="13.42578125" style="94" bestFit="1" customWidth="1"/>
    <col min="4" max="5" width="13.42578125" style="94" customWidth="1"/>
    <col min="6" max="6" width="10.7109375" style="94"/>
    <col min="7" max="7" width="8.140625" style="94" customWidth="1"/>
    <col min="8" max="8" width="7.5703125" style="94" customWidth="1"/>
    <col min="9" max="9" width="10.7109375" style="94"/>
    <col min="10" max="10" width="6.140625" style="94" customWidth="1"/>
    <col min="11" max="11" width="7.85546875" style="94" customWidth="1"/>
    <col min="12" max="12" width="10" style="94" customWidth="1"/>
    <col min="13" max="13" width="9" style="94" customWidth="1"/>
    <col min="14" max="16" width="6.140625" style="94" customWidth="1"/>
    <col min="17" max="27" width="5.28515625" style="94" customWidth="1"/>
    <col min="28" max="29" width="5.42578125" style="94" customWidth="1"/>
    <col min="30" max="40" width="6.140625" style="94" customWidth="1"/>
    <col min="41" max="41" width="10.7109375" style="94"/>
    <col min="42" max="53" width="5.42578125" style="94" customWidth="1"/>
    <col min="54" max="54" width="10.7109375" style="94"/>
    <col min="55" max="66" width="4.7109375" style="94" customWidth="1"/>
    <col min="67" max="16384" width="10.7109375" style="94"/>
  </cols>
  <sheetData>
    <row r="1" spans="1:20">
      <c r="A1" s="146" t="s">
        <v>0</v>
      </c>
      <c r="B1" s="147"/>
      <c r="C1" s="148"/>
      <c r="D1" s="108"/>
      <c r="E1" s="108"/>
      <c r="H1" s="10" t="s">
        <v>31</v>
      </c>
      <c r="I1" s="11"/>
      <c r="J1" s="11"/>
      <c r="K1" s="11"/>
      <c r="L1" s="11"/>
      <c r="M1" s="12"/>
      <c r="N1" s="12"/>
      <c r="O1" s="12"/>
      <c r="P1" s="12"/>
      <c r="Q1" s="12"/>
      <c r="R1" s="12"/>
      <c r="S1" s="12"/>
      <c r="T1" s="13"/>
    </row>
    <row r="2" spans="1:20">
      <c r="A2" s="149" t="s">
        <v>1</v>
      </c>
      <c r="B2" s="1" t="s">
        <v>2</v>
      </c>
      <c r="C2" s="9">
        <v>1.4999999999999999E-7</v>
      </c>
      <c r="D2" s="109"/>
      <c r="E2" s="109"/>
      <c r="H2" s="86" t="s">
        <v>22</v>
      </c>
      <c r="I2" s="87" t="s">
        <v>23</v>
      </c>
      <c r="J2" s="1"/>
      <c r="K2" s="1"/>
      <c r="L2" s="1"/>
      <c r="M2" s="1"/>
      <c r="N2" s="1"/>
      <c r="O2" s="1"/>
      <c r="P2" s="1"/>
      <c r="Q2" s="1"/>
      <c r="R2" s="1"/>
      <c r="S2" s="1"/>
      <c r="T2" s="2"/>
    </row>
    <row r="3" spans="1:20">
      <c r="A3" s="149"/>
      <c r="B3" s="1" t="s">
        <v>3</v>
      </c>
      <c r="C3" s="2">
        <v>3.1</v>
      </c>
      <c r="D3" s="1"/>
      <c r="E3" s="1"/>
      <c r="H3" s="3" t="s">
        <v>28</v>
      </c>
      <c r="I3" s="1" t="s">
        <v>24</v>
      </c>
      <c r="J3" s="1">
        <v>0</v>
      </c>
      <c r="K3" s="1">
        <v>1</v>
      </c>
      <c r="L3" s="1">
        <v>2</v>
      </c>
      <c r="M3" s="1">
        <v>3</v>
      </c>
      <c r="N3" s="1">
        <v>4</v>
      </c>
      <c r="O3" s="1">
        <v>5</v>
      </c>
      <c r="P3" s="1">
        <v>6</v>
      </c>
      <c r="Q3" s="1">
        <v>7</v>
      </c>
      <c r="R3" s="1">
        <v>8</v>
      </c>
      <c r="S3" s="1">
        <v>9</v>
      </c>
      <c r="T3" s="2">
        <v>10</v>
      </c>
    </row>
    <row r="4" spans="1:20">
      <c r="A4" s="150" t="s">
        <v>4</v>
      </c>
      <c r="B4" s="1" t="s">
        <v>5</v>
      </c>
      <c r="C4" s="2">
        <v>350</v>
      </c>
      <c r="D4" s="1"/>
      <c r="E4" s="1"/>
      <c r="H4" s="3" t="s">
        <v>81</v>
      </c>
      <c r="I4" s="1" t="s">
        <v>25</v>
      </c>
      <c r="J4" s="1">
        <f t="shared" ref="J4:T4" si="0">Linf-(Linf-Lo)*EXP(-vbk*J$3)</f>
        <v>0.60000000000002274</v>
      </c>
      <c r="K4" s="1">
        <f t="shared" si="0"/>
        <v>80.594575920233979</v>
      </c>
      <c r="L4" s="1">
        <f t="shared" si="0"/>
        <v>142.27452053921411</v>
      </c>
      <c r="M4" s="1">
        <f t="shared" si="0"/>
        <v>189.83293964995491</v>
      </c>
      <c r="N4" s="1">
        <f t="shared" si="0"/>
        <v>226.50293412360222</v>
      </c>
      <c r="O4" s="1">
        <f t="shared" si="0"/>
        <v>254.777391513916</v>
      </c>
      <c r="P4" s="1">
        <f t="shared" si="0"/>
        <v>276.57845672245281</v>
      </c>
      <c r="Q4" s="1">
        <f t="shared" si="0"/>
        <v>293.38820262370206</v>
      </c>
      <c r="R4" s="1">
        <f t="shared" si="0"/>
        <v>306.34938385781533</v>
      </c>
      <c r="S4" s="1">
        <f t="shared" si="0"/>
        <v>316.34312320226576</v>
      </c>
      <c r="T4" s="2">
        <f t="shared" si="0"/>
        <v>324.04881177191174</v>
      </c>
    </row>
    <row r="5" spans="1:20">
      <c r="A5" s="150"/>
      <c r="B5" s="1" t="s">
        <v>6</v>
      </c>
      <c r="C5" s="2">
        <v>0.26</v>
      </c>
      <c r="D5" s="1"/>
      <c r="E5" s="1"/>
      <c r="H5" s="3" t="s">
        <v>33</v>
      </c>
      <c r="I5" s="1" t="s">
        <v>26</v>
      </c>
      <c r="J5" s="1">
        <f t="shared" ref="J5:T5" si="1">lwa*(J$4^lwb)</f>
        <v>3.0786487014787529E-8</v>
      </c>
      <c r="K5" s="1">
        <f t="shared" si="1"/>
        <v>0.12179775510938466</v>
      </c>
      <c r="L5" s="1">
        <f t="shared" si="1"/>
        <v>0.70922716923537987</v>
      </c>
      <c r="M5" s="1">
        <f t="shared" si="1"/>
        <v>1.7339762130984733</v>
      </c>
      <c r="N5" s="1">
        <f t="shared" si="1"/>
        <v>2.997920687322178</v>
      </c>
      <c r="O5" s="1">
        <f t="shared" si="1"/>
        <v>4.3170791220003428</v>
      </c>
      <c r="P5" s="1">
        <f t="shared" si="1"/>
        <v>5.5683707165183316</v>
      </c>
      <c r="Q5" s="1">
        <f t="shared" si="1"/>
        <v>6.6859552163518652</v>
      </c>
      <c r="R5" s="1">
        <f t="shared" si="1"/>
        <v>7.6447624304444846</v>
      </c>
      <c r="S5" s="1">
        <f t="shared" si="1"/>
        <v>8.4446624168383195</v>
      </c>
      <c r="T5" s="2">
        <f t="shared" si="1"/>
        <v>9.0987891765031517</v>
      </c>
    </row>
    <row r="6" spans="1:20">
      <c r="A6" s="150"/>
      <c r="B6" s="1" t="s">
        <v>19</v>
      </c>
      <c r="C6" s="2">
        <v>0.6</v>
      </c>
      <c r="D6" s="1"/>
      <c r="E6" s="1"/>
      <c r="H6" s="3" t="s">
        <v>30</v>
      </c>
      <c r="I6" s="1" t="s">
        <v>27</v>
      </c>
      <c r="J6" s="1">
        <f t="shared" ref="J6:T6" si="2">MAX(0,J5-Wmat)</f>
        <v>0</v>
      </c>
      <c r="K6" s="1">
        <f t="shared" si="2"/>
        <v>0</v>
      </c>
      <c r="L6" s="1">
        <f t="shared" si="2"/>
        <v>0</v>
      </c>
      <c r="M6" s="1">
        <f t="shared" si="2"/>
        <v>0.23397621309847327</v>
      </c>
      <c r="N6" s="1">
        <f t="shared" si="2"/>
        <v>1.497920687322178</v>
      </c>
      <c r="O6" s="1">
        <f t="shared" si="2"/>
        <v>2.8170791220003428</v>
      </c>
      <c r="P6" s="1">
        <f t="shared" si="2"/>
        <v>4.0683707165183316</v>
      </c>
      <c r="Q6" s="1">
        <f t="shared" si="2"/>
        <v>5.1859552163518652</v>
      </c>
      <c r="R6" s="1">
        <f t="shared" si="2"/>
        <v>6.1447624304444846</v>
      </c>
      <c r="S6" s="1">
        <f t="shared" si="2"/>
        <v>6.9446624168383195</v>
      </c>
      <c r="T6" s="2">
        <f t="shared" si="2"/>
        <v>7.5987891765031517</v>
      </c>
    </row>
    <row r="7" spans="1:20">
      <c r="A7" s="85" t="s">
        <v>27</v>
      </c>
      <c r="B7" s="1" t="s">
        <v>7</v>
      </c>
      <c r="C7" s="2">
        <v>1.5</v>
      </c>
      <c r="D7" s="1"/>
      <c r="E7" s="1"/>
      <c r="H7" s="3" t="s">
        <v>29</v>
      </c>
      <c r="I7" s="1" t="s">
        <v>32</v>
      </c>
      <c r="J7" s="1">
        <f t="shared" ref="J7:T7" si="3">1/(1+EXP(-(J4-lenv50)/sdv))</f>
        <v>2.6662706008235179E-8</v>
      </c>
      <c r="K7" s="1">
        <f t="shared" si="3"/>
        <v>7.943099964778705E-5</v>
      </c>
      <c r="L7" s="1">
        <f t="shared" si="3"/>
        <v>3.6525057598242171E-2</v>
      </c>
      <c r="M7" s="1">
        <f t="shared" si="3"/>
        <v>0.81506959920156541</v>
      </c>
      <c r="N7" s="1">
        <f t="shared" si="3"/>
        <v>0.99423571624784779</v>
      </c>
      <c r="O7" s="1">
        <f t="shared" si="3"/>
        <v>0.99965710356892901</v>
      </c>
      <c r="P7" s="1">
        <f t="shared" si="3"/>
        <v>0.99996123080004629</v>
      </c>
      <c r="Q7" s="1">
        <f t="shared" si="3"/>
        <v>0.99999278124083879</v>
      </c>
      <c r="R7" s="1">
        <f t="shared" si="3"/>
        <v>0.9999980249964473</v>
      </c>
      <c r="S7" s="1">
        <f t="shared" si="3"/>
        <v>0.99999927298087077</v>
      </c>
      <c r="T7" s="2">
        <f t="shared" si="3"/>
        <v>0.9999996635719447</v>
      </c>
    </row>
    <row r="8" spans="1:20">
      <c r="A8" s="7" t="s">
        <v>13</v>
      </c>
      <c r="B8" s="1" t="s">
        <v>14</v>
      </c>
      <c r="C8" s="2">
        <v>0.25</v>
      </c>
      <c r="D8" s="1"/>
      <c r="E8" s="1"/>
      <c r="H8" s="3" t="s">
        <v>29</v>
      </c>
      <c r="I8" s="1" t="s">
        <v>35</v>
      </c>
      <c r="J8" s="1">
        <v>1</v>
      </c>
      <c r="K8" s="1">
        <f t="shared" ref="K8:T8" si="4">J8*EXP(-M)</f>
        <v>0.77880078307140488</v>
      </c>
      <c r="L8" s="1">
        <f t="shared" si="4"/>
        <v>0.60653065971263342</v>
      </c>
      <c r="M8" s="1">
        <f t="shared" si="4"/>
        <v>0.47236655274101469</v>
      </c>
      <c r="N8" s="1">
        <f t="shared" si="4"/>
        <v>0.36787944117144233</v>
      </c>
      <c r="O8" s="1">
        <f t="shared" si="4"/>
        <v>0.28650479686019009</v>
      </c>
      <c r="P8" s="1">
        <f t="shared" si="4"/>
        <v>0.22313016014842982</v>
      </c>
      <c r="Q8" s="1">
        <f t="shared" si="4"/>
        <v>0.17377394345044511</v>
      </c>
      <c r="R8" s="1">
        <f t="shared" si="4"/>
        <v>0.13533528323661267</v>
      </c>
      <c r="S8" s="1">
        <f t="shared" si="4"/>
        <v>0.10539922456186432</v>
      </c>
      <c r="T8" s="2">
        <f t="shared" si="4"/>
        <v>8.2084998623898786E-2</v>
      </c>
    </row>
    <row r="9" spans="1:20" ht="18" customHeight="1" thickBot="1">
      <c r="A9" s="150" t="s">
        <v>11</v>
      </c>
      <c r="B9" s="1" t="s">
        <v>34</v>
      </c>
      <c r="C9" s="2">
        <v>175</v>
      </c>
      <c r="D9" s="1"/>
      <c r="E9" s="1"/>
      <c r="H9" s="6" t="s">
        <v>29</v>
      </c>
      <c r="I9" s="4" t="s">
        <v>36</v>
      </c>
      <c r="J9" s="4">
        <v>1</v>
      </c>
      <c r="K9" s="4">
        <f t="shared" ref="K9:T9" si="5">J9*EXP(-(M+AVERAGE($G$20:$G$39)))</f>
        <v>0.70468808971871344</v>
      </c>
      <c r="L9" s="4">
        <f t="shared" si="5"/>
        <v>0.49658530379140953</v>
      </c>
      <c r="M9" s="4">
        <f t="shared" si="5"/>
        <v>0.34993774911115538</v>
      </c>
      <c r="N9" s="4">
        <f t="shared" si="5"/>
        <v>0.24659696394160649</v>
      </c>
      <c r="O9" s="4">
        <f t="shared" si="5"/>
        <v>0.17377394345044514</v>
      </c>
      <c r="P9" s="4">
        <f t="shared" si="5"/>
        <v>0.12245642825298192</v>
      </c>
      <c r="Q9" s="4">
        <f t="shared" si="5"/>
        <v>8.6293586499370523E-2</v>
      </c>
      <c r="R9" s="4">
        <f t="shared" si="5"/>
        <v>6.0810062625217973E-2</v>
      </c>
      <c r="S9" s="4">
        <f t="shared" si="5"/>
        <v>4.2852126867040187E-2</v>
      </c>
      <c r="T9" s="4">
        <f t="shared" si="5"/>
        <v>3.0197383422318504E-2</v>
      </c>
    </row>
    <row r="10" spans="1:20" ht="16" customHeight="1" thickBot="1">
      <c r="A10" s="151"/>
      <c r="B10" s="4" t="s">
        <v>12</v>
      </c>
      <c r="C10" s="5">
        <v>10</v>
      </c>
      <c r="D10" s="1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</row>
    <row r="11" spans="1:20" ht="17" customHeight="1" thickBot="1"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</row>
    <row r="12" spans="1:20" ht="16" customHeight="1">
      <c r="A12" s="159" t="s">
        <v>15</v>
      </c>
      <c r="B12" s="160"/>
      <c r="C12" s="161"/>
      <c r="D12" s="108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</row>
    <row r="13" spans="1:20">
      <c r="A13" s="59" t="s">
        <v>61</v>
      </c>
      <c r="B13" s="1" t="s">
        <v>41</v>
      </c>
      <c r="C13" s="67">
        <v>0.85</v>
      </c>
      <c r="D13" s="103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</row>
    <row r="14" spans="1:20">
      <c r="A14" s="62" t="s">
        <v>64</v>
      </c>
      <c r="B14" s="1" t="s">
        <v>18</v>
      </c>
      <c r="C14" s="70">
        <v>4000</v>
      </c>
      <c r="D14" s="101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</row>
    <row r="15" spans="1:20">
      <c r="A15" s="62" t="s">
        <v>65</v>
      </c>
      <c r="B15" s="96" t="s">
        <v>16</v>
      </c>
      <c r="C15" s="67">
        <v>0.1</v>
      </c>
      <c r="D15" s="103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</row>
    <row r="16" spans="1:20" ht="17" thickBot="1">
      <c r="A16" s="59" t="s">
        <v>60</v>
      </c>
      <c r="B16" s="96" t="s">
        <v>52</v>
      </c>
      <c r="C16" s="67">
        <v>0.5</v>
      </c>
      <c r="D16" s="103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</row>
    <row r="17" spans="1:66">
      <c r="A17" s="62" t="s">
        <v>67</v>
      </c>
      <c r="B17" s="96" t="s">
        <v>68</v>
      </c>
      <c r="C17" s="68">
        <v>0.25</v>
      </c>
      <c r="D17" s="110"/>
      <c r="E17" s="103"/>
      <c r="F17" s="1"/>
      <c r="P17" s="168" t="s">
        <v>40</v>
      </c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70"/>
      <c r="AC17" s="153" t="s">
        <v>39</v>
      </c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5"/>
      <c r="AP17" s="156" t="s">
        <v>50</v>
      </c>
      <c r="AQ17" s="157"/>
      <c r="AR17" s="157"/>
      <c r="AS17" s="157"/>
      <c r="AT17" s="157"/>
      <c r="AU17" s="157"/>
      <c r="AV17" s="157"/>
      <c r="AW17" s="157"/>
      <c r="AX17" s="157"/>
      <c r="AY17" s="157"/>
      <c r="AZ17" s="157"/>
      <c r="BA17" s="158"/>
      <c r="BC17" s="171" t="s">
        <v>47</v>
      </c>
      <c r="BD17" s="172"/>
      <c r="BE17" s="172"/>
      <c r="BF17" s="172"/>
      <c r="BG17" s="172"/>
      <c r="BH17" s="172"/>
      <c r="BI17" s="172"/>
      <c r="BJ17" s="172"/>
      <c r="BK17" s="172"/>
      <c r="BL17" s="172"/>
      <c r="BM17" s="172"/>
      <c r="BN17" s="173"/>
    </row>
    <row r="18" spans="1:66" ht="17" thickBot="1">
      <c r="A18" s="72" t="s">
        <v>90</v>
      </c>
      <c r="B18" s="61" t="s">
        <v>91</v>
      </c>
      <c r="C18" s="73">
        <v>0.5</v>
      </c>
      <c r="D18" s="110"/>
      <c r="E18" s="110"/>
      <c r="F18" s="1"/>
      <c r="P18" s="21"/>
      <c r="Q18" s="22" t="s">
        <v>37</v>
      </c>
      <c r="R18" s="22"/>
      <c r="S18" s="22"/>
      <c r="T18" s="22"/>
      <c r="U18" s="22"/>
      <c r="V18" s="22"/>
      <c r="W18" s="22"/>
      <c r="X18" s="22"/>
      <c r="Y18" s="22"/>
      <c r="Z18" s="22"/>
      <c r="AA18" s="23"/>
      <c r="AC18" s="15"/>
      <c r="AD18" s="28" t="s">
        <v>37</v>
      </c>
      <c r="AE18" s="28"/>
      <c r="AF18" s="28"/>
      <c r="AG18" s="28"/>
      <c r="AH18" s="28"/>
      <c r="AI18" s="28"/>
      <c r="AJ18" s="28"/>
      <c r="AK18" s="28"/>
      <c r="AL18" s="28"/>
      <c r="AM18" s="28"/>
      <c r="AN18" s="29"/>
      <c r="AP18" s="37"/>
      <c r="AQ18" s="41" t="s">
        <v>37</v>
      </c>
      <c r="AR18" s="41"/>
      <c r="AS18" s="41"/>
      <c r="AT18" s="41"/>
      <c r="AU18" s="41"/>
      <c r="AV18" s="41"/>
      <c r="AW18" s="41"/>
      <c r="AX18" s="41"/>
      <c r="AY18" s="41"/>
      <c r="AZ18" s="41"/>
      <c r="BA18" s="43"/>
      <c r="BC18" s="52"/>
      <c r="BD18" s="49" t="s">
        <v>37</v>
      </c>
      <c r="BE18" s="49"/>
      <c r="BF18" s="49"/>
      <c r="BG18" s="49"/>
      <c r="BH18" s="49"/>
      <c r="BI18" s="49"/>
      <c r="BJ18" s="49"/>
      <c r="BK18" s="49"/>
      <c r="BL18" s="49"/>
      <c r="BM18" s="49"/>
      <c r="BN18" s="53"/>
    </row>
    <row r="19" spans="1:66" ht="17" thickBot="1">
      <c r="E19" s="94" t="s">
        <v>38</v>
      </c>
      <c r="F19" s="71" t="s">
        <v>69</v>
      </c>
      <c r="G19" s="97" t="s">
        <v>44</v>
      </c>
      <c r="H19" s="97" t="s">
        <v>48</v>
      </c>
      <c r="I19" s="38" t="s">
        <v>46</v>
      </c>
      <c r="J19" s="38" t="s">
        <v>85</v>
      </c>
      <c r="K19" s="38" t="s">
        <v>86</v>
      </c>
      <c r="L19" s="115" t="s">
        <v>92</v>
      </c>
      <c r="M19" s="115" t="s">
        <v>87</v>
      </c>
      <c r="N19" s="112" t="s">
        <v>43</v>
      </c>
      <c r="O19" s="40" t="s">
        <v>42</v>
      </c>
      <c r="P19" s="27" t="s">
        <v>38</v>
      </c>
      <c r="Q19" s="20">
        <v>0</v>
      </c>
      <c r="R19" s="26">
        <v>1</v>
      </c>
      <c r="S19" s="26">
        <v>2</v>
      </c>
      <c r="T19" s="26">
        <v>3</v>
      </c>
      <c r="U19" s="26">
        <v>4</v>
      </c>
      <c r="V19" s="26">
        <v>5</v>
      </c>
      <c r="W19" s="26">
        <v>6</v>
      </c>
      <c r="X19" s="26">
        <v>7</v>
      </c>
      <c r="Y19" s="26">
        <v>8</v>
      </c>
      <c r="Z19" s="26">
        <v>9</v>
      </c>
      <c r="AA19" s="78" t="s">
        <v>72</v>
      </c>
      <c r="AC19" s="32" t="s">
        <v>38</v>
      </c>
      <c r="AD19" s="30">
        <v>0</v>
      </c>
      <c r="AE19" s="30">
        <v>1</v>
      </c>
      <c r="AF19" s="30">
        <v>2</v>
      </c>
      <c r="AG19" s="30">
        <v>3</v>
      </c>
      <c r="AH19" s="30">
        <v>4</v>
      </c>
      <c r="AI19" s="30">
        <v>5</v>
      </c>
      <c r="AJ19" s="30">
        <v>6</v>
      </c>
      <c r="AK19" s="30">
        <v>7</v>
      </c>
      <c r="AL19" s="30">
        <v>8</v>
      </c>
      <c r="AM19" s="30">
        <v>9</v>
      </c>
      <c r="AN19" s="31">
        <v>10</v>
      </c>
      <c r="AP19" s="46" t="s">
        <v>38</v>
      </c>
      <c r="AQ19" s="44">
        <v>0</v>
      </c>
      <c r="AR19" s="44">
        <v>1</v>
      </c>
      <c r="AS19" s="44">
        <v>2</v>
      </c>
      <c r="AT19" s="44">
        <v>3</v>
      </c>
      <c r="AU19" s="44">
        <v>4</v>
      </c>
      <c r="AV19" s="44">
        <v>5</v>
      </c>
      <c r="AW19" s="44">
        <v>6</v>
      </c>
      <c r="AX19" s="44">
        <v>7</v>
      </c>
      <c r="AY19" s="44">
        <v>8</v>
      </c>
      <c r="AZ19" s="44">
        <v>9</v>
      </c>
      <c r="BA19" s="45">
        <v>10</v>
      </c>
      <c r="BC19" s="54" t="s">
        <v>38</v>
      </c>
      <c r="BD19" s="51">
        <v>0</v>
      </c>
      <c r="BE19" s="51">
        <v>1</v>
      </c>
      <c r="BF19" s="51">
        <v>2</v>
      </c>
      <c r="BG19" s="51">
        <v>3</v>
      </c>
      <c r="BH19" s="51">
        <v>4</v>
      </c>
      <c r="BI19" s="51">
        <v>5</v>
      </c>
      <c r="BJ19" s="51">
        <v>6</v>
      </c>
      <c r="BK19" s="51">
        <v>7</v>
      </c>
      <c r="BL19" s="51">
        <v>8</v>
      </c>
      <c r="BM19" s="51">
        <v>9</v>
      </c>
      <c r="BN19" s="55">
        <v>10</v>
      </c>
    </row>
    <row r="20" spans="1:66">
      <c r="A20" s="159" t="s">
        <v>53</v>
      </c>
      <c r="B20" s="160"/>
      <c r="C20" s="161"/>
      <c r="D20" s="108"/>
      <c r="E20" s="94">
        <v>1</v>
      </c>
      <c r="F20" s="74">
        <f t="shared" ref="F20:F30" si="6">-LN(_xlfn.NORM.DIST(H20,0,sigmaF,FALSE))</f>
        <v>-0.46735582791521796</v>
      </c>
      <c r="G20" s="98">
        <f t="shared" ref="G20:G30" si="7">MAX(0.000001,Fbar+H20)</f>
        <v>0.1</v>
      </c>
      <c r="H20" s="98">
        <v>0</v>
      </c>
      <c r="I20" s="18">
        <f t="shared" ref="I20:I39" si="8">SUM(AD20:AN20)</f>
        <v>2806</v>
      </c>
      <c r="J20" s="18">
        <v>412.24912799128799</v>
      </c>
      <c r="K20" s="18">
        <f>I20/J20</f>
        <v>6.8065638214262005</v>
      </c>
      <c r="L20" s="118">
        <f>SUM(BD20:BN20)/J20</f>
        <v>1.357353288043043</v>
      </c>
      <c r="M20" s="118">
        <f t="shared" ref="M20:M39" si="9">-(-LN(sigmaCPUE)-0.5*((LN(K20)-LN(L20))/sigmaCPUE)^2)</f>
        <v>4.5062025247027897</v>
      </c>
      <c r="N20" s="113">
        <f t="shared" ref="N20:N39" si="10">SUMPRODUCT(Q20:AA20,$J$6:$T$6)</f>
        <v>19859.082226496503</v>
      </c>
      <c r="O20" s="20">
        <f t="shared" ref="O20:O39" si="11">SUM(Q20:AA20)</f>
        <v>16422.741563556705</v>
      </c>
      <c r="P20" s="21">
        <v>1</v>
      </c>
      <c r="Q20" s="142">
        <f>Ro</f>
        <v>4000</v>
      </c>
      <c r="R20" s="130">
        <f t="shared" ref="R20:Z20" si="12">Ro*EXP(-(AQ20+M*R19))</f>
        <v>3115.2031239796447</v>
      </c>
      <c r="S20" s="130">
        <f t="shared" si="12"/>
        <v>2426.1033679924217</v>
      </c>
      <c r="T20" s="130">
        <f t="shared" si="12"/>
        <v>1882.5775129085746</v>
      </c>
      <c r="U20" s="130">
        <f t="shared" si="12"/>
        <v>1356.3366168145396</v>
      </c>
      <c r="V20" s="130">
        <f t="shared" si="12"/>
        <v>1037.5589486609626</v>
      </c>
      <c r="W20" s="130">
        <f t="shared" si="12"/>
        <v>807.61376429158508</v>
      </c>
      <c r="X20" s="130">
        <f t="shared" si="12"/>
        <v>628.95110364289349</v>
      </c>
      <c r="Y20" s="130">
        <f t="shared" si="12"/>
        <v>489.82606660544064</v>
      </c>
      <c r="Z20" s="130">
        <f t="shared" si="12"/>
        <v>381.47672420397953</v>
      </c>
      <c r="AA20" s="130">
        <f>Ro*EXP(-(AZ20+M*10))</f>
        <v>297.09433445666116</v>
      </c>
      <c r="AC20" s="33">
        <v>1</v>
      </c>
      <c r="AD20" s="18">
        <v>0</v>
      </c>
      <c r="AE20" s="18">
        <v>0</v>
      </c>
      <c r="AF20" s="18">
        <v>106</v>
      </c>
      <c r="AG20" s="18">
        <v>681</v>
      </c>
      <c r="AH20" s="18">
        <v>541</v>
      </c>
      <c r="AI20" s="18">
        <v>421</v>
      </c>
      <c r="AJ20" s="18">
        <v>328</v>
      </c>
      <c r="AK20" s="18">
        <v>255</v>
      </c>
      <c r="AL20" s="18">
        <v>199</v>
      </c>
      <c r="AM20" s="18">
        <v>155</v>
      </c>
      <c r="AN20" s="16">
        <v>120</v>
      </c>
      <c r="AP20" s="47">
        <v>1</v>
      </c>
      <c r="AQ20" s="42">
        <f t="shared" ref="AQ20:AQ39" si="13">$G20*J$7</f>
        <v>2.6662706008235182E-9</v>
      </c>
      <c r="AR20" s="42">
        <f t="shared" ref="AR20:AR39" si="14">$G20*K$7</f>
        <v>7.943099964778705E-6</v>
      </c>
      <c r="AS20" s="42">
        <f t="shared" ref="AS20:AS39" si="15">$G20*L$7</f>
        <v>3.6525057598242173E-3</v>
      </c>
      <c r="AT20" s="42">
        <f t="shared" ref="AT20:AT39" si="16">$G20*M$7</f>
        <v>8.1506959920156552E-2</v>
      </c>
      <c r="AU20" s="42">
        <f t="shared" ref="AU20:AU39" si="17">$G20*N$7</f>
        <v>9.9423571624784782E-2</v>
      </c>
      <c r="AV20" s="42">
        <f t="shared" ref="AV20:AV39" si="18">$G20*O$7</f>
        <v>9.9965710356892903E-2</v>
      </c>
      <c r="AW20" s="42">
        <f t="shared" ref="AW20:AW39" si="19">$G20*P$7</f>
        <v>9.9996123080004634E-2</v>
      </c>
      <c r="AX20" s="42">
        <f t="shared" ref="AX20:AX39" si="20">$G20*Q$7</f>
        <v>9.9999278124083879E-2</v>
      </c>
      <c r="AY20" s="42">
        <f t="shared" ref="AY20:AY39" si="21">$G20*R$7</f>
        <v>9.9999802499644741E-2</v>
      </c>
      <c r="AZ20" s="42">
        <f t="shared" ref="AZ20:AZ39" si="22">$G20*S$7</f>
        <v>9.9999927298087085E-2</v>
      </c>
      <c r="BA20" s="42">
        <f t="shared" ref="BA20:BA39" si="23">$G20*T$7</f>
        <v>9.9999966357194478E-2</v>
      </c>
      <c r="BC20" s="56">
        <v>1</v>
      </c>
      <c r="BD20" s="50">
        <f>(AQ20/AQ44)*(1-EXP(-AQ44))*Q20</f>
        <v>9.4364314922939377E-6</v>
      </c>
      <c r="BE20" s="50">
        <f t="shared" ref="BE20:BN20" si="24">(AR20/AR44)*(1-EXP(-AR44))*R20</f>
        <v>2.1893657581525915E-2</v>
      </c>
      <c r="BF20" s="50">
        <f t="shared" si="24"/>
        <v>7.8267940933330724</v>
      </c>
      <c r="BG20" s="50">
        <f t="shared" si="24"/>
        <v>130.60162242218931</v>
      </c>
      <c r="BH20" s="50">
        <f t="shared" si="24"/>
        <v>113.81189500788359</v>
      </c>
      <c r="BI20" s="50">
        <f t="shared" si="24"/>
        <v>87.515256075393992</v>
      </c>
      <c r="BJ20" s="50">
        <f t="shared" si="24"/>
        <v>68.139757861687656</v>
      </c>
      <c r="BK20" s="50">
        <f t="shared" si="24"/>
        <v>53.067278353644774</v>
      </c>
      <c r="BL20" s="50">
        <f t="shared" si="24"/>
        <v>41.32891405726464</v>
      </c>
      <c r="BM20" s="50">
        <f t="shared" si="24"/>
        <v>32.187012030619037</v>
      </c>
      <c r="BN20" s="50">
        <f t="shared" si="24"/>
        <v>25.067276375823017</v>
      </c>
    </row>
    <row r="21" spans="1:66">
      <c r="A21" s="59" t="s">
        <v>54</v>
      </c>
      <c r="B21" s="1" t="s">
        <v>55</v>
      </c>
      <c r="C21" s="63">
        <f>IFERROR(SUM(BD44:BN63),10000)</f>
        <v>537.94305489870101</v>
      </c>
      <c r="D21" s="92"/>
      <c r="E21" s="94">
        <v>2</v>
      </c>
      <c r="F21" s="74">
        <f t="shared" si="6"/>
        <v>-0.46735582791521796</v>
      </c>
      <c r="G21" s="98">
        <f t="shared" si="7"/>
        <v>0.1</v>
      </c>
      <c r="H21" s="98">
        <v>0</v>
      </c>
      <c r="I21" s="18">
        <f t="shared" si="8"/>
        <v>1966</v>
      </c>
      <c r="J21" s="18">
        <v>496.39116814446777</v>
      </c>
      <c r="K21" s="18">
        <f t="shared" ref="K21:K39" si="25">I21/J21</f>
        <v>3.9605861791397201</v>
      </c>
      <c r="L21" s="118">
        <f t="shared" ref="L21:L39" si="26">SUM(BD21:BN21)/J21</f>
        <v>1.1061594075828154</v>
      </c>
      <c r="M21" s="118">
        <f t="shared" si="9"/>
        <v>2.5606432012171099</v>
      </c>
      <c r="N21" s="113">
        <f t="shared" si="10"/>
        <v>19839.153498341988</v>
      </c>
      <c r="O21" s="20">
        <f t="shared" si="11"/>
        <v>16280.774676801346</v>
      </c>
      <c r="P21" s="21">
        <v>2</v>
      </c>
      <c r="Q21" s="143">
        <f t="shared" ref="Q21:Q30" si="27">(bha*N20)/(1+bhb*N20)</f>
        <v>3982.2998238530126</v>
      </c>
      <c r="R21" s="132">
        <f>Q20*EXP(-AQ44)</f>
        <v>3115.2031239796447</v>
      </c>
      <c r="S21" s="132">
        <f t="shared" ref="S21:AA36" si="28">R20*EXP(-AR44)</f>
        <v>2426.1033615237734</v>
      </c>
      <c r="T21" s="132">
        <f t="shared" si="28"/>
        <v>1882.5625594665864</v>
      </c>
      <c r="U21" s="132">
        <f t="shared" si="28"/>
        <v>1351.3916258109348</v>
      </c>
      <c r="V21" s="132">
        <f t="shared" si="28"/>
        <v>956.34536527187231</v>
      </c>
      <c r="W21" s="132">
        <f t="shared" si="28"/>
        <v>731.18050499116475</v>
      </c>
      <c r="X21" s="132">
        <f t="shared" si="28"/>
        <v>569.11800720988117</v>
      </c>
      <c r="Y21" s="132">
        <f t="shared" si="28"/>
        <v>443.21467169846886</v>
      </c>
      <c r="Z21" s="132">
        <f t="shared" si="28"/>
        <v>345.17466334273115</v>
      </c>
      <c r="AA21" s="132">
        <f>Z20*EXP(-AZ44)+AA20*EXP(-BA44)</f>
        <v>478.18096965327265</v>
      </c>
      <c r="AC21" s="33">
        <v>2</v>
      </c>
      <c r="AD21" s="18">
        <v>0</v>
      </c>
      <c r="AE21" s="18">
        <v>0</v>
      </c>
      <c r="AF21" s="18">
        <v>146</v>
      </c>
      <c r="AG21" s="18">
        <v>660</v>
      </c>
      <c r="AH21" s="18">
        <v>314</v>
      </c>
      <c r="AI21" s="18">
        <v>241</v>
      </c>
      <c r="AJ21" s="18">
        <v>188</v>
      </c>
      <c r="AK21" s="18">
        <v>146</v>
      </c>
      <c r="AL21" s="18">
        <v>114</v>
      </c>
      <c r="AM21" s="18">
        <v>88</v>
      </c>
      <c r="AN21" s="16">
        <v>69</v>
      </c>
      <c r="AP21" s="47">
        <v>2</v>
      </c>
      <c r="AQ21" s="42">
        <f t="shared" si="13"/>
        <v>2.6662706008235182E-9</v>
      </c>
      <c r="AR21" s="42">
        <f t="shared" si="14"/>
        <v>7.943099964778705E-6</v>
      </c>
      <c r="AS21" s="42">
        <f t="shared" si="15"/>
        <v>3.6525057598242173E-3</v>
      </c>
      <c r="AT21" s="42">
        <f t="shared" si="16"/>
        <v>8.1506959920156552E-2</v>
      </c>
      <c r="AU21" s="42">
        <f t="shared" si="17"/>
        <v>9.9423571624784782E-2</v>
      </c>
      <c r="AV21" s="42">
        <f t="shared" si="18"/>
        <v>9.9965710356892903E-2</v>
      </c>
      <c r="AW21" s="42">
        <f t="shared" si="19"/>
        <v>9.9996123080004634E-2</v>
      </c>
      <c r="AX21" s="42">
        <f t="shared" si="20"/>
        <v>9.9999278124083879E-2</v>
      </c>
      <c r="AY21" s="42">
        <f t="shared" si="21"/>
        <v>9.9999802499644741E-2</v>
      </c>
      <c r="AZ21" s="42">
        <f t="shared" si="22"/>
        <v>9.9999927298087085E-2</v>
      </c>
      <c r="BA21" s="42">
        <f t="shared" si="23"/>
        <v>9.9999966357194478E-2</v>
      </c>
      <c r="BC21" s="56">
        <v>2</v>
      </c>
      <c r="BD21" s="50">
        <f t="shared" ref="BD21:BD39" si="29">(AQ21/AQ45)*(1-EXP(-AQ45))*Q21</f>
        <v>9.3946748673907918E-6</v>
      </c>
      <c r="BE21" s="50">
        <f t="shared" ref="BE21:BE39" si="30">(AR21/AR45)*(1-EXP(-AR45))*R21</f>
        <v>2.1893657581525915E-2</v>
      </c>
      <c r="BF21" s="50">
        <f t="shared" ref="BF21:BF39" si="31">(AS21/AS45)*(1-EXP(-AS45))*S21</f>
        <v>7.8267940724647209</v>
      </c>
      <c r="BG21" s="50">
        <f t="shared" ref="BG21:BG39" si="32">(AT21/AT45)*(1-EXP(-AT45))*T21</f>
        <v>130.60058504456686</v>
      </c>
      <c r="BH21" s="50">
        <f t="shared" ref="BH21:BH39" si="33">(AU21/AU45)*(1-EXP(-AU45))*U21</f>
        <v>113.39695465315147</v>
      </c>
      <c r="BI21" s="50">
        <f t="shared" ref="BI21:BI39" si="34">(AV21/AV45)*(1-EXP(-AV45))*V21</f>
        <v>80.665112711232183</v>
      </c>
      <c r="BJ21" s="50">
        <f t="shared" ref="BJ21:BJ39" si="35">(AW21/AW45)*(1-EXP(-AW45))*W21</f>
        <v>61.690952737769727</v>
      </c>
      <c r="BK21" s="50">
        <f t="shared" ref="BK21:BK39" si="36">(AX21/AX45)*(1-EXP(-AX45))*X21</f>
        <v>48.01890565061516</v>
      </c>
      <c r="BL21" s="50">
        <f t="shared" ref="BL21:BL39" si="37">(AY21/AY45)*(1-EXP(-AY45))*Y21</f>
        <v>37.396092867184549</v>
      </c>
      <c r="BM21" s="50">
        <f t="shared" ref="BM21:BM39" si="38">(AZ21/AZ45)*(1-EXP(-AZ45))*Z21</f>
        <v>29.124033884008757</v>
      </c>
      <c r="BN21" s="50">
        <f t="shared" ref="BN21:BN39" si="39">(BA21/BA45)*(1-EXP(-BA45))*AA21</f>
        <v>40.346425810776246</v>
      </c>
    </row>
    <row r="22" spans="1:66">
      <c r="A22" s="62" t="s">
        <v>70</v>
      </c>
      <c r="B22" s="8" t="s">
        <v>71</v>
      </c>
      <c r="C22" s="63">
        <f>IFERROR(SUM(F20:F39),1000)</f>
        <v>-9.3471165583043589</v>
      </c>
      <c r="D22" s="92"/>
      <c r="E22" s="94">
        <v>3</v>
      </c>
      <c r="F22" s="74">
        <f t="shared" si="6"/>
        <v>-0.46735582791521796</v>
      </c>
      <c r="G22" s="98">
        <f t="shared" si="7"/>
        <v>0.1</v>
      </c>
      <c r="H22" s="98">
        <v>0</v>
      </c>
      <c r="I22" s="18">
        <f t="shared" si="8"/>
        <v>1207</v>
      </c>
      <c r="J22" s="18">
        <v>188.24436422588224</v>
      </c>
      <c r="K22" s="18">
        <f t="shared" si="25"/>
        <v>6.4118785439529571</v>
      </c>
      <c r="L22" s="118">
        <f t="shared" si="26"/>
        <v>2.8776370956663939</v>
      </c>
      <c r="M22" s="118">
        <f t="shared" si="9"/>
        <v>0.59064053926566407</v>
      </c>
      <c r="N22" s="113">
        <f t="shared" si="10"/>
        <v>19605.243572678937</v>
      </c>
      <c r="O22" s="20">
        <f t="shared" si="11"/>
        <v>16179.222688720076</v>
      </c>
      <c r="P22" s="21">
        <v>3</v>
      </c>
      <c r="Q22" s="143">
        <f t="shared" si="27"/>
        <v>3982.1064298297383</v>
      </c>
      <c r="R22" s="132">
        <f t="shared" ref="R22:AA37" si="40">Q21*EXP(-AQ45)</f>
        <v>3101.4182129726237</v>
      </c>
      <c r="S22" s="132">
        <f t="shared" si="28"/>
        <v>2426.1033615237734</v>
      </c>
      <c r="T22" s="132">
        <f t="shared" si="28"/>
        <v>1882.562554447165</v>
      </c>
      <c r="U22" s="132">
        <f t="shared" si="28"/>
        <v>1351.3808916147907</v>
      </c>
      <c r="V22" s="132">
        <f t="shared" si="28"/>
        <v>952.85867976255133</v>
      </c>
      <c r="W22" s="132">
        <f t="shared" si="28"/>
        <v>673.94829761517599</v>
      </c>
      <c r="X22" s="132">
        <f t="shared" si="28"/>
        <v>515.25619090494502</v>
      </c>
      <c r="Y22" s="132">
        <f t="shared" si="28"/>
        <v>401.05097083418462</v>
      </c>
      <c r="Z22" s="132">
        <f t="shared" si="28"/>
        <v>312.32816201941762</v>
      </c>
      <c r="AA22" s="132">
        <f t="shared" ref="AA22:AA38" si="41">Z21*EXP(-AZ45)+AA21*EXP(-BA45)</f>
        <v>580.20893719570813</v>
      </c>
      <c r="AC22" s="33">
        <v>3</v>
      </c>
      <c r="AD22" s="18">
        <v>0</v>
      </c>
      <c r="AE22" s="18">
        <v>0</v>
      </c>
      <c r="AF22" s="18">
        <v>49</v>
      </c>
      <c r="AG22" s="18">
        <v>482</v>
      </c>
      <c r="AH22" s="18">
        <v>248</v>
      </c>
      <c r="AI22" s="18">
        <v>123</v>
      </c>
      <c r="AJ22" s="18">
        <v>95</v>
      </c>
      <c r="AK22" s="18">
        <v>74</v>
      </c>
      <c r="AL22" s="18">
        <v>57</v>
      </c>
      <c r="AM22" s="18">
        <v>44</v>
      </c>
      <c r="AN22" s="16">
        <v>35</v>
      </c>
      <c r="AP22" s="47">
        <v>3</v>
      </c>
      <c r="AQ22" s="42">
        <f t="shared" si="13"/>
        <v>2.6662706008235182E-9</v>
      </c>
      <c r="AR22" s="42">
        <f t="shared" si="14"/>
        <v>7.943099964778705E-6</v>
      </c>
      <c r="AS22" s="42">
        <f t="shared" si="15"/>
        <v>3.6525057598242173E-3</v>
      </c>
      <c r="AT22" s="42">
        <f t="shared" si="16"/>
        <v>8.1506959920156552E-2</v>
      </c>
      <c r="AU22" s="42">
        <f t="shared" si="17"/>
        <v>9.9423571624784782E-2</v>
      </c>
      <c r="AV22" s="42">
        <f t="shared" si="18"/>
        <v>9.9965710356892903E-2</v>
      </c>
      <c r="AW22" s="42">
        <f t="shared" si="19"/>
        <v>9.9996123080004634E-2</v>
      </c>
      <c r="AX22" s="42">
        <f t="shared" si="20"/>
        <v>9.9999278124083879E-2</v>
      </c>
      <c r="AY22" s="42">
        <f t="shared" si="21"/>
        <v>9.9999802499644741E-2</v>
      </c>
      <c r="AZ22" s="42">
        <f t="shared" si="22"/>
        <v>9.9999927298087085E-2</v>
      </c>
      <c r="BA22" s="42">
        <f t="shared" si="23"/>
        <v>9.9999966357194478E-2</v>
      </c>
      <c r="BC22" s="56">
        <v>3</v>
      </c>
      <c r="BD22" s="50">
        <f t="shared" si="29"/>
        <v>9.3942186300278799E-6</v>
      </c>
      <c r="BE22" s="50">
        <f t="shared" si="30"/>
        <v>2.1796777182602207E-2</v>
      </c>
      <c r="BF22" s="50">
        <f t="shared" si="31"/>
        <v>7.8267940724647209</v>
      </c>
      <c r="BG22" s="50">
        <f t="shared" si="32"/>
        <v>130.60058469635032</v>
      </c>
      <c r="BH22" s="50">
        <f t="shared" si="33"/>
        <v>113.39605393338219</v>
      </c>
      <c r="BI22" s="50">
        <f t="shared" si="34"/>
        <v>80.371020336436132</v>
      </c>
      <c r="BJ22" s="50">
        <f t="shared" si="35"/>
        <v>56.862173282889401</v>
      </c>
      <c r="BK22" s="50">
        <f t="shared" si="36"/>
        <v>43.474355236550196</v>
      </c>
      <c r="BL22" s="50">
        <f t="shared" si="37"/>
        <v>33.838544406294083</v>
      </c>
      <c r="BM22" s="50">
        <f t="shared" si="38"/>
        <v>26.352617789191072</v>
      </c>
      <c r="BN22" s="50">
        <f t="shared" si="39"/>
        <v>48.955015621575271</v>
      </c>
    </row>
    <row r="23" spans="1:66">
      <c r="A23" s="62" t="s">
        <v>88</v>
      </c>
      <c r="B23" s="8" t="s">
        <v>89</v>
      </c>
      <c r="C23" s="117">
        <f>SUM(M20:M39)</f>
        <v>5.3945580393104633</v>
      </c>
      <c r="D23" s="1"/>
      <c r="E23" s="94">
        <v>4</v>
      </c>
      <c r="F23" s="74">
        <f t="shared" si="6"/>
        <v>-0.46735582791521796</v>
      </c>
      <c r="G23" s="98">
        <f t="shared" si="7"/>
        <v>0.1</v>
      </c>
      <c r="H23" s="98">
        <v>0</v>
      </c>
      <c r="I23" s="18">
        <f t="shared" si="8"/>
        <v>1440</v>
      </c>
      <c r="J23" s="18">
        <v>323.67359571820191</v>
      </c>
      <c r="K23" s="18">
        <f t="shared" si="25"/>
        <v>4.4489263846337934</v>
      </c>
      <c r="L23" s="118">
        <f t="shared" si="26"/>
        <v>1.6574023994638669</v>
      </c>
      <c r="M23" s="118">
        <f t="shared" si="9"/>
        <v>1.2568147649136829</v>
      </c>
      <c r="N23" s="113">
        <f t="shared" si="10"/>
        <v>19316.951206758335</v>
      </c>
      <c r="O23" s="20">
        <f t="shared" si="11"/>
        <v>16104.326170477791</v>
      </c>
      <c r="P23" s="21">
        <v>4</v>
      </c>
      <c r="Q23" s="143">
        <f t="shared" si="27"/>
        <v>3979.8085502059075</v>
      </c>
      <c r="R23" s="132">
        <f t="shared" si="40"/>
        <v>3101.2675975562579</v>
      </c>
      <c r="S23" s="132">
        <f t="shared" si="28"/>
        <v>2415.3677473113316</v>
      </c>
      <c r="T23" s="132">
        <f t="shared" si="28"/>
        <v>1882.562554447165</v>
      </c>
      <c r="U23" s="132">
        <f t="shared" si="28"/>
        <v>1351.3808880116435</v>
      </c>
      <c r="V23" s="132">
        <f t="shared" si="28"/>
        <v>952.85111114086476</v>
      </c>
      <c r="W23" s="132">
        <f t="shared" si="28"/>
        <v>671.49118761218199</v>
      </c>
      <c r="X23" s="132">
        <f t="shared" si="28"/>
        <v>474.92517965897343</v>
      </c>
      <c r="Y23" s="132">
        <f t="shared" si="28"/>
        <v>363.09516299410524</v>
      </c>
      <c r="Z23" s="132">
        <f t="shared" si="28"/>
        <v>282.61589833371181</v>
      </c>
      <c r="AA23" s="132">
        <f t="shared" si="41"/>
        <v>628.96029320565003</v>
      </c>
      <c r="AC23" s="33">
        <v>4</v>
      </c>
      <c r="AD23" s="18">
        <v>0</v>
      </c>
      <c r="AE23" s="18">
        <v>0</v>
      </c>
      <c r="AF23" s="18">
        <v>83</v>
      </c>
      <c r="AG23" s="18">
        <v>628</v>
      </c>
      <c r="AH23" s="18">
        <v>339</v>
      </c>
      <c r="AI23" s="18">
        <v>151</v>
      </c>
      <c r="AJ23" s="18">
        <v>75</v>
      </c>
      <c r="AK23" s="18">
        <v>57</v>
      </c>
      <c r="AL23" s="18">
        <v>45</v>
      </c>
      <c r="AM23" s="18">
        <v>35</v>
      </c>
      <c r="AN23" s="16">
        <v>27</v>
      </c>
      <c r="AP23" s="47">
        <v>4</v>
      </c>
      <c r="AQ23" s="42">
        <f t="shared" si="13"/>
        <v>2.6662706008235182E-9</v>
      </c>
      <c r="AR23" s="42">
        <f t="shared" si="14"/>
        <v>7.943099964778705E-6</v>
      </c>
      <c r="AS23" s="42">
        <f t="shared" si="15"/>
        <v>3.6525057598242173E-3</v>
      </c>
      <c r="AT23" s="42">
        <f t="shared" si="16"/>
        <v>8.1506959920156552E-2</v>
      </c>
      <c r="AU23" s="42">
        <f t="shared" si="17"/>
        <v>9.9423571624784782E-2</v>
      </c>
      <c r="AV23" s="42">
        <f t="shared" si="18"/>
        <v>9.9965710356892903E-2</v>
      </c>
      <c r="AW23" s="42">
        <f t="shared" si="19"/>
        <v>9.9996123080004634E-2</v>
      </c>
      <c r="AX23" s="42">
        <f t="shared" si="20"/>
        <v>9.9999278124083879E-2</v>
      </c>
      <c r="AY23" s="42">
        <f t="shared" si="21"/>
        <v>9.9999802499644741E-2</v>
      </c>
      <c r="AZ23" s="42">
        <f t="shared" si="22"/>
        <v>9.9999927298087085E-2</v>
      </c>
      <c r="BA23" s="42">
        <f t="shared" si="23"/>
        <v>9.9999966357194478E-2</v>
      </c>
      <c r="BC23" s="56">
        <v>4</v>
      </c>
      <c r="BD23" s="50">
        <f t="shared" si="29"/>
        <v>9.3887976841159252E-6</v>
      </c>
      <c r="BE23" s="50">
        <f t="shared" si="30"/>
        <v>2.179571865697124E-2</v>
      </c>
      <c r="BF23" s="50">
        <f t="shared" si="31"/>
        <v>7.7921601640275169</v>
      </c>
      <c r="BG23" s="50">
        <f t="shared" si="32"/>
        <v>130.60058469635032</v>
      </c>
      <c r="BH23" s="50">
        <f t="shared" si="33"/>
        <v>113.39605363103763</v>
      </c>
      <c r="BI23" s="50">
        <f t="shared" si="34"/>
        <v>80.370381943922737</v>
      </c>
      <c r="BJ23" s="50">
        <f t="shared" si="35"/>
        <v>56.654862699481491</v>
      </c>
      <c r="BK23" s="50">
        <f t="shared" si="36"/>
        <v>40.071456366228553</v>
      </c>
      <c r="BL23" s="50">
        <f t="shared" si="37"/>
        <v>30.636035542141958</v>
      </c>
      <c r="BM23" s="50">
        <f t="shared" si="38"/>
        <v>23.845652283748151</v>
      </c>
      <c r="BN23" s="50">
        <f t="shared" si="39"/>
        <v>53.068401752052367</v>
      </c>
    </row>
    <row r="24" spans="1:66" ht="17" thickBot="1">
      <c r="A24" s="60" t="s">
        <v>56</v>
      </c>
      <c r="B24" s="64" t="s">
        <v>57</v>
      </c>
      <c r="C24" s="65">
        <f>SUM(C21:C22)</f>
        <v>528.59593834039663</v>
      </c>
      <c r="D24" s="92"/>
      <c r="E24" s="94">
        <v>5</v>
      </c>
      <c r="F24" s="74">
        <f t="shared" si="6"/>
        <v>-0.46735582791521796</v>
      </c>
      <c r="G24" s="98">
        <f t="shared" si="7"/>
        <v>0.1</v>
      </c>
      <c r="H24" s="98">
        <v>0</v>
      </c>
      <c r="I24" s="18">
        <f t="shared" si="8"/>
        <v>1171</v>
      </c>
      <c r="J24" s="18">
        <v>202.24580574140785</v>
      </c>
      <c r="K24" s="18">
        <f t="shared" si="25"/>
        <v>5.7899841023019505</v>
      </c>
      <c r="L24" s="118">
        <f t="shared" si="26"/>
        <v>2.631499818774885</v>
      </c>
      <c r="M24" s="118">
        <f t="shared" si="9"/>
        <v>0.55055573832310289</v>
      </c>
      <c r="N24" s="113">
        <f t="shared" si="10"/>
        <v>19047.562909944769</v>
      </c>
      <c r="O24" s="20">
        <f t="shared" si="11"/>
        <v>16047.695944469542</v>
      </c>
      <c r="P24" s="21">
        <v>5</v>
      </c>
      <c r="Q24" s="143">
        <f t="shared" si="27"/>
        <v>3976.9036679865399</v>
      </c>
      <c r="R24" s="132">
        <f t="shared" si="40"/>
        <v>3099.4780071105861</v>
      </c>
      <c r="S24" s="132">
        <f t="shared" si="28"/>
        <v>2415.2504488388404</v>
      </c>
      <c r="T24" s="132">
        <f t="shared" si="28"/>
        <v>1874.2321322418061</v>
      </c>
      <c r="U24" s="132">
        <f t="shared" si="28"/>
        <v>1351.3808880116435</v>
      </c>
      <c r="V24" s="132">
        <f t="shared" si="28"/>
        <v>952.85110860030591</v>
      </c>
      <c r="W24" s="132">
        <f t="shared" si="28"/>
        <v>671.4858539117364</v>
      </c>
      <c r="X24" s="132">
        <f t="shared" si="28"/>
        <v>473.19367679184978</v>
      </c>
      <c r="Y24" s="132">
        <f t="shared" si="28"/>
        <v>334.67435920647125</v>
      </c>
      <c r="Z24" s="132">
        <f t="shared" si="28"/>
        <v>255.86888733061207</v>
      </c>
      <c r="AA24" s="132">
        <f t="shared" si="41"/>
        <v>642.37691443915219</v>
      </c>
      <c r="AC24" s="33">
        <v>5</v>
      </c>
      <c r="AD24" s="18">
        <v>0</v>
      </c>
      <c r="AE24" s="18">
        <v>0</v>
      </c>
      <c r="AF24" s="18">
        <v>46</v>
      </c>
      <c r="AG24" s="18">
        <v>540</v>
      </c>
      <c r="AH24" s="18">
        <v>287</v>
      </c>
      <c r="AI24" s="18">
        <v>144</v>
      </c>
      <c r="AJ24" s="18">
        <v>64</v>
      </c>
      <c r="AK24" s="18">
        <v>32</v>
      </c>
      <c r="AL24" s="18">
        <v>24</v>
      </c>
      <c r="AM24" s="18">
        <v>19</v>
      </c>
      <c r="AN24" s="16">
        <v>15</v>
      </c>
      <c r="AP24" s="47">
        <v>5</v>
      </c>
      <c r="AQ24" s="42">
        <f t="shared" si="13"/>
        <v>2.6662706008235182E-9</v>
      </c>
      <c r="AR24" s="42">
        <f t="shared" si="14"/>
        <v>7.943099964778705E-6</v>
      </c>
      <c r="AS24" s="42">
        <f t="shared" si="15"/>
        <v>3.6525057598242173E-3</v>
      </c>
      <c r="AT24" s="42">
        <f t="shared" si="16"/>
        <v>8.1506959920156552E-2</v>
      </c>
      <c r="AU24" s="42">
        <f t="shared" si="17"/>
        <v>9.9423571624784782E-2</v>
      </c>
      <c r="AV24" s="42">
        <f t="shared" si="18"/>
        <v>9.9965710356892903E-2</v>
      </c>
      <c r="AW24" s="42">
        <f t="shared" si="19"/>
        <v>9.9996123080004634E-2</v>
      </c>
      <c r="AX24" s="42">
        <f t="shared" si="20"/>
        <v>9.9999278124083879E-2</v>
      </c>
      <c r="AY24" s="42">
        <f t="shared" si="21"/>
        <v>9.9999802499644741E-2</v>
      </c>
      <c r="AZ24" s="42">
        <f t="shared" si="22"/>
        <v>9.9999927298087085E-2</v>
      </c>
      <c r="BA24" s="42">
        <f t="shared" si="23"/>
        <v>9.9999966357194478E-2</v>
      </c>
      <c r="BC24" s="56">
        <v>5</v>
      </c>
      <c r="BD24" s="50">
        <f t="shared" si="29"/>
        <v>9.3819447536018634E-6</v>
      </c>
      <c r="BE24" s="50">
        <f t="shared" si="30"/>
        <v>2.1783141409559309E-2</v>
      </c>
      <c r="BF24" s="50">
        <f t="shared" si="31"/>
        <v>7.791781750228763</v>
      </c>
      <c r="BG24" s="50">
        <f t="shared" si="32"/>
        <v>130.02267135784413</v>
      </c>
      <c r="BH24" s="50">
        <f t="shared" si="33"/>
        <v>113.39605363103763</v>
      </c>
      <c r="BI24" s="50">
        <f t="shared" si="34"/>
        <v>80.37038172963355</v>
      </c>
      <c r="BJ24" s="50">
        <f t="shared" si="35"/>
        <v>56.654412686030831</v>
      </c>
      <c r="BK24" s="50">
        <f t="shared" si="36"/>
        <v>39.925362108523018</v>
      </c>
      <c r="BL24" s="50">
        <f t="shared" si="37"/>
        <v>28.238039524254123</v>
      </c>
      <c r="BM24" s="50">
        <f t="shared" si="38"/>
        <v>21.588879300451968</v>
      </c>
      <c r="BN24" s="50">
        <f t="shared" si="39"/>
        <v>54.200426545137056</v>
      </c>
    </row>
    <row r="25" spans="1:66" ht="17" thickBot="1">
      <c r="E25" s="94">
        <v>6</v>
      </c>
      <c r="F25" s="74">
        <f t="shared" si="6"/>
        <v>-0.46735582791521796</v>
      </c>
      <c r="G25" s="98">
        <f t="shared" si="7"/>
        <v>0.1</v>
      </c>
      <c r="H25" s="98">
        <v>0</v>
      </c>
      <c r="I25" s="18">
        <f t="shared" si="8"/>
        <v>1154</v>
      </c>
      <c r="J25" s="18">
        <v>221.55067447341082</v>
      </c>
      <c r="K25" s="18">
        <f t="shared" si="25"/>
        <v>5.2087406312026197</v>
      </c>
      <c r="L25" s="118">
        <f t="shared" si="26"/>
        <v>2.3882187933416561</v>
      </c>
      <c r="M25" s="118">
        <f t="shared" si="9"/>
        <v>0.5229986176614555</v>
      </c>
      <c r="N25" s="113">
        <f t="shared" si="10"/>
        <v>18820.599398720362</v>
      </c>
      <c r="O25" s="20">
        <f t="shared" si="11"/>
        <v>16004.533575983258</v>
      </c>
      <c r="P25" s="21">
        <v>6</v>
      </c>
      <c r="Q25" s="143">
        <f t="shared" si="27"/>
        <v>3974.1137910055745</v>
      </c>
      <c r="R25" s="132">
        <f t="shared" si="40"/>
        <v>3097.2156825694442</v>
      </c>
      <c r="S25" s="132">
        <f t="shared" si="28"/>
        <v>2413.8567254689019</v>
      </c>
      <c r="T25" s="132">
        <f t="shared" si="28"/>
        <v>1874.1411131551883</v>
      </c>
      <c r="U25" s="132">
        <f t="shared" si="28"/>
        <v>1345.4009680717743</v>
      </c>
      <c r="V25" s="132">
        <f t="shared" si="28"/>
        <v>952.85110860030591</v>
      </c>
      <c r="W25" s="132">
        <f t="shared" si="28"/>
        <v>671.48585212137345</v>
      </c>
      <c r="X25" s="132">
        <f t="shared" si="28"/>
        <v>473.18991818209986</v>
      </c>
      <c r="Y25" s="132">
        <f t="shared" si="28"/>
        <v>333.45418887788412</v>
      </c>
      <c r="Z25" s="132">
        <f t="shared" si="28"/>
        <v>235.84108144573551</v>
      </c>
      <c r="AA25" s="132">
        <f t="shared" si="41"/>
        <v>632.98314648497808</v>
      </c>
      <c r="AC25" s="33">
        <v>6</v>
      </c>
      <c r="AD25" s="18">
        <v>0</v>
      </c>
      <c r="AE25" s="18">
        <v>0</v>
      </c>
      <c r="AF25" s="18">
        <v>46</v>
      </c>
      <c r="AG25" s="18">
        <v>478</v>
      </c>
      <c r="AH25" s="18">
        <v>327</v>
      </c>
      <c r="AI25" s="18">
        <v>153</v>
      </c>
      <c r="AJ25" s="18">
        <v>76</v>
      </c>
      <c r="AK25" s="18">
        <v>34</v>
      </c>
      <c r="AL25" s="18">
        <v>17</v>
      </c>
      <c r="AM25" s="18">
        <v>13</v>
      </c>
      <c r="AN25" s="16">
        <v>10</v>
      </c>
      <c r="AP25" s="47">
        <v>6</v>
      </c>
      <c r="AQ25" s="42">
        <f t="shared" si="13"/>
        <v>2.6662706008235182E-9</v>
      </c>
      <c r="AR25" s="42">
        <f t="shared" si="14"/>
        <v>7.943099964778705E-6</v>
      </c>
      <c r="AS25" s="42">
        <f t="shared" si="15"/>
        <v>3.6525057598242173E-3</v>
      </c>
      <c r="AT25" s="42">
        <f t="shared" si="16"/>
        <v>8.1506959920156552E-2</v>
      </c>
      <c r="AU25" s="42">
        <f t="shared" si="17"/>
        <v>9.9423571624784782E-2</v>
      </c>
      <c r="AV25" s="42">
        <f t="shared" si="18"/>
        <v>9.9965710356892903E-2</v>
      </c>
      <c r="AW25" s="42">
        <f t="shared" si="19"/>
        <v>9.9996123080004634E-2</v>
      </c>
      <c r="AX25" s="42">
        <f t="shared" si="20"/>
        <v>9.9999278124083879E-2</v>
      </c>
      <c r="AY25" s="42">
        <f t="shared" si="21"/>
        <v>9.9999802499644741E-2</v>
      </c>
      <c r="AZ25" s="42">
        <f t="shared" si="22"/>
        <v>9.9999927298087085E-2</v>
      </c>
      <c r="BA25" s="42">
        <f t="shared" si="23"/>
        <v>9.9999966357194478E-2</v>
      </c>
      <c r="BC25" s="56">
        <v>6</v>
      </c>
      <c r="BD25" s="50">
        <f t="shared" si="29"/>
        <v>9.375363132851162E-6</v>
      </c>
      <c r="BE25" s="50">
        <f t="shared" si="30"/>
        <v>2.1767241785402933E-2</v>
      </c>
      <c r="BF25" s="50">
        <f t="shared" si="31"/>
        <v>7.7872854925740027</v>
      </c>
      <c r="BG25" s="50">
        <f t="shared" si="32"/>
        <v>130.016357014715</v>
      </c>
      <c r="BH25" s="50">
        <f t="shared" si="33"/>
        <v>112.89427110012701</v>
      </c>
      <c r="BI25" s="50">
        <f t="shared" si="34"/>
        <v>80.37038172963355</v>
      </c>
      <c r="BJ25" s="50">
        <f t="shared" si="35"/>
        <v>56.654412534974846</v>
      </c>
      <c r="BK25" s="50">
        <f t="shared" si="36"/>
        <v>39.925044978640159</v>
      </c>
      <c r="BL25" s="50">
        <f t="shared" si="37"/>
        <v>28.135088052122647</v>
      </c>
      <c r="BM25" s="50">
        <f t="shared" si="38"/>
        <v>19.899037724118383</v>
      </c>
      <c r="BN25" s="50">
        <f t="shared" si="39"/>
        <v>53.40782921086516</v>
      </c>
    </row>
    <row r="26" spans="1:66">
      <c r="A26" s="159" t="s">
        <v>17</v>
      </c>
      <c r="B26" s="160"/>
      <c r="C26" s="161"/>
      <c r="D26" s="108"/>
      <c r="E26" s="94">
        <v>7</v>
      </c>
      <c r="F26" s="74">
        <f t="shared" si="6"/>
        <v>-0.46735582791521796</v>
      </c>
      <c r="G26" s="98">
        <f t="shared" si="7"/>
        <v>0.1</v>
      </c>
      <c r="H26" s="98">
        <v>0</v>
      </c>
      <c r="I26" s="18">
        <f t="shared" si="8"/>
        <v>907</v>
      </c>
      <c r="J26" s="18">
        <v>235.88523360555769</v>
      </c>
      <c r="K26" s="18">
        <f t="shared" si="25"/>
        <v>3.8450901997395319</v>
      </c>
      <c r="L26" s="118">
        <f t="shared" si="26"/>
        <v>2.2334908717643782</v>
      </c>
      <c r="M26" s="118">
        <f t="shared" si="9"/>
        <v>-0.10294671860967419</v>
      </c>
      <c r="N26" s="113">
        <f t="shared" si="10"/>
        <v>18644.837002092285</v>
      </c>
      <c r="O26" s="20">
        <f t="shared" si="11"/>
        <v>15971.230840083972</v>
      </c>
      <c r="P26" s="21">
        <v>7</v>
      </c>
      <c r="Q26" s="143">
        <f t="shared" si="27"/>
        <v>3971.704443996432</v>
      </c>
      <c r="R26" s="132">
        <f t="shared" si="40"/>
        <v>3095.042924197789</v>
      </c>
      <c r="S26" s="132">
        <f t="shared" si="28"/>
        <v>2412.0948393395925</v>
      </c>
      <c r="T26" s="132">
        <f t="shared" si="28"/>
        <v>1873.0596376215756</v>
      </c>
      <c r="U26" s="132">
        <f t="shared" si="28"/>
        <v>1345.335630825047</v>
      </c>
      <c r="V26" s="132">
        <f t="shared" si="28"/>
        <v>948.63470048428667</v>
      </c>
      <c r="W26" s="132">
        <f t="shared" si="28"/>
        <v>671.48585212137345</v>
      </c>
      <c r="X26" s="132">
        <f t="shared" si="28"/>
        <v>473.1899169204475</v>
      </c>
      <c r="Y26" s="132">
        <f t="shared" si="28"/>
        <v>333.45154022844747</v>
      </c>
      <c r="Z26" s="132">
        <f t="shared" si="28"/>
        <v>234.98124177793338</v>
      </c>
      <c r="AA26" s="132">
        <f t="shared" si="41"/>
        <v>612.25011257104688</v>
      </c>
      <c r="AC26" s="33">
        <v>7</v>
      </c>
      <c r="AD26" s="18">
        <v>0</v>
      </c>
      <c r="AE26" s="18">
        <v>0</v>
      </c>
      <c r="AF26" s="18">
        <v>34</v>
      </c>
      <c r="AG26" s="18">
        <v>351</v>
      </c>
      <c r="AH26" s="18">
        <v>240</v>
      </c>
      <c r="AI26" s="18">
        <v>149</v>
      </c>
      <c r="AJ26" s="18">
        <v>70</v>
      </c>
      <c r="AK26" s="18">
        <v>35</v>
      </c>
      <c r="AL26" s="18">
        <v>15</v>
      </c>
      <c r="AM26" s="18">
        <v>7</v>
      </c>
      <c r="AN26" s="16">
        <v>6</v>
      </c>
      <c r="AP26" s="47">
        <v>7</v>
      </c>
      <c r="AQ26" s="42">
        <f t="shared" si="13"/>
        <v>2.6662706008235182E-9</v>
      </c>
      <c r="AR26" s="42">
        <f t="shared" si="14"/>
        <v>7.943099964778705E-6</v>
      </c>
      <c r="AS26" s="42">
        <f t="shared" si="15"/>
        <v>3.6525057598242173E-3</v>
      </c>
      <c r="AT26" s="42">
        <f t="shared" si="16"/>
        <v>8.1506959920156552E-2</v>
      </c>
      <c r="AU26" s="42">
        <f t="shared" si="17"/>
        <v>9.9423571624784782E-2</v>
      </c>
      <c r="AV26" s="42">
        <f t="shared" si="18"/>
        <v>9.9965710356892903E-2</v>
      </c>
      <c r="AW26" s="42">
        <f t="shared" si="19"/>
        <v>9.9996123080004634E-2</v>
      </c>
      <c r="AX26" s="42">
        <f t="shared" si="20"/>
        <v>9.9999278124083879E-2</v>
      </c>
      <c r="AY26" s="42">
        <f t="shared" si="21"/>
        <v>9.9999802499644741E-2</v>
      </c>
      <c r="AZ26" s="42">
        <f t="shared" si="22"/>
        <v>9.9999927298087085E-2</v>
      </c>
      <c r="BA26" s="42">
        <f t="shared" si="23"/>
        <v>9.9999966357194478E-2</v>
      </c>
      <c r="BC26" s="56">
        <v>7</v>
      </c>
      <c r="BD26" s="50">
        <f t="shared" si="29"/>
        <v>9.3696792233529273E-6</v>
      </c>
      <c r="BE26" s="50">
        <f t="shared" si="30"/>
        <v>2.1751971632573978E-2</v>
      </c>
      <c r="BF26" s="50">
        <f t="shared" si="31"/>
        <v>7.7816015138400649</v>
      </c>
      <c r="BG26" s="50">
        <f t="shared" si="32"/>
        <v>129.94133090910648</v>
      </c>
      <c r="BH26" s="50">
        <f t="shared" si="33"/>
        <v>112.88878857036822</v>
      </c>
      <c r="BI26" s="50">
        <f t="shared" si="34"/>
        <v>80.014739251229784</v>
      </c>
      <c r="BJ26" s="50">
        <f t="shared" si="35"/>
        <v>56.654412534974846</v>
      </c>
      <c r="BK26" s="50">
        <f t="shared" si="36"/>
        <v>39.92504487218919</v>
      </c>
      <c r="BL26" s="50">
        <f t="shared" si="37"/>
        <v>28.13486457319329</v>
      </c>
      <c r="BM26" s="50">
        <f t="shared" si="38"/>
        <v>19.826488947283568</v>
      </c>
      <c r="BN26" s="50">
        <f t="shared" si="39"/>
        <v>51.658483528523853</v>
      </c>
    </row>
    <row r="27" spans="1:66" ht="17">
      <c r="A27" s="95" t="s">
        <v>79</v>
      </c>
      <c r="B27" s="1" t="s">
        <v>20</v>
      </c>
      <c r="C27" s="70" cm="1">
        <f t="array" ref="C27">SUMPRODUCT(Ro*J8:T8,J6:T6)</f>
        <v>21859.821355230666</v>
      </c>
      <c r="D27" s="101"/>
      <c r="E27" s="94">
        <v>8</v>
      </c>
      <c r="F27" s="74">
        <f t="shared" si="6"/>
        <v>-0.46735582791521796</v>
      </c>
      <c r="G27" s="98">
        <f t="shared" si="7"/>
        <v>0.1</v>
      </c>
      <c r="H27" s="98">
        <v>0</v>
      </c>
      <c r="I27" s="18">
        <f t="shared" si="8"/>
        <v>883</v>
      </c>
      <c r="J27" s="18">
        <v>306.65970178479904</v>
      </c>
      <c r="K27" s="18">
        <f t="shared" si="25"/>
        <v>2.8794132220856734</v>
      </c>
      <c r="L27" s="118">
        <f t="shared" si="26"/>
        <v>1.7124631778794601</v>
      </c>
      <c r="M27" s="118">
        <f t="shared" si="9"/>
        <v>-0.15306715719595998</v>
      </c>
      <c r="N27" s="113">
        <f t="shared" si="10"/>
        <v>18515.497913915373</v>
      </c>
      <c r="O27" s="20">
        <f t="shared" si="11"/>
        <v>15945.379240310705</v>
      </c>
      <c r="P27" s="21">
        <v>8</v>
      </c>
      <c r="Q27" s="143">
        <f t="shared" si="27"/>
        <v>3969.8003934361195</v>
      </c>
      <c r="R27" s="132">
        <f t="shared" si="40"/>
        <v>3093.166522865381</v>
      </c>
      <c r="S27" s="132">
        <f t="shared" si="28"/>
        <v>2410.4027068591531</v>
      </c>
      <c r="T27" s="132">
        <f t="shared" si="28"/>
        <v>1871.6924819987605</v>
      </c>
      <c r="U27" s="132">
        <f t="shared" si="28"/>
        <v>1344.5593031733979</v>
      </c>
      <c r="V27" s="132">
        <f t="shared" si="28"/>
        <v>948.58863155691824</v>
      </c>
      <c r="W27" s="132">
        <f t="shared" si="28"/>
        <v>668.51449765568395</v>
      </c>
      <c r="X27" s="132">
        <f t="shared" si="28"/>
        <v>473.1899169204475</v>
      </c>
      <c r="Y27" s="132">
        <f t="shared" si="28"/>
        <v>333.45153933937542</v>
      </c>
      <c r="Z27" s="132">
        <f t="shared" si="28"/>
        <v>234.9793753058529</v>
      </c>
      <c r="AA27" s="132">
        <f t="shared" si="41"/>
        <v>597.03387119961371</v>
      </c>
      <c r="AC27" s="33">
        <v>8</v>
      </c>
      <c r="AD27" s="18">
        <v>0</v>
      </c>
      <c r="AE27" s="18">
        <v>0</v>
      </c>
      <c r="AF27" s="18">
        <v>44</v>
      </c>
      <c r="AG27" s="18">
        <v>351</v>
      </c>
      <c r="AH27" s="18">
        <v>212</v>
      </c>
      <c r="AI27" s="18">
        <v>129</v>
      </c>
      <c r="AJ27" s="18">
        <v>80</v>
      </c>
      <c r="AK27" s="18">
        <v>37</v>
      </c>
      <c r="AL27" s="18">
        <v>18</v>
      </c>
      <c r="AM27" s="18">
        <v>8</v>
      </c>
      <c r="AN27" s="16">
        <v>4</v>
      </c>
      <c r="AP27" s="47">
        <v>8</v>
      </c>
      <c r="AQ27" s="42">
        <f t="shared" si="13"/>
        <v>2.6662706008235182E-9</v>
      </c>
      <c r="AR27" s="42">
        <f t="shared" si="14"/>
        <v>7.943099964778705E-6</v>
      </c>
      <c r="AS27" s="42">
        <f t="shared" si="15"/>
        <v>3.6525057598242173E-3</v>
      </c>
      <c r="AT27" s="42">
        <f t="shared" si="16"/>
        <v>8.1506959920156552E-2</v>
      </c>
      <c r="AU27" s="42">
        <f t="shared" si="17"/>
        <v>9.9423571624784782E-2</v>
      </c>
      <c r="AV27" s="42">
        <f t="shared" si="18"/>
        <v>9.9965710356892903E-2</v>
      </c>
      <c r="AW27" s="42">
        <f t="shared" si="19"/>
        <v>9.9996123080004634E-2</v>
      </c>
      <c r="AX27" s="42">
        <f t="shared" si="20"/>
        <v>9.9999278124083879E-2</v>
      </c>
      <c r="AY27" s="42">
        <f t="shared" si="21"/>
        <v>9.9999802499644741E-2</v>
      </c>
      <c r="AZ27" s="42">
        <f t="shared" si="22"/>
        <v>9.9999927298087085E-2</v>
      </c>
      <c r="BA27" s="42">
        <f t="shared" si="23"/>
        <v>9.9999966357194478E-2</v>
      </c>
      <c r="BC27" s="56">
        <v>8</v>
      </c>
      <c r="BD27" s="50">
        <f t="shared" si="29"/>
        <v>9.3651873626853651E-6</v>
      </c>
      <c r="BE27" s="50">
        <f t="shared" si="30"/>
        <v>2.1738784277970664E-2</v>
      </c>
      <c r="BF27" s="50">
        <f t="shared" si="31"/>
        <v>7.7761425656856842</v>
      </c>
      <c r="BG27" s="50">
        <f t="shared" si="32"/>
        <v>129.84648608002561</v>
      </c>
      <c r="BH27" s="50">
        <f t="shared" si="33"/>
        <v>112.82364595010282</v>
      </c>
      <c r="BI27" s="50">
        <f t="shared" si="34"/>
        <v>80.010853463361087</v>
      </c>
      <c r="BJ27" s="50">
        <f t="shared" si="35"/>
        <v>56.40371426463156</v>
      </c>
      <c r="BK27" s="50">
        <f t="shared" si="36"/>
        <v>39.92504487218919</v>
      </c>
      <c r="BL27" s="50">
        <f t="shared" si="37"/>
        <v>28.134864498178128</v>
      </c>
      <c r="BM27" s="50">
        <f t="shared" si="38"/>
        <v>19.826331464125364</v>
      </c>
      <c r="BN27" s="50">
        <f t="shared" si="39"/>
        <v>50.374616138199755</v>
      </c>
    </row>
    <row r="28" spans="1:66">
      <c r="A28" s="95"/>
      <c r="B28" s="1" t="s">
        <v>21</v>
      </c>
      <c r="C28" s="70" cm="1">
        <f t="array" ref="C28">SUMPRODUCT(Ro*J8:T8,J5:T5,J7:T7)</f>
        <v>32368.296462309012</v>
      </c>
      <c r="D28" s="101"/>
      <c r="E28" s="94">
        <v>9</v>
      </c>
      <c r="F28" s="74">
        <f t="shared" si="6"/>
        <v>-0.46735582791521796</v>
      </c>
      <c r="G28" s="98">
        <f t="shared" si="7"/>
        <v>0.1</v>
      </c>
      <c r="H28" s="98">
        <v>0</v>
      </c>
      <c r="I28" s="18">
        <f t="shared" si="8"/>
        <v>644</v>
      </c>
      <c r="J28" s="18">
        <v>267.14062033052551</v>
      </c>
      <c r="K28" s="18">
        <f t="shared" si="25"/>
        <v>2.4107153723128931</v>
      </c>
      <c r="L28" s="118">
        <f t="shared" si="26"/>
        <v>1.9608955944203794</v>
      </c>
      <c r="M28" s="118">
        <f t="shared" si="9"/>
        <v>-0.60784431459073318</v>
      </c>
      <c r="N28" s="113">
        <f t="shared" si="10"/>
        <v>18419.698160756601</v>
      </c>
      <c r="O28" s="20">
        <f t="shared" si="11"/>
        <v>15925.319809104769</v>
      </c>
      <c r="P28" s="21">
        <v>9</v>
      </c>
      <c r="Q28" s="143">
        <f t="shared" si="27"/>
        <v>3968.3773557525924</v>
      </c>
      <c r="R28" s="132">
        <f t="shared" si="40"/>
        <v>3091.6836468019555</v>
      </c>
      <c r="S28" s="132">
        <f t="shared" si="28"/>
        <v>2408.9413756396639</v>
      </c>
      <c r="T28" s="132">
        <f t="shared" si="28"/>
        <v>1870.3794525147907</v>
      </c>
      <c r="U28" s="132">
        <f t="shared" si="28"/>
        <v>1343.5779025951033</v>
      </c>
      <c r="V28" s="132">
        <f t="shared" si="28"/>
        <v>948.04124727016892</v>
      </c>
      <c r="W28" s="132">
        <f t="shared" si="28"/>
        <v>668.48203231805553</v>
      </c>
      <c r="X28" s="132">
        <f t="shared" si="28"/>
        <v>471.09603070033</v>
      </c>
      <c r="Y28" s="132">
        <f t="shared" si="28"/>
        <v>333.45153933937542</v>
      </c>
      <c r="Z28" s="132">
        <f t="shared" si="28"/>
        <v>234.97937467933428</v>
      </c>
      <c r="AA28" s="132">
        <f t="shared" si="41"/>
        <v>586.30985149339733</v>
      </c>
      <c r="AC28" s="33">
        <v>9</v>
      </c>
      <c r="AD28" s="18">
        <v>0</v>
      </c>
      <c r="AE28" s="18">
        <v>0</v>
      </c>
      <c r="AF28" s="18">
        <v>28</v>
      </c>
      <c r="AG28" s="18">
        <v>261</v>
      </c>
      <c r="AH28" s="18">
        <v>155</v>
      </c>
      <c r="AI28" s="18">
        <v>88</v>
      </c>
      <c r="AJ28" s="18">
        <v>53</v>
      </c>
      <c r="AK28" s="18">
        <v>33</v>
      </c>
      <c r="AL28" s="18">
        <v>15</v>
      </c>
      <c r="AM28" s="18">
        <v>8</v>
      </c>
      <c r="AN28" s="16">
        <v>3</v>
      </c>
      <c r="AP28" s="47">
        <v>9</v>
      </c>
      <c r="AQ28" s="42">
        <f t="shared" si="13"/>
        <v>2.6662706008235182E-9</v>
      </c>
      <c r="AR28" s="42">
        <f t="shared" si="14"/>
        <v>7.943099964778705E-6</v>
      </c>
      <c r="AS28" s="42">
        <f t="shared" si="15"/>
        <v>3.6525057598242173E-3</v>
      </c>
      <c r="AT28" s="42">
        <f t="shared" si="16"/>
        <v>8.1506959920156552E-2</v>
      </c>
      <c r="AU28" s="42">
        <f t="shared" si="17"/>
        <v>9.9423571624784782E-2</v>
      </c>
      <c r="AV28" s="42">
        <f t="shared" si="18"/>
        <v>9.9965710356892903E-2</v>
      </c>
      <c r="AW28" s="42">
        <f t="shared" si="19"/>
        <v>9.9996123080004634E-2</v>
      </c>
      <c r="AX28" s="42">
        <f t="shared" si="20"/>
        <v>9.9999278124083879E-2</v>
      </c>
      <c r="AY28" s="42">
        <f t="shared" si="21"/>
        <v>9.9999802499644741E-2</v>
      </c>
      <c r="AZ28" s="42">
        <f t="shared" si="22"/>
        <v>9.9999927298087085E-2</v>
      </c>
      <c r="BA28" s="42">
        <f t="shared" si="23"/>
        <v>9.9999966357194478E-2</v>
      </c>
      <c r="BC28" s="56">
        <v>9</v>
      </c>
      <c r="BD28" s="50">
        <f t="shared" si="29"/>
        <v>9.3618302632824762E-6</v>
      </c>
      <c r="BE28" s="50">
        <f t="shared" si="30"/>
        <v>2.1728362620224314E-2</v>
      </c>
      <c r="BF28" s="50">
        <f t="shared" si="31"/>
        <v>7.7714281999632675</v>
      </c>
      <c r="BG28" s="50">
        <f t="shared" si="32"/>
        <v>129.75539618878938</v>
      </c>
      <c r="BH28" s="50">
        <f t="shared" si="33"/>
        <v>112.741295405118</v>
      </c>
      <c r="BI28" s="50">
        <f t="shared" si="34"/>
        <v>79.964683097727075</v>
      </c>
      <c r="BJ28" s="50">
        <f t="shared" si="35"/>
        <v>56.400975108437464</v>
      </c>
      <c r="BK28" s="50">
        <f t="shared" si="36"/>
        <v>39.748374790460659</v>
      </c>
      <c r="BL28" s="50">
        <f t="shared" si="37"/>
        <v>28.134864498178128</v>
      </c>
      <c r="BM28" s="50">
        <f t="shared" si="38"/>
        <v>19.826331411262998</v>
      </c>
      <c r="BN28" s="50">
        <f t="shared" si="39"/>
        <v>49.469779072467311</v>
      </c>
    </row>
    <row r="29" spans="1:66" ht="16" customHeight="1">
      <c r="A29" s="162" t="s">
        <v>8</v>
      </c>
      <c r="B29" s="8" t="s">
        <v>9</v>
      </c>
      <c r="C29" s="67">
        <f>(4*h*Ro)/((1-h)*C27)</f>
        <v>4.1476398728652804</v>
      </c>
      <c r="D29" s="103"/>
      <c r="E29" s="94">
        <v>10</v>
      </c>
      <c r="F29" s="74">
        <f t="shared" si="6"/>
        <v>-0.46735582791521796</v>
      </c>
      <c r="G29" s="98">
        <f t="shared" si="7"/>
        <v>0.1</v>
      </c>
      <c r="H29" s="98">
        <v>0</v>
      </c>
      <c r="I29" s="18">
        <f t="shared" si="8"/>
        <v>384</v>
      </c>
      <c r="J29" s="18">
        <v>102.62482144956589</v>
      </c>
      <c r="K29" s="18">
        <f t="shared" si="25"/>
        <v>3.7417848292063884</v>
      </c>
      <c r="L29" s="118">
        <f t="shared" si="26"/>
        <v>5.0944635002026919</v>
      </c>
      <c r="M29" s="118">
        <f t="shared" si="9"/>
        <v>-0.50268958345211434</v>
      </c>
      <c r="N29" s="113">
        <f t="shared" si="10"/>
        <v>18347.89205195535</v>
      </c>
      <c r="O29" s="20">
        <f t="shared" si="11"/>
        <v>15909.780734001148</v>
      </c>
      <c r="P29" s="21">
        <v>10</v>
      </c>
      <c r="Q29" s="143">
        <f t="shared" si="27"/>
        <v>3967.3111165003852</v>
      </c>
      <c r="R29" s="132">
        <f t="shared" si="40"/>
        <v>3090.5753839426397</v>
      </c>
      <c r="S29" s="132">
        <f t="shared" si="28"/>
        <v>2407.7865197734423</v>
      </c>
      <c r="T29" s="132">
        <f t="shared" si="28"/>
        <v>1869.2455158997707</v>
      </c>
      <c r="U29" s="132">
        <f t="shared" si="28"/>
        <v>1342.6353559871084</v>
      </c>
      <c r="V29" s="132">
        <f t="shared" si="28"/>
        <v>947.34926720939939</v>
      </c>
      <c r="W29" s="132">
        <f t="shared" si="28"/>
        <v>668.09628390373553</v>
      </c>
      <c r="X29" s="132">
        <f t="shared" si="28"/>
        <v>471.07315267487843</v>
      </c>
      <c r="Y29" s="132">
        <f t="shared" si="28"/>
        <v>331.97600159367772</v>
      </c>
      <c r="Z29" s="132">
        <f t="shared" si="28"/>
        <v>234.97937467933428</v>
      </c>
      <c r="AA29" s="132">
        <f t="shared" si="41"/>
        <v>578.7527618367759</v>
      </c>
      <c r="AC29" s="33">
        <v>10</v>
      </c>
      <c r="AD29" s="18">
        <v>0</v>
      </c>
      <c r="AE29" s="18">
        <v>0</v>
      </c>
      <c r="AF29" s="18">
        <v>11</v>
      </c>
      <c r="AG29" s="18">
        <v>160</v>
      </c>
      <c r="AH29" s="18">
        <v>97</v>
      </c>
      <c r="AI29" s="18">
        <v>51</v>
      </c>
      <c r="AJ29" s="18">
        <v>29</v>
      </c>
      <c r="AK29" s="18">
        <v>18</v>
      </c>
      <c r="AL29" s="18">
        <v>11</v>
      </c>
      <c r="AM29" s="18">
        <v>5</v>
      </c>
      <c r="AN29" s="16">
        <v>2</v>
      </c>
      <c r="AP29" s="47">
        <v>10</v>
      </c>
      <c r="AQ29" s="42">
        <f t="shared" si="13"/>
        <v>2.6662706008235182E-9</v>
      </c>
      <c r="AR29" s="42">
        <f t="shared" si="14"/>
        <v>7.943099964778705E-6</v>
      </c>
      <c r="AS29" s="42">
        <f t="shared" si="15"/>
        <v>3.6525057598242173E-3</v>
      </c>
      <c r="AT29" s="42">
        <f t="shared" si="16"/>
        <v>8.1506959920156552E-2</v>
      </c>
      <c r="AU29" s="42">
        <f t="shared" si="17"/>
        <v>9.9423571624784782E-2</v>
      </c>
      <c r="AV29" s="42">
        <f t="shared" si="18"/>
        <v>9.9965710356892903E-2</v>
      </c>
      <c r="AW29" s="42">
        <f t="shared" si="19"/>
        <v>9.9996123080004634E-2</v>
      </c>
      <c r="AX29" s="42">
        <f t="shared" si="20"/>
        <v>9.9999278124083879E-2</v>
      </c>
      <c r="AY29" s="42">
        <f t="shared" si="21"/>
        <v>9.9999802499644741E-2</v>
      </c>
      <c r="AZ29" s="42">
        <f t="shared" si="22"/>
        <v>9.9999927298087085E-2</v>
      </c>
      <c r="BA29" s="42">
        <f t="shared" si="23"/>
        <v>9.9999966357194478E-2</v>
      </c>
      <c r="BC29" s="56">
        <v>10</v>
      </c>
      <c r="BD29" s="50">
        <f t="shared" si="29"/>
        <v>9.3593148898680136E-6</v>
      </c>
      <c r="BE29" s="50">
        <f t="shared" si="30"/>
        <v>2.1720573745282131E-2</v>
      </c>
      <c r="BF29" s="50">
        <f t="shared" si="31"/>
        <v>7.7677025470534851</v>
      </c>
      <c r="BG29" s="50">
        <f t="shared" si="32"/>
        <v>129.6767306567568</v>
      </c>
      <c r="BH29" s="50">
        <f t="shared" si="33"/>
        <v>112.66220514517862</v>
      </c>
      <c r="BI29" s="50">
        <f t="shared" si="34"/>
        <v>79.906316474514512</v>
      </c>
      <c r="BJ29" s="50">
        <f t="shared" si="35"/>
        <v>56.368428853396416</v>
      </c>
      <c r="BK29" s="50">
        <f t="shared" si="36"/>
        <v>39.746444474196345</v>
      </c>
      <c r="BL29" s="50">
        <f t="shared" si="37"/>
        <v>28.01036648380579</v>
      </c>
      <c r="BM29" s="50">
        <f t="shared" si="38"/>
        <v>19.826331411262998</v>
      </c>
      <c r="BN29" s="50">
        <f t="shared" si="39"/>
        <v>48.832151110406535</v>
      </c>
    </row>
    <row r="30" spans="1:66">
      <c r="A30" s="162"/>
      <c r="B30" s="8" t="s">
        <v>10</v>
      </c>
      <c r="C30" s="66">
        <f>(5*h-1)/((1-h)*C27)</f>
        <v>9.9116394020677657E-4</v>
      </c>
      <c r="D30" s="104"/>
      <c r="E30" s="94">
        <v>11</v>
      </c>
      <c r="F30" s="74">
        <f t="shared" si="6"/>
        <v>-0.46735582791521796</v>
      </c>
      <c r="G30" s="98">
        <f t="shared" si="7"/>
        <v>0.1</v>
      </c>
      <c r="H30" s="98">
        <v>0</v>
      </c>
      <c r="I30" s="18">
        <f t="shared" si="8"/>
        <v>663</v>
      </c>
      <c r="J30" s="18">
        <v>260.44640221469183</v>
      </c>
      <c r="K30" s="18">
        <f t="shared" si="25"/>
        <v>2.545629328576688</v>
      </c>
      <c r="L30" s="118">
        <f t="shared" si="26"/>
        <v>2.0043532392775201</v>
      </c>
      <c r="M30" s="118">
        <f t="shared" si="9"/>
        <v>-0.57885119362083359</v>
      </c>
      <c r="N30" s="113">
        <f t="shared" si="10"/>
        <v>18293.410653469193</v>
      </c>
      <c r="O30" s="20">
        <f t="shared" si="11"/>
        <v>15897.765642195855</v>
      </c>
      <c r="P30" s="21">
        <v>11</v>
      </c>
      <c r="Q30" s="143">
        <f t="shared" si="27"/>
        <v>3966.5050034873775</v>
      </c>
      <c r="R30" s="132">
        <f t="shared" si="40"/>
        <v>3089.7449959802934</v>
      </c>
      <c r="S30" s="132">
        <f t="shared" si="28"/>
        <v>2406.9234106465474</v>
      </c>
      <c r="T30" s="132">
        <f t="shared" si="28"/>
        <v>1868.3493923281158</v>
      </c>
      <c r="U30" s="132">
        <f t="shared" si="28"/>
        <v>1341.8213696119228</v>
      </c>
      <c r="V30" s="132">
        <f t="shared" si="28"/>
        <v>946.68468286585664</v>
      </c>
      <c r="W30" s="132">
        <f t="shared" si="28"/>
        <v>667.60863707563931</v>
      </c>
      <c r="X30" s="132">
        <f t="shared" si="28"/>
        <v>470.8013193078051</v>
      </c>
      <c r="Y30" s="132">
        <f t="shared" si="28"/>
        <v>331.95987970998772</v>
      </c>
      <c r="Z30" s="132">
        <f t="shared" si="28"/>
        <v>233.93958059865105</v>
      </c>
      <c r="AA30" s="132">
        <f t="shared" si="41"/>
        <v>573.42737058365719</v>
      </c>
      <c r="AC30" s="33">
        <v>11</v>
      </c>
      <c r="AD30" s="18">
        <v>0</v>
      </c>
      <c r="AE30" s="18">
        <v>0</v>
      </c>
      <c r="AF30" s="18">
        <v>29</v>
      </c>
      <c r="AG30" s="18">
        <v>258</v>
      </c>
      <c r="AH30" s="18">
        <v>179</v>
      </c>
      <c r="AI30" s="18">
        <v>91</v>
      </c>
      <c r="AJ30" s="18">
        <v>48</v>
      </c>
      <c r="AK30" s="18">
        <v>27</v>
      </c>
      <c r="AL30" s="18">
        <v>16</v>
      </c>
      <c r="AM30" s="18">
        <v>10</v>
      </c>
      <c r="AN30" s="16">
        <v>5</v>
      </c>
      <c r="AP30" s="47">
        <v>11</v>
      </c>
      <c r="AQ30" s="42">
        <f t="shared" si="13"/>
        <v>2.6662706008235182E-9</v>
      </c>
      <c r="AR30" s="42">
        <f t="shared" si="14"/>
        <v>7.943099964778705E-6</v>
      </c>
      <c r="AS30" s="42">
        <f t="shared" si="15"/>
        <v>3.6525057598242173E-3</v>
      </c>
      <c r="AT30" s="42">
        <f t="shared" si="16"/>
        <v>8.1506959920156552E-2</v>
      </c>
      <c r="AU30" s="42">
        <f t="shared" si="17"/>
        <v>9.9423571624784782E-2</v>
      </c>
      <c r="AV30" s="42">
        <f t="shared" si="18"/>
        <v>9.9965710356892903E-2</v>
      </c>
      <c r="AW30" s="42">
        <f t="shared" si="19"/>
        <v>9.9996123080004634E-2</v>
      </c>
      <c r="AX30" s="42">
        <f t="shared" si="20"/>
        <v>9.9999278124083879E-2</v>
      </c>
      <c r="AY30" s="42">
        <f t="shared" si="21"/>
        <v>9.9999802499644741E-2</v>
      </c>
      <c r="AZ30" s="42">
        <f t="shared" si="22"/>
        <v>9.9999927298087085E-2</v>
      </c>
      <c r="BA30" s="42">
        <f t="shared" si="23"/>
        <v>9.9999966357194478E-2</v>
      </c>
      <c r="BC30" s="56">
        <v>11</v>
      </c>
      <c r="BD30" s="50">
        <f t="shared" si="29"/>
        <v>9.357413182312441E-6</v>
      </c>
      <c r="BE30" s="50">
        <f t="shared" si="30"/>
        <v>2.1714737776010178E-2</v>
      </c>
      <c r="BF30" s="50">
        <f t="shared" si="31"/>
        <v>7.7649180913269049</v>
      </c>
      <c r="BG30" s="50">
        <f t="shared" si="32"/>
        <v>129.61456312763971</v>
      </c>
      <c r="BH30" s="50">
        <f t="shared" si="33"/>
        <v>112.59390253451251</v>
      </c>
      <c r="BI30" s="50">
        <f t="shared" si="34"/>
        <v>79.850260605029803</v>
      </c>
      <c r="BJ30" s="50">
        <f t="shared" si="35"/>
        <v>56.327285254491009</v>
      </c>
      <c r="BK30" s="50">
        <f t="shared" si="36"/>
        <v>39.723508737423273</v>
      </c>
      <c r="BL30" s="50">
        <f t="shared" si="37"/>
        <v>28.009006205145891</v>
      </c>
      <c r="BM30" s="50">
        <f t="shared" si="38"/>
        <v>19.738599021681026</v>
      </c>
      <c r="BN30" s="50">
        <f t="shared" si="39"/>
        <v>48.382822264754012</v>
      </c>
    </row>
    <row r="31" spans="1:66" ht="17" customHeight="1" thickBot="1">
      <c r="A31" s="163"/>
      <c r="B31" s="61" t="s">
        <v>75</v>
      </c>
      <c r="C31" s="69">
        <f>(4*h)/(1-h)</f>
        <v>22.666666666666664</v>
      </c>
      <c r="D31" s="103"/>
      <c r="E31" s="94">
        <v>12</v>
      </c>
      <c r="F31" s="74">
        <f t="shared" ref="F31" si="42">-LN(_xlfn.NORM.DIST(H31,0,sigmaF,FALSE))</f>
        <v>-0.46735582791521796</v>
      </c>
      <c r="G31" s="98">
        <f t="shared" ref="G31" si="43">MAX(0.000001,Fbar+H31)</f>
        <v>0.1</v>
      </c>
      <c r="H31" s="98">
        <v>0</v>
      </c>
      <c r="I31" s="18">
        <f t="shared" si="8"/>
        <v>600</v>
      </c>
      <c r="J31" s="18">
        <v>313.43959449316407</v>
      </c>
      <c r="K31" s="18">
        <f t="shared" si="25"/>
        <v>1.9142444366998619</v>
      </c>
      <c r="L31" s="118">
        <f t="shared" si="26"/>
        <v>1.6635152897030552</v>
      </c>
      <c r="M31" s="118">
        <f t="shared" si="9"/>
        <v>-0.65372848364244773</v>
      </c>
      <c r="N31" s="113">
        <f t="shared" si="10"/>
        <v>18251.645943390271</v>
      </c>
      <c r="O31" s="20">
        <f t="shared" si="11"/>
        <v>15888.488194720161</v>
      </c>
      <c r="P31" s="21">
        <v>12</v>
      </c>
      <c r="Q31" s="143">
        <f t="shared" ref="Q31" si="44">(bha*N30)/(1+bhb*N30)</f>
        <v>3965.8893803285373</v>
      </c>
      <c r="R31" s="132">
        <f t="shared" si="40"/>
        <v>3089.1171945361925</v>
      </c>
      <c r="S31" s="132">
        <f t="shared" si="28"/>
        <v>2406.2767089880554</v>
      </c>
      <c r="T31" s="132">
        <f t="shared" si="28"/>
        <v>1867.6796529639721</v>
      </c>
      <c r="U31" s="132">
        <f t="shared" si="28"/>
        <v>1341.178095227669</v>
      </c>
      <c r="V31" s="132">
        <f t="shared" si="28"/>
        <v>946.11074562369083</v>
      </c>
      <c r="W31" s="132">
        <f t="shared" si="28"/>
        <v>667.1402963451701</v>
      </c>
      <c r="X31" s="132">
        <f t="shared" si="28"/>
        <v>470.45767906379342</v>
      </c>
      <c r="Y31" s="132">
        <f t="shared" si="28"/>
        <v>331.76832183554205</v>
      </c>
      <c r="Z31" s="132">
        <f t="shared" si="28"/>
        <v>233.92821969698707</v>
      </c>
      <c r="AA31" s="132">
        <f t="shared" si="41"/>
        <v>568.94190011055116</v>
      </c>
      <c r="AC31" s="33">
        <v>12</v>
      </c>
      <c r="AD31" s="18">
        <v>0</v>
      </c>
      <c r="AE31" s="18">
        <v>0</v>
      </c>
      <c r="AF31" s="18">
        <v>32</v>
      </c>
      <c r="AG31" s="18">
        <v>247</v>
      </c>
      <c r="AH31" s="18">
        <v>139</v>
      </c>
      <c r="AI31" s="18">
        <v>88</v>
      </c>
      <c r="AJ31" s="18">
        <v>45</v>
      </c>
      <c r="AK31" s="18">
        <v>23</v>
      </c>
      <c r="AL31" s="18">
        <v>13</v>
      </c>
      <c r="AM31" s="18">
        <v>8</v>
      </c>
      <c r="AN31" s="16">
        <v>5</v>
      </c>
      <c r="AP31" s="47">
        <v>12</v>
      </c>
      <c r="AQ31" s="42">
        <f t="shared" si="13"/>
        <v>2.6662706008235182E-9</v>
      </c>
      <c r="AR31" s="42">
        <f t="shared" si="14"/>
        <v>7.943099964778705E-6</v>
      </c>
      <c r="AS31" s="42">
        <f t="shared" si="15"/>
        <v>3.6525057598242173E-3</v>
      </c>
      <c r="AT31" s="42">
        <f t="shared" si="16"/>
        <v>8.1506959920156552E-2</v>
      </c>
      <c r="AU31" s="42">
        <f t="shared" si="17"/>
        <v>9.9423571624784782E-2</v>
      </c>
      <c r="AV31" s="42">
        <f t="shared" si="18"/>
        <v>9.9965710356892903E-2</v>
      </c>
      <c r="AW31" s="42">
        <f t="shared" si="19"/>
        <v>9.9996123080004634E-2</v>
      </c>
      <c r="AX31" s="42">
        <f t="shared" si="20"/>
        <v>9.9999278124083879E-2</v>
      </c>
      <c r="AY31" s="42">
        <f t="shared" si="21"/>
        <v>9.9999802499644741E-2</v>
      </c>
      <c r="AZ31" s="42">
        <f t="shared" si="22"/>
        <v>9.9999927298087085E-2</v>
      </c>
      <c r="BA31" s="42">
        <f t="shared" si="23"/>
        <v>9.9999966357194478E-2</v>
      </c>
      <c r="BC31" s="56">
        <v>12</v>
      </c>
      <c r="BD31" s="50">
        <f t="shared" si="29"/>
        <v>9.3559608608715738E-6</v>
      </c>
      <c r="BE31" s="50">
        <f t="shared" si="30"/>
        <v>2.1710325585440476E-2</v>
      </c>
      <c r="BF31" s="50">
        <f t="shared" si="31"/>
        <v>7.762831782562154</v>
      </c>
      <c r="BG31" s="50">
        <f t="shared" si="32"/>
        <v>129.56810073926133</v>
      </c>
      <c r="BH31" s="50">
        <f t="shared" si="33"/>
        <v>112.53992457964914</v>
      </c>
      <c r="BI31" s="50">
        <f t="shared" si="34"/>
        <v>79.801850570318834</v>
      </c>
      <c r="BJ31" s="50">
        <f t="shared" si="35"/>
        <v>56.287770544140663</v>
      </c>
      <c r="BK31" s="50">
        <f t="shared" si="36"/>
        <v>39.694514349184089</v>
      </c>
      <c r="BL31" s="50">
        <f t="shared" si="37"/>
        <v>27.992843572183496</v>
      </c>
      <c r="BM31" s="50">
        <f t="shared" si="38"/>
        <v>19.737640448181423</v>
      </c>
      <c r="BN31" s="50">
        <f t="shared" si="39"/>
        <v>48.004361570676572</v>
      </c>
    </row>
    <row r="32" spans="1:66">
      <c r="A32" s="116"/>
      <c r="B32" s="8"/>
      <c r="C32" s="101"/>
      <c r="D32" s="101"/>
      <c r="E32" s="94">
        <v>13</v>
      </c>
      <c r="F32" s="74">
        <f t="shared" ref="F32:F39" si="45">-LN(_xlfn.NORM.DIST(H32,0,sigmaF,FALSE))</f>
        <v>-0.46735582791521796</v>
      </c>
      <c r="G32" s="98">
        <f t="shared" ref="G32:G39" si="46">MAX(0.000001,Fbar+H32)</f>
        <v>0.1</v>
      </c>
      <c r="H32" s="98">
        <v>0</v>
      </c>
      <c r="I32" s="18">
        <f t="shared" si="8"/>
        <v>499</v>
      </c>
      <c r="J32" s="18">
        <v>361.11903794262292</v>
      </c>
      <c r="K32" s="18">
        <f t="shared" si="25"/>
        <v>1.3818158212951501</v>
      </c>
      <c r="L32" s="118">
        <f t="shared" si="26"/>
        <v>1.4425586717715497</v>
      </c>
      <c r="M32" s="118">
        <f t="shared" si="9"/>
        <v>-0.68944574914421941</v>
      </c>
      <c r="N32" s="113">
        <f t="shared" si="10"/>
        <v>18219.66860719589</v>
      </c>
      <c r="O32" s="20">
        <f t="shared" si="11"/>
        <v>15881.328873075208</v>
      </c>
      <c r="P32" s="21">
        <v>13</v>
      </c>
      <c r="Q32" s="143">
        <f t="shared" ref="Q32:Q38" si="47">(bha*N31)/(1+bhb*N31)</f>
        <v>3965.4150936105962</v>
      </c>
      <c r="R32" s="132">
        <f t="shared" si="40"/>
        <v>3088.6377467392895</v>
      </c>
      <c r="S32" s="132">
        <f t="shared" si="28"/>
        <v>2405.7877806153983</v>
      </c>
      <c r="T32" s="132">
        <f t="shared" si="28"/>
        <v>1867.1778374414002</v>
      </c>
      <c r="U32" s="132">
        <f t="shared" si="28"/>
        <v>1340.6973287455594</v>
      </c>
      <c r="V32" s="132">
        <f t="shared" si="28"/>
        <v>945.65717645188442</v>
      </c>
      <c r="W32" s="132">
        <f t="shared" si="28"/>
        <v>666.73583573779774</v>
      </c>
      <c r="X32" s="132">
        <f t="shared" si="28"/>
        <v>470.12764364958321</v>
      </c>
      <c r="Y32" s="132">
        <f t="shared" si="28"/>
        <v>331.52616247363005</v>
      </c>
      <c r="Z32" s="132">
        <f t="shared" si="28"/>
        <v>233.79323111771311</v>
      </c>
      <c r="AA32" s="132">
        <f t="shared" si="41"/>
        <v>565.77303649235512</v>
      </c>
      <c r="AC32" s="33">
        <v>13</v>
      </c>
      <c r="AD32" s="18">
        <v>0</v>
      </c>
      <c r="AE32" s="18">
        <v>0</v>
      </c>
      <c r="AF32" s="18">
        <v>28</v>
      </c>
      <c r="AG32" s="18">
        <v>209</v>
      </c>
      <c r="AH32" s="18">
        <v>118</v>
      </c>
      <c r="AI32" s="18">
        <v>63</v>
      </c>
      <c r="AJ32" s="18">
        <v>40</v>
      </c>
      <c r="AK32" s="18">
        <v>20</v>
      </c>
      <c r="AL32" s="18">
        <v>11</v>
      </c>
      <c r="AM32" s="18">
        <v>6</v>
      </c>
      <c r="AN32" s="16">
        <v>4</v>
      </c>
      <c r="AP32" s="47">
        <v>13</v>
      </c>
      <c r="AQ32" s="42">
        <f t="shared" si="13"/>
        <v>2.6662706008235182E-9</v>
      </c>
      <c r="AR32" s="42">
        <f t="shared" si="14"/>
        <v>7.943099964778705E-6</v>
      </c>
      <c r="AS32" s="42">
        <f t="shared" si="15"/>
        <v>3.6525057598242173E-3</v>
      </c>
      <c r="AT32" s="42">
        <f t="shared" si="16"/>
        <v>8.1506959920156552E-2</v>
      </c>
      <c r="AU32" s="42">
        <f t="shared" si="17"/>
        <v>9.9423571624784782E-2</v>
      </c>
      <c r="AV32" s="42">
        <f t="shared" si="18"/>
        <v>9.9965710356892903E-2</v>
      </c>
      <c r="AW32" s="42">
        <f t="shared" si="19"/>
        <v>9.9996123080004634E-2</v>
      </c>
      <c r="AX32" s="42">
        <f t="shared" si="20"/>
        <v>9.9999278124083879E-2</v>
      </c>
      <c r="AY32" s="42">
        <f t="shared" si="21"/>
        <v>9.9999802499644741E-2</v>
      </c>
      <c r="AZ32" s="42">
        <f t="shared" si="22"/>
        <v>9.9999927298087085E-2</v>
      </c>
      <c r="BA32" s="42">
        <f t="shared" si="23"/>
        <v>9.9999966357194478E-2</v>
      </c>
      <c r="BC32" s="56">
        <v>13</v>
      </c>
      <c r="BD32" s="50">
        <f t="shared" si="29"/>
        <v>9.3548419673411849E-6</v>
      </c>
      <c r="BE32" s="50">
        <f t="shared" si="30"/>
        <v>2.170695602478075E-2</v>
      </c>
      <c r="BF32" s="50">
        <f t="shared" si="31"/>
        <v>7.7612544624241657</v>
      </c>
      <c r="BG32" s="50">
        <f t="shared" si="32"/>
        <v>129.53328787182022</v>
      </c>
      <c r="BH32" s="50">
        <f t="shared" si="33"/>
        <v>112.49958286527909</v>
      </c>
      <c r="BI32" s="50">
        <f t="shared" si="34"/>
        <v>79.763593252727617</v>
      </c>
      <c r="BJ32" s="50">
        <f t="shared" si="35"/>
        <v>56.253645509291708</v>
      </c>
      <c r="BK32" s="50">
        <f t="shared" si="36"/>
        <v>39.66666785827087</v>
      </c>
      <c r="BL32" s="50">
        <f t="shared" si="37"/>
        <v>27.972411455277221</v>
      </c>
      <c r="BM32" s="50">
        <f t="shared" si="38"/>
        <v>19.726250817440114</v>
      </c>
      <c r="BN32" s="50">
        <f t="shared" si="39"/>
        <v>47.736989322532281</v>
      </c>
    </row>
    <row r="33" spans="5:66">
      <c r="E33" s="94">
        <v>14</v>
      </c>
      <c r="F33" s="74">
        <f t="shared" si="45"/>
        <v>-0.46735582791521796</v>
      </c>
      <c r="G33" s="98">
        <f t="shared" si="46"/>
        <v>0.1</v>
      </c>
      <c r="H33" s="98">
        <v>0</v>
      </c>
      <c r="I33" s="18">
        <f t="shared" si="8"/>
        <v>464</v>
      </c>
      <c r="J33" s="18">
        <v>559.29771094199009</v>
      </c>
      <c r="K33" s="18">
        <f t="shared" si="25"/>
        <v>0.8296118344888519</v>
      </c>
      <c r="L33" s="118">
        <f t="shared" si="26"/>
        <v>0.93075220062695674</v>
      </c>
      <c r="M33" s="118">
        <f t="shared" si="9"/>
        <v>-0.66668100678814135</v>
      </c>
      <c r="N33" s="113">
        <f t="shared" si="10"/>
        <v>18195.001231113783</v>
      </c>
      <c r="O33" s="20">
        <f t="shared" si="11"/>
        <v>15875.806915478322</v>
      </c>
      <c r="P33" s="21">
        <v>14</v>
      </c>
      <c r="Q33" s="143">
        <f t="shared" si="47"/>
        <v>3965.0505612246502</v>
      </c>
      <c r="R33" s="132">
        <f t="shared" si="40"/>
        <v>3088.2683718729413</v>
      </c>
      <c r="S33" s="132">
        <f t="shared" si="28"/>
        <v>2405.4143892616253</v>
      </c>
      <c r="T33" s="132">
        <f t="shared" si="28"/>
        <v>1866.7984478981648</v>
      </c>
      <c r="U33" s="132">
        <f t="shared" si="28"/>
        <v>1340.3371049086891</v>
      </c>
      <c r="V33" s="132">
        <f t="shared" si="28"/>
        <v>945.31819069330231</v>
      </c>
      <c r="W33" s="132">
        <f t="shared" si="28"/>
        <v>666.41619998455417</v>
      </c>
      <c r="X33" s="132">
        <f t="shared" si="28"/>
        <v>469.84262397181112</v>
      </c>
      <c r="Y33" s="132">
        <f t="shared" si="28"/>
        <v>331.2935902801625</v>
      </c>
      <c r="Z33" s="132">
        <f t="shared" si="28"/>
        <v>233.62258426585703</v>
      </c>
      <c r="AA33" s="132">
        <f t="shared" si="41"/>
        <v>563.44485111656491</v>
      </c>
      <c r="AC33" s="33">
        <v>14</v>
      </c>
      <c r="AD33" s="18">
        <v>0</v>
      </c>
      <c r="AE33" s="18">
        <v>0</v>
      </c>
      <c r="AF33" s="18">
        <v>45</v>
      </c>
      <c r="AG33" s="18">
        <v>200</v>
      </c>
      <c r="AH33" s="18">
        <v>101</v>
      </c>
      <c r="AI33" s="18">
        <v>54</v>
      </c>
      <c r="AJ33" s="18">
        <v>29</v>
      </c>
      <c r="AK33" s="18">
        <v>18</v>
      </c>
      <c r="AL33" s="18">
        <v>9</v>
      </c>
      <c r="AM33" s="18">
        <v>5</v>
      </c>
      <c r="AN33" s="16">
        <v>3</v>
      </c>
      <c r="AP33" s="47">
        <v>14</v>
      </c>
      <c r="AQ33" s="42">
        <f t="shared" si="13"/>
        <v>2.6662706008235182E-9</v>
      </c>
      <c r="AR33" s="42">
        <f t="shared" si="14"/>
        <v>7.943099964778705E-6</v>
      </c>
      <c r="AS33" s="42">
        <f t="shared" si="15"/>
        <v>3.6525057598242173E-3</v>
      </c>
      <c r="AT33" s="42">
        <f t="shared" si="16"/>
        <v>8.1506959920156552E-2</v>
      </c>
      <c r="AU33" s="42">
        <f t="shared" si="17"/>
        <v>9.9423571624784782E-2</v>
      </c>
      <c r="AV33" s="42">
        <f t="shared" si="18"/>
        <v>9.9965710356892903E-2</v>
      </c>
      <c r="AW33" s="42">
        <f t="shared" si="19"/>
        <v>9.9996123080004634E-2</v>
      </c>
      <c r="AX33" s="42">
        <f t="shared" si="20"/>
        <v>9.9999278124083879E-2</v>
      </c>
      <c r="AY33" s="42">
        <f t="shared" si="21"/>
        <v>9.9999802499644741E-2</v>
      </c>
      <c r="AZ33" s="42">
        <f t="shared" si="22"/>
        <v>9.9999927298087085E-2</v>
      </c>
      <c r="BA33" s="42">
        <f t="shared" si="23"/>
        <v>9.9999966357194478E-2</v>
      </c>
      <c r="BC33" s="56">
        <v>14</v>
      </c>
      <c r="BD33" s="50">
        <f t="shared" si="29"/>
        <v>9.3539819961195096E-6</v>
      </c>
      <c r="BE33" s="50">
        <f t="shared" si="30"/>
        <v>2.1704360057031233E-2</v>
      </c>
      <c r="BF33" s="50">
        <f t="shared" si="31"/>
        <v>7.7600498735015471</v>
      </c>
      <c r="BG33" s="50">
        <f t="shared" si="32"/>
        <v>129.50696816411266</v>
      </c>
      <c r="BH33" s="50">
        <f t="shared" si="33"/>
        <v>112.46935603442238</v>
      </c>
      <c r="BI33" s="50">
        <f t="shared" si="34"/>
        <v>79.735000732267437</v>
      </c>
      <c r="BJ33" s="50">
        <f t="shared" si="35"/>
        <v>56.226677292808844</v>
      </c>
      <c r="BK33" s="50">
        <f t="shared" si="36"/>
        <v>39.6426195364077</v>
      </c>
      <c r="BL33" s="50">
        <f t="shared" si="37"/>
        <v>27.952788252570713</v>
      </c>
      <c r="BM33" s="50">
        <f t="shared" si="38"/>
        <v>19.711852528042144</v>
      </c>
      <c r="BN33" s="50">
        <f t="shared" si="39"/>
        <v>47.540549136704378</v>
      </c>
    </row>
    <row r="34" spans="5:66" ht="16" customHeight="1">
      <c r="E34" s="94">
        <v>15</v>
      </c>
      <c r="F34" s="74">
        <f t="shared" si="45"/>
        <v>-0.46735582791521796</v>
      </c>
      <c r="G34" s="98">
        <f t="shared" si="46"/>
        <v>0.1</v>
      </c>
      <c r="H34" s="98">
        <v>0</v>
      </c>
      <c r="I34" s="18">
        <f t="shared" si="8"/>
        <v>432</v>
      </c>
      <c r="J34" s="18">
        <v>441.87612290874796</v>
      </c>
      <c r="K34" s="18">
        <f t="shared" si="25"/>
        <v>0.97764956648090373</v>
      </c>
      <c r="L34" s="118">
        <f t="shared" si="26"/>
        <v>1.177442571781129</v>
      </c>
      <c r="M34" s="118">
        <f t="shared" si="9"/>
        <v>-0.62399329485825827</v>
      </c>
      <c r="N34" s="113">
        <f t="shared" si="10"/>
        <v>18175.916957697998</v>
      </c>
      <c r="O34" s="20">
        <f t="shared" si="11"/>
        <v>15871.547479127526</v>
      </c>
      <c r="P34" s="21">
        <v>15</v>
      </c>
      <c r="Q34" s="143">
        <f t="shared" si="47"/>
        <v>3964.7685308275559</v>
      </c>
      <c r="R34" s="132">
        <f t="shared" si="40"/>
        <v>3087.9844737660687</v>
      </c>
      <c r="S34" s="132">
        <f t="shared" si="28"/>
        <v>2405.1267221114445</v>
      </c>
      <c r="T34" s="132">
        <f t="shared" si="28"/>
        <v>1866.5087106215444</v>
      </c>
      <c r="U34" s="132">
        <f t="shared" si="28"/>
        <v>1340.06476347885</v>
      </c>
      <c r="V34" s="132">
        <f t="shared" si="28"/>
        <v>945.06419887992752</v>
      </c>
      <c r="W34" s="132">
        <f t="shared" si="28"/>
        <v>666.17731256667321</v>
      </c>
      <c r="X34" s="132">
        <f t="shared" si="28"/>
        <v>469.61737959019939</v>
      </c>
      <c r="Y34" s="132">
        <f t="shared" si="28"/>
        <v>331.09274016291226</v>
      </c>
      <c r="Z34" s="132">
        <f t="shared" si="28"/>
        <v>233.45869337875217</v>
      </c>
      <c r="AA34" s="132">
        <f t="shared" si="41"/>
        <v>561.68395374359875</v>
      </c>
      <c r="AC34" s="33">
        <v>15</v>
      </c>
      <c r="AD34" s="18">
        <v>0</v>
      </c>
      <c r="AE34" s="18">
        <v>0</v>
      </c>
      <c r="AF34" s="18">
        <v>37</v>
      </c>
      <c r="AG34" s="18">
        <v>206</v>
      </c>
      <c r="AH34" s="18">
        <v>90</v>
      </c>
      <c r="AI34" s="18">
        <v>47</v>
      </c>
      <c r="AJ34" s="18">
        <v>25</v>
      </c>
      <c r="AK34" s="18">
        <v>13</v>
      </c>
      <c r="AL34" s="18">
        <v>8</v>
      </c>
      <c r="AM34" s="18">
        <v>4</v>
      </c>
      <c r="AN34" s="16">
        <v>2</v>
      </c>
      <c r="AP34" s="47">
        <v>15</v>
      </c>
      <c r="AQ34" s="42">
        <f t="shared" si="13"/>
        <v>2.6662706008235182E-9</v>
      </c>
      <c r="AR34" s="42">
        <f t="shared" si="14"/>
        <v>7.943099964778705E-6</v>
      </c>
      <c r="AS34" s="42">
        <f t="shared" si="15"/>
        <v>3.6525057598242173E-3</v>
      </c>
      <c r="AT34" s="42">
        <f t="shared" si="16"/>
        <v>8.1506959920156552E-2</v>
      </c>
      <c r="AU34" s="42">
        <f t="shared" si="17"/>
        <v>9.9423571624784782E-2</v>
      </c>
      <c r="AV34" s="42">
        <f t="shared" si="18"/>
        <v>9.9965710356892903E-2</v>
      </c>
      <c r="AW34" s="42">
        <f t="shared" si="19"/>
        <v>9.9996123080004634E-2</v>
      </c>
      <c r="AX34" s="42">
        <f t="shared" si="20"/>
        <v>9.9999278124083879E-2</v>
      </c>
      <c r="AY34" s="42">
        <f t="shared" si="21"/>
        <v>9.9999802499644741E-2</v>
      </c>
      <c r="AZ34" s="42">
        <f t="shared" si="22"/>
        <v>9.9999927298087085E-2</v>
      </c>
      <c r="BA34" s="42">
        <f t="shared" si="23"/>
        <v>9.9999966357194478E-2</v>
      </c>
      <c r="BC34" s="56">
        <v>15</v>
      </c>
      <c r="BD34" s="50">
        <f t="shared" si="29"/>
        <v>9.3533166559892784E-6</v>
      </c>
      <c r="BE34" s="50">
        <f t="shared" si="30"/>
        <v>2.1702364820222416E-2</v>
      </c>
      <c r="BF34" s="50">
        <f t="shared" si="31"/>
        <v>7.7591218373833888</v>
      </c>
      <c r="BG34" s="50">
        <f t="shared" si="32"/>
        <v>129.4868679779884</v>
      </c>
      <c r="BH34" s="50">
        <f t="shared" si="33"/>
        <v>112.44650352580845</v>
      </c>
      <c r="BI34" s="50">
        <f t="shared" si="34"/>
        <v>79.713577218338671</v>
      </c>
      <c r="BJ34" s="50">
        <f t="shared" si="35"/>
        <v>56.206521951815013</v>
      </c>
      <c r="BK34" s="50">
        <f t="shared" si="36"/>
        <v>39.62361471039285</v>
      </c>
      <c r="BL34" s="50">
        <f t="shared" si="37"/>
        <v>27.935841589662893</v>
      </c>
      <c r="BM34" s="50">
        <f t="shared" si="38"/>
        <v>19.698024271636829</v>
      </c>
      <c r="BN34" s="50">
        <f t="shared" si="39"/>
        <v>47.391973765187011</v>
      </c>
    </row>
    <row r="35" spans="5:66">
      <c r="E35" s="94">
        <v>16</v>
      </c>
      <c r="F35" s="74">
        <f t="shared" si="45"/>
        <v>-0.46735582791521796</v>
      </c>
      <c r="G35" s="98">
        <f t="shared" si="46"/>
        <v>0.1</v>
      </c>
      <c r="H35" s="98">
        <v>0</v>
      </c>
      <c r="I35" s="18">
        <f t="shared" si="8"/>
        <v>393</v>
      </c>
      <c r="J35" s="18">
        <v>524.98794467934135</v>
      </c>
      <c r="K35" s="18">
        <f t="shared" si="25"/>
        <v>0.74858861804920385</v>
      </c>
      <c r="L35" s="118">
        <f t="shared" si="26"/>
        <v>0.99062241367752302</v>
      </c>
      <c r="M35" s="118">
        <f t="shared" si="9"/>
        <v>-0.53618602131978133</v>
      </c>
      <c r="N35" s="113">
        <f t="shared" si="10"/>
        <v>18161.145939370337</v>
      </c>
      <c r="O35" s="20">
        <f t="shared" si="11"/>
        <v>15868.26083825477</v>
      </c>
      <c r="P35" s="21">
        <v>16</v>
      </c>
      <c r="Q35" s="143">
        <f t="shared" si="47"/>
        <v>3964.5498363134043</v>
      </c>
      <c r="R35" s="132">
        <f t="shared" si="40"/>
        <v>3087.7648282725472</v>
      </c>
      <c r="S35" s="132">
        <f t="shared" si="28"/>
        <v>2404.9056237997124</v>
      </c>
      <c r="T35" s="132">
        <f t="shared" si="28"/>
        <v>1866.2854920177274</v>
      </c>
      <c r="U35" s="132">
        <f t="shared" si="28"/>
        <v>1339.8567781360816</v>
      </c>
      <c r="V35" s="132">
        <f t="shared" si="28"/>
        <v>944.872172460402</v>
      </c>
      <c r="W35" s="132">
        <f t="shared" si="28"/>
        <v>665.99832142346474</v>
      </c>
      <c r="X35" s="132">
        <f t="shared" si="28"/>
        <v>469.44903781938871</v>
      </c>
      <c r="Y35" s="132">
        <f t="shared" si="28"/>
        <v>330.93401301533316</v>
      </c>
      <c r="Z35" s="132">
        <f t="shared" si="28"/>
        <v>233.31715666535376</v>
      </c>
      <c r="AA35" s="132">
        <f t="shared" si="41"/>
        <v>560.32757833135304</v>
      </c>
      <c r="AC35" s="33">
        <v>16</v>
      </c>
      <c r="AD35" s="18">
        <v>0</v>
      </c>
      <c r="AE35" s="18">
        <v>0</v>
      </c>
      <c r="AF35" s="18">
        <v>32</v>
      </c>
      <c r="AG35" s="18">
        <v>180</v>
      </c>
      <c r="AH35" s="18">
        <v>93</v>
      </c>
      <c r="AI35" s="18">
        <v>42</v>
      </c>
      <c r="AJ35" s="18">
        <v>22</v>
      </c>
      <c r="AK35" s="18">
        <v>12</v>
      </c>
      <c r="AL35" s="18">
        <v>6</v>
      </c>
      <c r="AM35" s="18">
        <v>4</v>
      </c>
      <c r="AN35" s="16">
        <v>2</v>
      </c>
      <c r="AP35" s="47">
        <v>16</v>
      </c>
      <c r="AQ35" s="42">
        <f t="shared" si="13"/>
        <v>2.6662706008235182E-9</v>
      </c>
      <c r="AR35" s="42">
        <f t="shared" si="14"/>
        <v>7.943099964778705E-6</v>
      </c>
      <c r="AS35" s="42">
        <f t="shared" si="15"/>
        <v>3.6525057598242173E-3</v>
      </c>
      <c r="AT35" s="42">
        <f t="shared" si="16"/>
        <v>8.1506959920156552E-2</v>
      </c>
      <c r="AU35" s="42">
        <f t="shared" si="17"/>
        <v>9.9423571624784782E-2</v>
      </c>
      <c r="AV35" s="42">
        <f t="shared" si="18"/>
        <v>9.9965710356892903E-2</v>
      </c>
      <c r="AW35" s="42">
        <f t="shared" si="19"/>
        <v>9.9996123080004634E-2</v>
      </c>
      <c r="AX35" s="42">
        <f t="shared" si="20"/>
        <v>9.9999278124083879E-2</v>
      </c>
      <c r="AY35" s="42">
        <f t="shared" si="21"/>
        <v>9.9999802499644741E-2</v>
      </c>
      <c r="AZ35" s="42">
        <f t="shared" si="22"/>
        <v>9.9999927298087085E-2</v>
      </c>
      <c r="BA35" s="42">
        <f t="shared" si="23"/>
        <v>9.9999966357194478E-2</v>
      </c>
      <c r="BC35" s="56">
        <v>16</v>
      </c>
      <c r="BD35" s="50">
        <f t="shared" si="29"/>
        <v>9.3528007320391458E-6</v>
      </c>
      <c r="BE35" s="50">
        <f t="shared" si="30"/>
        <v>2.1700821150987024E-2</v>
      </c>
      <c r="BF35" s="50">
        <f t="shared" si="31"/>
        <v>7.7584085574040031</v>
      </c>
      <c r="BG35" s="50">
        <f t="shared" si="32"/>
        <v>129.4713824473192</v>
      </c>
      <c r="BH35" s="50">
        <f t="shared" si="33"/>
        <v>112.42905121662437</v>
      </c>
      <c r="BI35" s="50">
        <f t="shared" si="34"/>
        <v>79.697380315695497</v>
      </c>
      <c r="BJ35" s="50">
        <f t="shared" si="35"/>
        <v>56.191420162201119</v>
      </c>
      <c r="BK35" s="50">
        <f t="shared" si="36"/>
        <v>39.609410999550441</v>
      </c>
      <c r="BL35" s="50">
        <f t="shared" si="37"/>
        <v>27.922449038534872</v>
      </c>
      <c r="BM35" s="50">
        <f t="shared" si="38"/>
        <v>19.686082143564835</v>
      </c>
      <c r="BN35" s="50">
        <f t="shared" si="39"/>
        <v>47.277529855005028</v>
      </c>
    </row>
    <row r="36" spans="5:66">
      <c r="E36" s="94">
        <v>17</v>
      </c>
      <c r="F36" s="74">
        <f t="shared" si="45"/>
        <v>-0.46735582791521796</v>
      </c>
      <c r="G36" s="98">
        <f t="shared" si="46"/>
        <v>0.1</v>
      </c>
      <c r="H36" s="98">
        <v>0</v>
      </c>
      <c r="I36" s="18">
        <f t="shared" si="8"/>
        <v>336</v>
      </c>
      <c r="J36" s="18">
        <v>605.38595561470254</v>
      </c>
      <c r="K36" s="18">
        <f t="shared" si="25"/>
        <v>0.55501783099482238</v>
      </c>
      <c r="L36" s="118">
        <f t="shared" si="26"/>
        <v>0.85878435158894961</v>
      </c>
      <c r="M36" s="118">
        <f t="shared" si="9"/>
        <v>-0.31205194433766448</v>
      </c>
      <c r="N36" s="113">
        <f t="shared" si="10"/>
        <v>18149.72127584702</v>
      </c>
      <c r="O36" s="20">
        <f t="shared" si="11"/>
        <v>15865.723946084621</v>
      </c>
      <c r="P36" s="21">
        <v>17</v>
      </c>
      <c r="Q36" s="143">
        <f t="shared" si="47"/>
        <v>3964.380270223548</v>
      </c>
      <c r="R36" s="132">
        <f t="shared" si="40"/>
        <v>3087.5945088141266</v>
      </c>
      <c r="S36" s="132">
        <f t="shared" si="28"/>
        <v>2404.7345650761017</v>
      </c>
      <c r="T36" s="132">
        <f t="shared" si="28"/>
        <v>1866.113928262811</v>
      </c>
      <c r="U36" s="132">
        <f t="shared" si="28"/>
        <v>1339.6965426345657</v>
      </c>
      <c r="V36" s="132">
        <f t="shared" si="28"/>
        <v>944.72552315805694</v>
      </c>
      <c r="W36" s="132">
        <f t="shared" si="28"/>
        <v>665.86299805260319</v>
      </c>
      <c r="X36" s="132">
        <f t="shared" si="28"/>
        <v>469.32290440359634</v>
      </c>
      <c r="Y36" s="132">
        <f t="shared" si="28"/>
        <v>330.81538448880565</v>
      </c>
      <c r="Z36" s="132">
        <f t="shared" si="28"/>
        <v>233.20530351284873</v>
      </c>
      <c r="AA36" s="132">
        <f t="shared" si="41"/>
        <v>559.2720174575586</v>
      </c>
      <c r="AC36" s="33">
        <v>17</v>
      </c>
      <c r="AD36" s="18">
        <v>0</v>
      </c>
      <c r="AE36" s="18">
        <v>0</v>
      </c>
      <c r="AF36" s="18">
        <v>35</v>
      </c>
      <c r="AG36" s="18">
        <v>149</v>
      </c>
      <c r="AH36" s="18">
        <v>76</v>
      </c>
      <c r="AI36" s="18">
        <v>40</v>
      </c>
      <c r="AJ36" s="18">
        <v>18</v>
      </c>
      <c r="AK36" s="18">
        <v>9</v>
      </c>
      <c r="AL36" s="18">
        <v>5</v>
      </c>
      <c r="AM36" s="18">
        <v>3</v>
      </c>
      <c r="AN36" s="16">
        <v>1</v>
      </c>
      <c r="AP36" s="47">
        <v>17</v>
      </c>
      <c r="AQ36" s="42">
        <f t="shared" si="13"/>
        <v>2.6662706008235182E-9</v>
      </c>
      <c r="AR36" s="42">
        <f t="shared" si="14"/>
        <v>7.943099964778705E-6</v>
      </c>
      <c r="AS36" s="42">
        <f t="shared" si="15"/>
        <v>3.6525057598242173E-3</v>
      </c>
      <c r="AT36" s="42">
        <f t="shared" si="16"/>
        <v>8.1506959920156552E-2</v>
      </c>
      <c r="AU36" s="42">
        <f t="shared" si="17"/>
        <v>9.9423571624784782E-2</v>
      </c>
      <c r="AV36" s="42">
        <f t="shared" si="18"/>
        <v>9.9965710356892903E-2</v>
      </c>
      <c r="AW36" s="42">
        <f t="shared" si="19"/>
        <v>9.9996123080004634E-2</v>
      </c>
      <c r="AX36" s="42">
        <f t="shared" si="20"/>
        <v>9.9999278124083879E-2</v>
      </c>
      <c r="AY36" s="42">
        <f t="shared" si="21"/>
        <v>9.9999802499644741E-2</v>
      </c>
      <c r="AZ36" s="42">
        <f t="shared" si="22"/>
        <v>9.9999927298087085E-2</v>
      </c>
      <c r="BA36" s="42">
        <f t="shared" si="23"/>
        <v>9.9999966357194478E-2</v>
      </c>
      <c r="BC36" s="56">
        <v>17</v>
      </c>
      <c r="BD36" s="50">
        <f t="shared" si="29"/>
        <v>9.3524007073415598E-6</v>
      </c>
      <c r="BE36" s="50">
        <f t="shared" si="30"/>
        <v>2.1699624145285073E-2</v>
      </c>
      <c r="BF36" s="50">
        <f t="shared" si="31"/>
        <v>7.7578567089439447</v>
      </c>
      <c r="BG36" s="50">
        <f t="shared" si="32"/>
        <v>129.45948041163285</v>
      </c>
      <c r="BH36" s="50">
        <f t="shared" si="33"/>
        <v>112.41560565609834</v>
      </c>
      <c r="BI36" s="50">
        <f t="shared" si="34"/>
        <v>79.685010848626121</v>
      </c>
      <c r="BJ36" s="50">
        <f t="shared" si="35"/>
        <v>56.180002697403921</v>
      </c>
      <c r="BK36" s="50">
        <f t="shared" si="36"/>
        <v>39.598768587053222</v>
      </c>
      <c r="BL36" s="50">
        <f t="shared" si="37"/>
        <v>27.912439795434409</v>
      </c>
      <c r="BM36" s="50">
        <f t="shared" si="38"/>
        <v>19.676644559206693</v>
      </c>
      <c r="BN36" s="50">
        <f t="shared" si="39"/>
        <v>47.188467112683462</v>
      </c>
    </row>
    <row r="37" spans="5:66" ht="16" customHeight="1">
      <c r="E37" s="94">
        <v>18</v>
      </c>
      <c r="F37" s="74">
        <f t="shared" si="45"/>
        <v>-0.46735582791521796</v>
      </c>
      <c r="G37" s="98">
        <f t="shared" si="46"/>
        <v>0.1</v>
      </c>
      <c r="H37" s="98">
        <v>0</v>
      </c>
      <c r="I37" s="18">
        <f t="shared" si="8"/>
        <v>285</v>
      </c>
      <c r="J37" s="18">
        <v>710.6361708201398</v>
      </c>
      <c r="K37" s="18">
        <f t="shared" si="25"/>
        <v>0.40104910459466714</v>
      </c>
      <c r="L37" s="118">
        <f t="shared" si="26"/>
        <v>0.73140908839557295</v>
      </c>
      <c r="M37" s="118">
        <f t="shared" si="9"/>
        <v>2.8988135898526779E-2</v>
      </c>
      <c r="N37" s="113">
        <f t="shared" si="10"/>
        <v>18140.894514473985</v>
      </c>
      <c r="O37" s="20">
        <f t="shared" si="11"/>
        <v>15863.765191526929</v>
      </c>
      <c r="P37" s="21">
        <v>18</v>
      </c>
      <c r="Q37" s="143">
        <f t="shared" si="47"/>
        <v>3964.2489397852119</v>
      </c>
      <c r="R37" s="132">
        <f t="shared" si="40"/>
        <v>3087.4624506109162</v>
      </c>
      <c r="S37" s="132">
        <f t="shared" si="40"/>
        <v>2404.6019212021192</v>
      </c>
      <c r="T37" s="132">
        <f t="shared" si="40"/>
        <v>1865.9811932966145</v>
      </c>
      <c r="U37" s="132">
        <f t="shared" si="40"/>
        <v>1339.5733871097086</v>
      </c>
      <c r="V37" s="132">
        <f t="shared" si="40"/>
        <v>944.61254200181077</v>
      </c>
      <c r="W37" s="132">
        <f t="shared" si="40"/>
        <v>665.75965249225351</v>
      </c>
      <c r="X37" s="132">
        <f t="shared" si="40"/>
        <v>469.22754326618281</v>
      </c>
      <c r="Y37" s="132">
        <f t="shared" si="40"/>
        <v>330.72649970881747</v>
      </c>
      <c r="Z37" s="132">
        <f t="shared" si="40"/>
        <v>233.12170738659364</v>
      </c>
      <c r="AA37" s="132">
        <f t="shared" si="41"/>
        <v>558.44935466669938</v>
      </c>
      <c r="AC37" s="33">
        <v>18</v>
      </c>
      <c r="AD37" s="18">
        <v>0</v>
      </c>
      <c r="AE37" s="18">
        <v>0</v>
      </c>
      <c r="AF37" s="18">
        <v>35</v>
      </c>
      <c r="AG37" s="18">
        <v>121</v>
      </c>
      <c r="AH37" s="18">
        <v>62</v>
      </c>
      <c r="AI37" s="18">
        <v>34</v>
      </c>
      <c r="AJ37" s="18">
        <v>18</v>
      </c>
      <c r="AK37" s="18">
        <v>8</v>
      </c>
      <c r="AL37" s="18">
        <v>4</v>
      </c>
      <c r="AM37" s="18">
        <v>2</v>
      </c>
      <c r="AN37" s="16">
        <v>1</v>
      </c>
      <c r="AP37" s="47">
        <v>18</v>
      </c>
      <c r="AQ37" s="42">
        <f t="shared" si="13"/>
        <v>2.6662706008235182E-9</v>
      </c>
      <c r="AR37" s="42">
        <f t="shared" si="14"/>
        <v>7.943099964778705E-6</v>
      </c>
      <c r="AS37" s="42">
        <f t="shared" si="15"/>
        <v>3.6525057598242173E-3</v>
      </c>
      <c r="AT37" s="42">
        <f t="shared" si="16"/>
        <v>8.1506959920156552E-2</v>
      </c>
      <c r="AU37" s="42">
        <f t="shared" si="17"/>
        <v>9.9423571624784782E-2</v>
      </c>
      <c r="AV37" s="42">
        <f t="shared" si="18"/>
        <v>9.9965710356892903E-2</v>
      </c>
      <c r="AW37" s="42">
        <f t="shared" si="19"/>
        <v>9.9996123080004634E-2</v>
      </c>
      <c r="AX37" s="42">
        <f t="shared" si="20"/>
        <v>9.9999278124083879E-2</v>
      </c>
      <c r="AY37" s="42">
        <f t="shared" si="21"/>
        <v>9.9999802499644741E-2</v>
      </c>
      <c r="AZ37" s="42">
        <f t="shared" si="22"/>
        <v>9.9999927298087085E-2</v>
      </c>
      <c r="BA37" s="42">
        <f t="shared" si="23"/>
        <v>9.9999966357194478E-2</v>
      </c>
      <c r="BC37" s="56">
        <v>18</v>
      </c>
      <c r="BD37" s="50">
        <f t="shared" si="29"/>
        <v>9.3520908846705064E-6</v>
      </c>
      <c r="BE37" s="50">
        <f t="shared" si="30"/>
        <v>2.1698696039807886E-2</v>
      </c>
      <c r="BF37" s="50">
        <f t="shared" si="31"/>
        <v>7.7574287897121836</v>
      </c>
      <c r="BG37" s="50">
        <f t="shared" si="32"/>
        <v>129.45027207794217</v>
      </c>
      <c r="BH37" s="50">
        <f t="shared" si="33"/>
        <v>112.40527152260159</v>
      </c>
      <c r="BI37" s="50">
        <f t="shared" si="34"/>
        <v>79.675481197483563</v>
      </c>
      <c r="BJ37" s="50">
        <f t="shared" si="35"/>
        <v>56.171283255302185</v>
      </c>
      <c r="BK37" s="50">
        <f t="shared" si="36"/>
        <v>39.59072256249911</v>
      </c>
      <c r="BL37" s="50">
        <f t="shared" si="37"/>
        <v>27.904940171213536</v>
      </c>
      <c r="BM37" s="50">
        <f t="shared" si="38"/>
        <v>19.669591155025611</v>
      </c>
      <c r="BN37" s="50">
        <f t="shared" si="39"/>
        <v>47.119055100568566</v>
      </c>
    </row>
    <row r="38" spans="5:66">
      <c r="E38" s="94">
        <v>19</v>
      </c>
      <c r="F38" s="74">
        <f t="shared" si="45"/>
        <v>-0.46735582791521796</v>
      </c>
      <c r="G38" s="98">
        <f t="shared" si="46"/>
        <v>0.1</v>
      </c>
      <c r="H38" s="98">
        <v>0</v>
      </c>
      <c r="I38" s="18">
        <f t="shared" si="8"/>
        <v>260</v>
      </c>
      <c r="J38" s="18">
        <v>688.61433936124547</v>
      </c>
      <c r="K38" s="18">
        <f t="shared" si="25"/>
        <v>0.37756983138221378</v>
      </c>
      <c r="L38" s="118">
        <f t="shared" si="26"/>
        <v>0.75465355587995187</v>
      </c>
      <c r="M38" s="118">
        <f t="shared" si="9"/>
        <v>0.26597430029366109</v>
      </c>
      <c r="N38" s="113">
        <f t="shared" si="10"/>
        <v>18134.080757748467</v>
      </c>
      <c r="O38" s="20">
        <f t="shared" si="11"/>
        <v>15862.252533954628</v>
      </c>
      <c r="P38" s="21">
        <v>19</v>
      </c>
      <c r="Q38" s="143">
        <f t="shared" si="47"/>
        <v>3964.1473658223608</v>
      </c>
      <c r="R38" s="132">
        <f t="shared" ref="R38:AA39" si="48">Q37*EXP(-AQ61)</f>
        <v>3087.360170362972</v>
      </c>
      <c r="S38" s="132">
        <f t="shared" si="48"/>
        <v>2404.4990749869689</v>
      </c>
      <c r="T38" s="132">
        <f t="shared" si="48"/>
        <v>1865.8782667708133</v>
      </c>
      <c r="U38" s="132">
        <f t="shared" si="48"/>
        <v>1339.4781044875906</v>
      </c>
      <c r="V38" s="132">
        <f t="shared" si="48"/>
        <v>944.52570572979346</v>
      </c>
      <c r="W38" s="132">
        <f t="shared" si="48"/>
        <v>665.68003328701684</v>
      </c>
      <c r="X38" s="132">
        <f t="shared" si="48"/>
        <v>469.15471659833651</v>
      </c>
      <c r="Y38" s="132">
        <f t="shared" si="48"/>
        <v>330.65929980255015</v>
      </c>
      <c r="Z38" s="132">
        <f t="shared" si="48"/>
        <v>233.05907132840807</v>
      </c>
      <c r="AA38" s="132">
        <f t="shared" si="41"/>
        <v>557.81072477782129</v>
      </c>
      <c r="AC38" s="33">
        <v>19</v>
      </c>
      <c r="AD38" s="18">
        <v>0</v>
      </c>
      <c r="AE38" s="18">
        <v>0</v>
      </c>
      <c r="AF38" s="18">
        <v>29</v>
      </c>
      <c r="AG38" s="18">
        <v>109</v>
      </c>
      <c r="AH38" s="18">
        <v>56</v>
      </c>
      <c r="AI38" s="18">
        <v>32</v>
      </c>
      <c r="AJ38" s="18">
        <v>18</v>
      </c>
      <c r="AK38" s="18">
        <v>9</v>
      </c>
      <c r="AL38" s="18">
        <v>4</v>
      </c>
      <c r="AM38" s="18">
        <v>2</v>
      </c>
      <c r="AN38" s="16">
        <v>1</v>
      </c>
      <c r="AP38" s="47">
        <v>19</v>
      </c>
      <c r="AQ38" s="42">
        <f t="shared" si="13"/>
        <v>2.6662706008235182E-9</v>
      </c>
      <c r="AR38" s="42">
        <f t="shared" si="14"/>
        <v>7.943099964778705E-6</v>
      </c>
      <c r="AS38" s="42">
        <f t="shared" si="15"/>
        <v>3.6525057598242173E-3</v>
      </c>
      <c r="AT38" s="42">
        <f t="shared" si="16"/>
        <v>8.1506959920156552E-2</v>
      </c>
      <c r="AU38" s="42">
        <f t="shared" si="17"/>
        <v>9.9423571624784782E-2</v>
      </c>
      <c r="AV38" s="42">
        <f t="shared" si="18"/>
        <v>9.9965710356892903E-2</v>
      </c>
      <c r="AW38" s="42">
        <f t="shared" si="19"/>
        <v>9.9996123080004634E-2</v>
      </c>
      <c r="AX38" s="42">
        <f t="shared" si="20"/>
        <v>9.9999278124083879E-2</v>
      </c>
      <c r="AY38" s="42">
        <f t="shared" si="21"/>
        <v>9.9999802499644741E-2</v>
      </c>
      <c r="AZ38" s="42">
        <f t="shared" si="22"/>
        <v>9.9999927298087085E-2</v>
      </c>
      <c r="BA38" s="42">
        <f t="shared" si="23"/>
        <v>9.9999966357194478E-2</v>
      </c>
      <c r="BC38" s="56">
        <v>19</v>
      </c>
      <c r="BD38" s="50">
        <f t="shared" si="29"/>
        <v>9.3518512607350442E-6</v>
      </c>
      <c r="BE38" s="50">
        <f t="shared" si="30"/>
        <v>2.1697977213896148E-2</v>
      </c>
      <c r="BF38" s="50">
        <f t="shared" si="31"/>
        <v>7.7570969999954391</v>
      </c>
      <c r="BG38" s="50">
        <f t="shared" si="32"/>
        <v>129.44313167008767</v>
      </c>
      <c r="BH38" s="50">
        <f t="shared" si="33"/>
        <v>112.39727623909296</v>
      </c>
      <c r="BI38" s="50">
        <f t="shared" si="34"/>
        <v>79.668156795730738</v>
      </c>
      <c r="BJ38" s="50">
        <f t="shared" si="35"/>
        <v>56.164565646457653</v>
      </c>
      <c r="BK38" s="50">
        <f t="shared" si="36"/>
        <v>39.584577866938865</v>
      </c>
      <c r="BL38" s="50">
        <f t="shared" si="37"/>
        <v>27.89927020111573</v>
      </c>
      <c r="BM38" s="50">
        <f t="shared" si="38"/>
        <v>19.664306251831121</v>
      </c>
      <c r="BN38" s="50">
        <f t="shared" si="39"/>
        <v>47.065170828572448</v>
      </c>
    </row>
    <row r="39" spans="5:66" ht="17" thickBot="1">
      <c r="E39" s="94">
        <v>20</v>
      </c>
      <c r="F39" s="75">
        <f t="shared" si="45"/>
        <v>-0.46735582791521796</v>
      </c>
      <c r="G39" s="99">
        <f t="shared" si="46"/>
        <v>0.1</v>
      </c>
      <c r="H39" s="98">
        <v>0</v>
      </c>
      <c r="I39" s="18">
        <f t="shared" si="8"/>
        <v>237</v>
      </c>
      <c r="J39" s="19">
        <v>650.4674884686558</v>
      </c>
      <c r="K39" s="19">
        <f t="shared" si="25"/>
        <v>0.36435333694840055</v>
      </c>
      <c r="L39" s="118">
        <f t="shared" si="26"/>
        <v>0.79879116176231701</v>
      </c>
      <c r="M39" s="118">
        <f t="shared" si="9"/>
        <v>0.53922568459429765</v>
      </c>
      <c r="N39" s="114">
        <f t="shared" si="10"/>
        <v>18128.822884176981</v>
      </c>
      <c r="O39" s="25">
        <f t="shared" si="11"/>
        <v>15831.386049916753</v>
      </c>
      <c r="P39" s="24">
        <v>20</v>
      </c>
      <c r="Q39" s="144" cm="1">
        <f t="array" ref="Q39">(bha*SUM(Q38:AA38))/(1+bhb*SUM(Q38:AA38))</f>
        <v>3934.3706661967012</v>
      </c>
      <c r="R39" s="132">
        <f t="shared" si="48"/>
        <v>3087.2810644813749</v>
      </c>
      <c r="S39" s="132">
        <f t="shared" si="48"/>
        <v>2404.4194196824897</v>
      </c>
      <c r="T39" s="132">
        <f t="shared" si="48"/>
        <v>1865.7984620779964</v>
      </c>
      <c r="U39" s="132">
        <f t="shared" si="48"/>
        <v>1339.4042195909062</v>
      </c>
      <c r="V39" s="132">
        <f t="shared" si="48"/>
        <v>944.45852248566075</v>
      </c>
      <c r="W39" s="132">
        <f t="shared" si="48"/>
        <v>665.61883870206611</v>
      </c>
      <c r="X39" s="132">
        <f t="shared" si="48"/>
        <v>469.0986096751717</v>
      </c>
      <c r="Y39" s="132">
        <f t="shared" si="48"/>
        <v>330.60797968005824</v>
      </c>
      <c r="Z39" s="132">
        <f t="shared" si="48"/>
        <v>233.01171634547865</v>
      </c>
      <c r="AA39" s="132">
        <f>Z38*EXP(-AZ62)+AA38*EXP(-BA62)</f>
        <v>557.31655099885086</v>
      </c>
      <c r="AC39" s="34">
        <v>20</v>
      </c>
      <c r="AD39" s="19">
        <v>0</v>
      </c>
      <c r="AE39" s="19">
        <v>0</v>
      </c>
      <c r="AF39" s="19">
        <v>25</v>
      </c>
      <c r="AG39" s="19">
        <v>102</v>
      </c>
      <c r="AH39" s="19">
        <v>49</v>
      </c>
      <c r="AI39" s="19">
        <v>28</v>
      </c>
      <c r="AJ39" s="19">
        <v>16</v>
      </c>
      <c r="AK39" s="19">
        <v>9</v>
      </c>
      <c r="AL39" s="19">
        <v>5</v>
      </c>
      <c r="AM39" s="19">
        <v>2</v>
      </c>
      <c r="AN39" s="17">
        <v>1</v>
      </c>
      <c r="AP39" s="48">
        <v>20</v>
      </c>
      <c r="AQ39" s="42">
        <f t="shared" si="13"/>
        <v>2.6662706008235182E-9</v>
      </c>
      <c r="AR39" s="42">
        <f t="shared" si="14"/>
        <v>7.943099964778705E-6</v>
      </c>
      <c r="AS39" s="42">
        <f t="shared" si="15"/>
        <v>3.6525057598242173E-3</v>
      </c>
      <c r="AT39" s="42">
        <f t="shared" si="16"/>
        <v>8.1506959920156552E-2</v>
      </c>
      <c r="AU39" s="42">
        <f t="shared" si="17"/>
        <v>9.9423571624784782E-2</v>
      </c>
      <c r="AV39" s="42">
        <f t="shared" si="18"/>
        <v>9.9965710356892903E-2</v>
      </c>
      <c r="AW39" s="42">
        <f t="shared" si="19"/>
        <v>9.9996123080004634E-2</v>
      </c>
      <c r="AX39" s="42">
        <f t="shared" si="20"/>
        <v>9.9999278124083879E-2</v>
      </c>
      <c r="AY39" s="42">
        <f t="shared" si="21"/>
        <v>9.9999802499644741E-2</v>
      </c>
      <c r="AZ39" s="42">
        <f t="shared" si="22"/>
        <v>9.9999927298087085E-2</v>
      </c>
      <c r="BA39" s="42">
        <f t="shared" si="23"/>
        <v>9.9999966357194478E-2</v>
      </c>
      <c r="BC39" s="57">
        <v>20</v>
      </c>
      <c r="BD39" s="50">
        <f t="shared" si="29"/>
        <v>9.2816048142140072E-6</v>
      </c>
      <c r="BE39" s="50">
        <f t="shared" si="30"/>
        <v>2.1697421257505681E-2</v>
      </c>
      <c r="BF39" s="50">
        <f t="shared" si="31"/>
        <v>7.7568400259213632</v>
      </c>
      <c r="BG39" s="50">
        <f t="shared" si="32"/>
        <v>129.43759531246769</v>
      </c>
      <c r="BH39" s="50">
        <f t="shared" si="33"/>
        <v>112.39107646537907</v>
      </c>
      <c r="BI39" s="50">
        <f t="shared" si="34"/>
        <v>79.662490073062273</v>
      </c>
      <c r="BJ39" s="50">
        <f t="shared" si="35"/>
        <v>56.159402554413717</v>
      </c>
      <c r="BK39" s="50">
        <f t="shared" si="36"/>
        <v>39.579843887314837</v>
      </c>
      <c r="BL39" s="50">
        <f t="shared" si="37"/>
        <v>27.894940082576763</v>
      </c>
      <c r="BM39" s="50">
        <f t="shared" si="38"/>
        <v>19.66031068589341</v>
      </c>
      <c r="BN39" s="50">
        <f t="shared" si="39"/>
        <v>47.023475012602773</v>
      </c>
    </row>
    <row r="40" spans="5:66" ht="17" thickBot="1"/>
    <row r="41" spans="5:66">
      <c r="H41" s="58"/>
      <c r="AP41" s="156" t="s">
        <v>49</v>
      </c>
      <c r="AQ41" s="157"/>
      <c r="AR41" s="157"/>
      <c r="AS41" s="157"/>
      <c r="AT41" s="157"/>
      <c r="AU41" s="157"/>
      <c r="AV41" s="157"/>
      <c r="AW41" s="157"/>
      <c r="AX41" s="157"/>
      <c r="AY41" s="157"/>
      <c r="AZ41" s="157"/>
      <c r="BA41" s="158"/>
      <c r="BC41" s="171" t="s">
        <v>51</v>
      </c>
      <c r="BD41" s="172"/>
      <c r="BE41" s="172"/>
      <c r="BF41" s="172"/>
      <c r="BG41" s="172"/>
      <c r="BH41" s="172"/>
      <c r="BI41" s="172"/>
      <c r="BJ41" s="172"/>
      <c r="BK41" s="172"/>
      <c r="BL41" s="172"/>
      <c r="BM41" s="172"/>
      <c r="BN41" s="173"/>
    </row>
    <row r="42" spans="5:66">
      <c r="AP42" s="37"/>
      <c r="AQ42" s="41" t="s">
        <v>37</v>
      </c>
      <c r="AR42" s="41"/>
      <c r="AS42" s="41"/>
      <c r="AT42" s="41"/>
      <c r="AU42" s="41"/>
      <c r="AV42" s="41"/>
      <c r="AW42" s="41"/>
      <c r="AX42" s="41"/>
      <c r="AY42" s="41"/>
      <c r="AZ42" s="41"/>
      <c r="BA42" s="43"/>
      <c r="BC42" s="52"/>
      <c r="BD42" s="49" t="s">
        <v>37</v>
      </c>
      <c r="BE42" s="49"/>
      <c r="BF42" s="49"/>
      <c r="BG42" s="49"/>
      <c r="BH42" s="49"/>
      <c r="BI42" s="49"/>
      <c r="BJ42" s="49"/>
      <c r="BK42" s="49"/>
      <c r="BL42" s="49"/>
      <c r="BM42" s="49"/>
      <c r="BN42" s="53"/>
    </row>
    <row r="43" spans="5:66">
      <c r="AP43" s="46" t="s">
        <v>38</v>
      </c>
      <c r="AQ43" s="44">
        <v>0</v>
      </c>
      <c r="AR43" s="44">
        <v>1</v>
      </c>
      <c r="AS43" s="44">
        <v>2</v>
      </c>
      <c r="AT43" s="44">
        <v>3</v>
      </c>
      <c r="AU43" s="44">
        <v>4</v>
      </c>
      <c r="AV43" s="44">
        <v>5</v>
      </c>
      <c r="AW43" s="44">
        <v>6</v>
      </c>
      <c r="AX43" s="44">
        <v>7</v>
      </c>
      <c r="AY43" s="44">
        <v>8</v>
      </c>
      <c r="AZ43" s="44">
        <v>9</v>
      </c>
      <c r="BA43" s="45">
        <v>10</v>
      </c>
      <c r="BC43" s="54" t="s">
        <v>38</v>
      </c>
      <c r="BD43" s="51">
        <v>0</v>
      </c>
      <c r="BE43" s="51">
        <v>1</v>
      </c>
      <c r="BF43" s="51">
        <v>2</v>
      </c>
      <c r="BG43" s="51">
        <v>3</v>
      </c>
      <c r="BH43" s="51">
        <v>4</v>
      </c>
      <c r="BI43" s="51">
        <v>5</v>
      </c>
      <c r="BJ43" s="51">
        <v>6</v>
      </c>
      <c r="BK43" s="51">
        <v>7</v>
      </c>
      <c r="BL43" s="51">
        <v>8</v>
      </c>
      <c r="BM43" s="51">
        <v>9</v>
      </c>
      <c r="BN43" s="55">
        <v>10</v>
      </c>
    </row>
    <row r="44" spans="5:66">
      <c r="AP44" s="47">
        <v>1</v>
      </c>
      <c r="AQ44" s="42">
        <f t="shared" ref="AQ44:BA44" si="49">AQ20+M</f>
        <v>0.25000000266627059</v>
      </c>
      <c r="AR44" s="42">
        <f t="shared" si="49"/>
        <v>0.25000794309996477</v>
      </c>
      <c r="AS44" s="42">
        <f t="shared" si="49"/>
        <v>0.25365250575982423</v>
      </c>
      <c r="AT44" s="42">
        <f t="shared" si="49"/>
        <v>0.33150695992015655</v>
      </c>
      <c r="AU44" s="42">
        <f t="shared" si="49"/>
        <v>0.34942357162478477</v>
      </c>
      <c r="AV44" s="42">
        <f t="shared" si="49"/>
        <v>0.34996571035689289</v>
      </c>
      <c r="AW44" s="42">
        <f t="shared" si="49"/>
        <v>0.34999612308000461</v>
      </c>
      <c r="AX44" s="42">
        <f t="shared" si="49"/>
        <v>0.34999927812408388</v>
      </c>
      <c r="AY44" s="42">
        <f t="shared" si="49"/>
        <v>0.34999980249964474</v>
      </c>
      <c r="AZ44" s="42">
        <f t="shared" si="49"/>
        <v>0.3499999272980871</v>
      </c>
      <c r="BA44" s="42">
        <f t="shared" si="49"/>
        <v>0.34999996635719449</v>
      </c>
      <c r="BC44" s="56">
        <v>1</v>
      </c>
      <c r="BD44" s="50">
        <f t="shared" ref="BD44:BD63" si="50">IFERROR(-(-LN(sigmaCC)-0.5*((LN(AD20)-LN(BD20))/sigmaCC)^2),0)</f>
        <v>0</v>
      </c>
      <c r="BE44" s="50">
        <f t="shared" ref="BE44:BE63" si="51">IFERROR(-(-LN(sigmaCC)-0.5*((LN(AE20)-LN(BE20))/sigmaCC)^2),0)</f>
        <v>0</v>
      </c>
      <c r="BF44" s="50">
        <f t="shared" ref="BF44:BF63" si="52">IFERROR(-(-LN(sigmaCC)-0.5*((LN(AF20)-LN(BF20))/sigmaCC)^2),0)</f>
        <v>12.888137623318674</v>
      </c>
      <c r="BG44" s="50">
        <f t="shared" ref="BG44:BG63" si="53">IFERROR(-(-LN(sigmaCC)-0.5*((LN(AG20)-LN(BG20))/sigmaCC)^2),0)</f>
        <v>4.7611671986290727</v>
      </c>
      <c r="BH44" s="50">
        <f t="shared" ref="BH44:BH63" si="54">IFERROR(-(-LN(sigmaCC)-0.5*((LN(AH20)-LN(BH20))/sigmaCC)^2),0)</f>
        <v>4.1670181224184288</v>
      </c>
      <c r="BI44" s="50">
        <f t="shared" ref="BI44:BI63" si="55">IFERROR(-(-LN(sigmaCC)-0.5*((LN(AI20)-LN(BI20))/sigmaCC)^2),0)</f>
        <v>4.2418018815781871</v>
      </c>
      <c r="BJ44" s="50">
        <f t="shared" ref="BJ44:BJ63" si="56">IFERROR(-(-LN(sigmaCC)-0.5*((LN(AJ20)-LN(BJ20))/sigmaCC)^2),0)</f>
        <v>4.2457803085135106</v>
      </c>
      <c r="BK44" s="50">
        <f t="shared" ref="BK44:BK63" si="57">IFERROR(-(-LN(sigmaCC)-0.5*((LN(AK20)-LN(BK20))/sigmaCC)^2),0)</f>
        <v>4.2347880475671822</v>
      </c>
      <c r="BL44" s="50">
        <f t="shared" ref="BL44:BL63" si="58">IFERROR(-(-LN(sigmaCC)-0.5*((LN(AL20)-LN(BL20))/sigmaCC)^2),0)</f>
        <v>4.2476016127048064</v>
      </c>
      <c r="BM44" s="50">
        <f t="shared" ref="BM44:BM63" si="59">IFERROR(-(-LN(sigmaCC)-0.5*((LN(AM20)-LN(BM20))/sigmaCC)^2),0)</f>
        <v>4.2483537348787515</v>
      </c>
      <c r="BN44" s="50">
        <f t="shared" ref="BN44:BN63" si="60">IFERROR(-(-LN(sigmaCC)-0.5*((LN(AN20)-LN(BN20))/sigmaCC)^2),0)</f>
        <v>4.2111168113942838</v>
      </c>
    </row>
    <row r="45" spans="5:66">
      <c r="AP45" s="47">
        <v>2</v>
      </c>
      <c r="AQ45" s="42">
        <f t="shared" ref="AQ45:BA45" si="61">AQ21+M</f>
        <v>0.25000000266627059</v>
      </c>
      <c r="AR45" s="42">
        <f t="shared" si="61"/>
        <v>0.25000794309996477</v>
      </c>
      <c r="AS45" s="42">
        <f t="shared" si="61"/>
        <v>0.25365250575982423</v>
      </c>
      <c r="AT45" s="42">
        <f t="shared" si="61"/>
        <v>0.33150695992015655</v>
      </c>
      <c r="AU45" s="42">
        <f t="shared" si="61"/>
        <v>0.34942357162478477</v>
      </c>
      <c r="AV45" s="42">
        <f t="shared" si="61"/>
        <v>0.34996571035689289</v>
      </c>
      <c r="AW45" s="42">
        <f t="shared" si="61"/>
        <v>0.34999612308000461</v>
      </c>
      <c r="AX45" s="42">
        <f t="shared" si="61"/>
        <v>0.34999927812408388</v>
      </c>
      <c r="AY45" s="42">
        <f t="shared" si="61"/>
        <v>0.34999980249964474</v>
      </c>
      <c r="AZ45" s="42">
        <f t="shared" si="61"/>
        <v>0.3499999272980871</v>
      </c>
      <c r="BA45" s="42">
        <f t="shared" si="61"/>
        <v>0.34999996635719449</v>
      </c>
      <c r="BC45" s="56">
        <v>2</v>
      </c>
      <c r="BD45" s="50">
        <f t="shared" si="50"/>
        <v>0</v>
      </c>
      <c r="BE45" s="50">
        <f t="shared" si="51"/>
        <v>0</v>
      </c>
      <c r="BF45" s="50">
        <f t="shared" si="52"/>
        <v>16.430432594106112</v>
      </c>
      <c r="BG45" s="50">
        <f t="shared" si="53"/>
        <v>4.5562758155396796</v>
      </c>
      <c r="BH45" s="50">
        <f t="shared" si="54"/>
        <v>1.3815310042791276</v>
      </c>
      <c r="BI45" s="50">
        <f t="shared" si="55"/>
        <v>1.7026728673197375</v>
      </c>
      <c r="BJ45" s="50">
        <f t="shared" si="56"/>
        <v>1.7902026403242512</v>
      </c>
      <c r="BK45" s="50">
        <f t="shared" si="57"/>
        <v>1.7799933978587359</v>
      </c>
      <c r="BL45" s="50">
        <f t="shared" si="58"/>
        <v>1.7916627832419985</v>
      </c>
      <c r="BM45" s="50">
        <f t="shared" si="59"/>
        <v>1.7523210040495161</v>
      </c>
      <c r="BN45" s="50">
        <f t="shared" si="60"/>
        <v>-0.11726013288304993</v>
      </c>
    </row>
    <row r="46" spans="5:66">
      <c r="AP46" s="47">
        <v>3</v>
      </c>
      <c r="AQ46" s="42">
        <f t="shared" ref="AQ46:BA46" si="62">AQ22+M</f>
        <v>0.25000000266627059</v>
      </c>
      <c r="AR46" s="42">
        <f t="shared" si="62"/>
        <v>0.25000794309996477</v>
      </c>
      <c r="AS46" s="42">
        <f t="shared" si="62"/>
        <v>0.25365250575982423</v>
      </c>
      <c r="AT46" s="42">
        <f t="shared" si="62"/>
        <v>0.33150695992015655</v>
      </c>
      <c r="AU46" s="42">
        <f t="shared" si="62"/>
        <v>0.34942357162478477</v>
      </c>
      <c r="AV46" s="42">
        <f t="shared" si="62"/>
        <v>0.34996571035689289</v>
      </c>
      <c r="AW46" s="42">
        <f t="shared" si="62"/>
        <v>0.34999612308000461</v>
      </c>
      <c r="AX46" s="42">
        <f t="shared" si="62"/>
        <v>0.34999927812408388</v>
      </c>
      <c r="AY46" s="42">
        <f t="shared" si="62"/>
        <v>0.34999980249964474</v>
      </c>
      <c r="AZ46" s="42">
        <f t="shared" si="62"/>
        <v>0.3499999272980871</v>
      </c>
      <c r="BA46" s="42">
        <f t="shared" si="62"/>
        <v>0.34999996635719449</v>
      </c>
      <c r="BC46" s="56">
        <v>3</v>
      </c>
      <c r="BD46" s="50">
        <f t="shared" si="50"/>
        <v>0</v>
      </c>
      <c r="BE46" s="50">
        <f t="shared" si="51"/>
        <v>0</v>
      </c>
      <c r="BF46" s="50">
        <f t="shared" si="52"/>
        <v>6.0359259743900342</v>
      </c>
      <c r="BG46" s="50">
        <f t="shared" si="53"/>
        <v>2.7170822943185726</v>
      </c>
      <c r="BH46" s="50">
        <f t="shared" si="54"/>
        <v>0.53159726264248464</v>
      </c>
      <c r="BI46" s="50">
        <f t="shared" si="55"/>
        <v>-0.33099444814373691</v>
      </c>
      <c r="BJ46" s="50">
        <f t="shared" si="56"/>
        <v>-0.16630310869914944</v>
      </c>
      <c r="BK46" s="50">
        <f t="shared" si="57"/>
        <v>-0.12732501597982993</v>
      </c>
      <c r="BL46" s="50">
        <f t="shared" si="58"/>
        <v>-0.14932541533858912</v>
      </c>
      <c r="BM46" s="50">
        <f t="shared" si="59"/>
        <v>-0.16758451587810308</v>
      </c>
      <c r="BN46" s="50">
        <f t="shared" si="60"/>
        <v>-0.46795452024629991</v>
      </c>
    </row>
    <row r="47" spans="5:66">
      <c r="AP47" s="47">
        <v>4</v>
      </c>
      <c r="AQ47" s="42">
        <f t="shared" ref="AQ47:BA47" si="63">AQ23+M</f>
        <v>0.25000000266627059</v>
      </c>
      <c r="AR47" s="42">
        <f t="shared" si="63"/>
        <v>0.25000794309996477</v>
      </c>
      <c r="AS47" s="42">
        <f t="shared" si="63"/>
        <v>0.25365250575982423</v>
      </c>
      <c r="AT47" s="42">
        <f t="shared" si="63"/>
        <v>0.33150695992015655</v>
      </c>
      <c r="AU47" s="42">
        <f t="shared" si="63"/>
        <v>0.34942357162478477</v>
      </c>
      <c r="AV47" s="42">
        <f t="shared" si="63"/>
        <v>0.34996571035689289</v>
      </c>
      <c r="AW47" s="42">
        <f t="shared" si="63"/>
        <v>0.34999612308000461</v>
      </c>
      <c r="AX47" s="42">
        <f t="shared" si="63"/>
        <v>0.34999927812408388</v>
      </c>
      <c r="AY47" s="42">
        <f t="shared" si="63"/>
        <v>0.34999980249964474</v>
      </c>
      <c r="AZ47" s="42">
        <f t="shared" si="63"/>
        <v>0.3499999272980871</v>
      </c>
      <c r="BA47" s="42">
        <f t="shared" si="63"/>
        <v>0.34999996635719449</v>
      </c>
      <c r="BC47" s="56">
        <v>4</v>
      </c>
      <c r="BD47" s="50">
        <f t="shared" si="50"/>
        <v>0</v>
      </c>
      <c r="BE47" s="50">
        <f t="shared" si="51"/>
        <v>0</v>
      </c>
      <c r="BF47" s="50">
        <f t="shared" si="52"/>
        <v>10.500138587936318</v>
      </c>
      <c r="BG47" s="50">
        <f t="shared" si="53"/>
        <v>4.2391429819673103</v>
      </c>
      <c r="BH47" s="50">
        <f t="shared" si="54"/>
        <v>1.7054000502159519</v>
      </c>
      <c r="BI47" s="50">
        <f t="shared" si="55"/>
        <v>0.10225158658755074</v>
      </c>
      <c r="BJ47" s="50">
        <f t="shared" si="56"/>
        <v>-0.53577513254906894</v>
      </c>
      <c r="BK47" s="50">
        <f t="shared" si="57"/>
        <v>-0.44479398742384174</v>
      </c>
      <c r="BL47" s="50">
        <f t="shared" si="58"/>
        <v>-0.39748891719087143</v>
      </c>
      <c r="BM47" s="50">
        <f t="shared" si="59"/>
        <v>-0.39862495767424455</v>
      </c>
      <c r="BN47" s="50">
        <f t="shared" si="60"/>
        <v>0.22011492818457445</v>
      </c>
    </row>
    <row r="48" spans="5:66">
      <c r="AP48" s="47">
        <v>5</v>
      </c>
      <c r="AQ48" s="42">
        <f t="shared" ref="AQ48:BA48" si="64">AQ24+M</f>
        <v>0.25000000266627059</v>
      </c>
      <c r="AR48" s="42">
        <f t="shared" si="64"/>
        <v>0.25000794309996477</v>
      </c>
      <c r="AS48" s="42">
        <f t="shared" si="64"/>
        <v>0.25365250575982423</v>
      </c>
      <c r="AT48" s="42">
        <f t="shared" si="64"/>
        <v>0.33150695992015655</v>
      </c>
      <c r="AU48" s="42">
        <f t="shared" si="64"/>
        <v>0.34942357162478477</v>
      </c>
      <c r="AV48" s="42">
        <f t="shared" si="64"/>
        <v>0.34996571035689289</v>
      </c>
      <c r="AW48" s="42">
        <f t="shared" si="64"/>
        <v>0.34999612308000461</v>
      </c>
      <c r="AX48" s="42">
        <f t="shared" si="64"/>
        <v>0.34999927812408388</v>
      </c>
      <c r="AY48" s="42">
        <f t="shared" si="64"/>
        <v>0.34999980249964474</v>
      </c>
      <c r="AZ48" s="42">
        <f t="shared" si="64"/>
        <v>0.3499999272980871</v>
      </c>
      <c r="BA48" s="42">
        <f t="shared" si="64"/>
        <v>0.34999996635719449</v>
      </c>
      <c r="BC48" s="56">
        <v>5</v>
      </c>
      <c r="BD48" s="50">
        <f t="shared" si="50"/>
        <v>0</v>
      </c>
      <c r="BE48" s="50">
        <f t="shared" si="51"/>
        <v>0</v>
      </c>
      <c r="BF48" s="50">
        <f t="shared" si="52"/>
        <v>5.6121635375037791</v>
      </c>
      <c r="BG48" s="50">
        <f t="shared" si="53"/>
        <v>3.3616091799405385</v>
      </c>
      <c r="BH48" s="50">
        <f t="shared" si="54"/>
        <v>1.0314324908477333</v>
      </c>
      <c r="BI48" s="50">
        <f t="shared" si="55"/>
        <v>-1.297833317709296E-2</v>
      </c>
      <c r="BJ48" s="50">
        <f t="shared" si="56"/>
        <v>-0.66342152141452282</v>
      </c>
      <c r="BK48" s="50">
        <f t="shared" si="57"/>
        <v>-0.59522116725593377</v>
      </c>
      <c r="BL48" s="50">
        <f t="shared" si="58"/>
        <v>-0.64025915092557628</v>
      </c>
      <c r="BM48" s="50">
        <f t="shared" si="59"/>
        <v>-0.66051249454864447</v>
      </c>
      <c r="BN48" s="50">
        <f t="shared" si="60"/>
        <v>2.6074453672383573</v>
      </c>
    </row>
    <row r="49" spans="42:66">
      <c r="AP49" s="47">
        <v>6</v>
      </c>
      <c r="AQ49" s="42">
        <f t="shared" ref="AQ49:BA49" si="65">AQ25+M</f>
        <v>0.25000000266627059</v>
      </c>
      <c r="AR49" s="42">
        <f t="shared" si="65"/>
        <v>0.25000794309996477</v>
      </c>
      <c r="AS49" s="42">
        <f t="shared" si="65"/>
        <v>0.25365250575982423</v>
      </c>
      <c r="AT49" s="42">
        <f t="shared" si="65"/>
        <v>0.33150695992015655</v>
      </c>
      <c r="AU49" s="42">
        <f t="shared" si="65"/>
        <v>0.34942357162478477</v>
      </c>
      <c r="AV49" s="42">
        <f t="shared" si="65"/>
        <v>0.34996571035689289</v>
      </c>
      <c r="AW49" s="42">
        <f t="shared" si="65"/>
        <v>0.34999612308000461</v>
      </c>
      <c r="AX49" s="42">
        <f t="shared" si="65"/>
        <v>0.34999927812408388</v>
      </c>
      <c r="AY49" s="42">
        <f t="shared" si="65"/>
        <v>0.34999980249964474</v>
      </c>
      <c r="AZ49" s="42">
        <f t="shared" si="65"/>
        <v>0.3499999272980871</v>
      </c>
      <c r="BA49" s="42">
        <f t="shared" si="65"/>
        <v>0.34999996635719449</v>
      </c>
      <c r="BC49" s="56">
        <v>6</v>
      </c>
      <c r="BD49" s="50">
        <f t="shared" si="50"/>
        <v>0</v>
      </c>
      <c r="BE49" s="50">
        <f t="shared" si="51"/>
        <v>0</v>
      </c>
      <c r="BF49" s="50">
        <f t="shared" si="52"/>
        <v>5.6162637708410061</v>
      </c>
      <c r="BG49" s="50">
        <f t="shared" si="53"/>
        <v>2.6970028552375531</v>
      </c>
      <c r="BH49" s="50">
        <f t="shared" si="54"/>
        <v>1.5689532410542193</v>
      </c>
      <c r="BI49" s="50">
        <f t="shared" si="55"/>
        <v>0.13578961178062809</v>
      </c>
      <c r="BJ49" s="50">
        <f t="shared" si="56"/>
        <v>-0.52055323420746269</v>
      </c>
      <c r="BK49" s="50">
        <f t="shared" si="57"/>
        <v>-0.64153464342022126</v>
      </c>
      <c r="BL49" s="50">
        <f t="shared" si="58"/>
        <v>-0.18550996071417802</v>
      </c>
      <c r="BM49" s="50">
        <f t="shared" si="59"/>
        <v>-0.3306687081440628</v>
      </c>
      <c r="BN49" s="50">
        <f t="shared" si="60"/>
        <v>4.9205972162183595</v>
      </c>
    </row>
    <row r="50" spans="42:66">
      <c r="AP50" s="47">
        <v>7</v>
      </c>
      <c r="AQ50" s="42">
        <f t="shared" ref="AQ50:BA50" si="66">AQ26+M</f>
        <v>0.25000000266627059</v>
      </c>
      <c r="AR50" s="42">
        <f t="shared" si="66"/>
        <v>0.25000794309996477</v>
      </c>
      <c r="AS50" s="42">
        <f t="shared" si="66"/>
        <v>0.25365250575982423</v>
      </c>
      <c r="AT50" s="42">
        <f t="shared" si="66"/>
        <v>0.33150695992015655</v>
      </c>
      <c r="AU50" s="42">
        <f t="shared" si="66"/>
        <v>0.34942357162478477</v>
      </c>
      <c r="AV50" s="42">
        <f t="shared" si="66"/>
        <v>0.34996571035689289</v>
      </c>
      <c r="AW50" s="42">
        <f t="shared" si="66"/>
        <v>0.34999612308000461</v>
      </c>
      <c r="AX50" s="42">
        <f t="shared" si="66"/>
        <v>0.34999927812408388</v>
      </c>
      <c r="AY50" s="42">
        <f t="shared" si="66"/>
        <v>0.34999980249964474</v>
      </c>
      <c r="AZ50" s="42">
        <f t="shared" si="66"/>
        <v>0.3499999272980871</v>
      </c>
      <c r="BA50" s="42">
        <f t="shared" si="66"/>
        <v>0.34999996635719449</v>
      </c>
      <c r="BC50" s="56">
        <v>7</v>
      </c>
      <c r="BD50" s="50">
        <f t="shared" si="50"/>
        <v>0</v>
      </c>
      <c r="BE50" s="50">
        <f t="shared" si="51"/>
        <v>0</v>
      </c>
      <c r="BF50" s="50">
        <f t="shared" si="52"/>
        <v>3.6557334513358954</v>
      </c>
      <c r="BG50" s="50">
        <f t="shared" si="53"/>
        <v>1.2817448217407952</v>
      </c>
      <c r="BH50" s="50">
        <f t="shared" si="54"/>
        <v>0.44459598635122066</v>
      </c>
      <c r="BI50" s="50">
        <f t="shared" si="55"/>
        <v>7.9962753048350987E-2</v>
      </c>
      <c r="BJ50" s="50">
        <f t="shared" si="56"/>
        <v>-0.60366121926879213</v>
      </c>
      <c r="BK50" s="50">
        <f t="shared" si="57"/>
        <v>-0.65848070410860782</v>
      </c>
      <c r="BL50" s="50">
        <f t="shared" si="58"/>
        <v>9.8032517928601459E-2</v>
      </c>
      <c r="BM50" s="50">
        <f t="shared" si="59"/>
        <v>1.4746675538855758</v>
      </c>
      <c r="BN50" s="50">
        <f t="shared" si="60"/>
        <v>8.5767662642414013</v>
      </c>
    </row>
    <row r="51" spans="42:66">
      <c r="AP51" s="47">
        <v>8</v>
      </c>
      <c r="AQ51" s="42">
        <f t="shared" ref="AQ51:BA51" si="67">AQ27+M</f>
        <v>0.25000000266627059</v>
      </c>
      <c r="AR51" s="42">
        <f t="shared" si="67"/>
        <v>0.25000794309996477</v>
      </c>
      <c r="AS51" s="42">
        <f t="shared" si="67"/>
        <v>0.25365250575982423</v>
      </c>
      <c r="AT51" s="42">
        <f t="shared" si="67"/>
        <v>0.33150695992015655</v>
      </c>
      <c r="AU51" s="42">
        <f t="shared" si="67"/>
        <v>0.34942357162478477</v>
      </c>
      <c r="AV51" s="42">
        <f t="shared" si="67"/>
        <v>0.34996571035689289</v>
      </c>
      <c r="AW51" s="42">
        <f t="shared" si="67"/>
        <v>0.34999612308000461</v>
      </c>
      <c r="AX51" s="42">
        <f t="shared" si="67"/>
        <v>0.34999927812408388</v>
      </c>
      <c r="AY51" s="42">
        <f t="shared" si="67"/>
        <v>0.34999980249964474</v>
      </c>
      <c r="AZ51" s="42">
        <f t="shared" si="67"/>
        <v>0.3499999272980871</v>
      </c>
      <c r="BA51" s="42">
        <f t="shared" si="67"/>
        <v>0.34999996635719449</v>
      </c>
      <c r="BC51" s="56">
        <v>8</v>
      </c>
      <c r="BD51" s="50">
        <f t="shared" si="50"/>
        <v>0</v>
      </c>
      <c r="BE51" s="50">
        <f t="shared" si="51"/>
        <v>0</v>
      </c>
      <c r="BF51" s="50">
        <f t="shared" si="52"/>
        <v>5.3143266950533032</v>
      </c>
      <c r="BG51" s="50">
        <f t="shared" si="53"/>
        <v>1.2846481830953977</v>
      </c>
      <c r="BH51" s="50">
        <f t="shared" si="54"/>
        <v>0.10257000815062067</v>
      </c>
      <c r="BI51" s="50">
        <f t="shared" si="55"/>
        <v>-0.23684792425159795</v>
      </c>
      <c r="BJ51" s="50">
        <f t="shared" si="56"/>
        <v>-0.4488583920494098</v>
      </c>
      <c r="BK51" s="50">
        <f t="shared" si="57"/>
        <v>-0.68156905056852202</v>
      </c>
      <c r="BL51" s="50">
        <f t="shared" si="58"/>
        <v>-0.29417656957259847</v>
      </c>
      <c r="BM51" s="50">
        <f t="shared" si="59"/>
        <v>0.95421719462091514</v>
      </c>
      <c r="BN51" s="50">
        <f t="shared" si="60"/>
        <v>12.140986765446081</v>
      </c>
    </row>
    <row r="52" spans="42:66">
      <c r="AP52" s="47">
        <v>9</v>
      </c>
      <c r="AQ52" s="42">
        <f t="shared" ref="AQ52:BA52" si="68">AQ28+M</f>
        <v>0.25000000266627059</v>
      </c>
      <c r="AR52" s="42">
        <f t="shared" si="68"/>
        <v>0.25000794309996477</v>
      </c>
      <c r="AS52" s="42">
        <f t="shared" si="68"/>
        <v>0.25365250575982423</v>
      </c>
      <c r="AT52" s="42">
        <f t="shared" si="68"/>
        <v>0.33150695992015655</v>
      </c>
      <c r="AU52" s="42">
        <f t="shared" si="68"/>
        <v>0.34942357162478477</v>
      </c>
      <c r="AV52" s="42">
        <f t="shared" si="68"/>
        <v>0.34996571035689289</v>
      </c>
      <c r="AW52" s="42">
        <f t="shared" si="68"/>
        <v>0.34999612308000461</v>
      </c>
      <c r="AX52" s="42">
        <f t="shared" si="68"/>
        <v>0.34999927812408388</v>
      </c>
      <c r="AY52" s="42">
        <f t="shared" si="68"/>
        <v>0.34999980249964474</v>
      </c>
      <c r="AZ52" s="42">
        <f t="shared" si="68"/>
        <v>0.3499999272980871</v>
      </c>
      <c r="BA52" s="42">
        <f t="shared" si="68"/>
        <v>0.34999996635719449</v>
      </c>
      <c r="BC52" s="56">
        <v>9</v>
      </c>
      <c r="BD52" s="50">
        <f t="shared" si="50"/>
        <v>0</v>
      </c>
      <c r="BE52" s="50">
        <f t="shared" si="51"/>
        <v>0</v>
      </c>
      <c r="BF52" s="50">
        <f t="shared" si="52"/>
        <v>2.5926217805302638</v>
      </c>
      <c r="BG52" s="50">
        <f t="shared" si="53"/>
        <v>0.28368940806859066</v>
      </c>
      <c r="BH52" s="50">
        <f t="shared" si="54"/>
        <v>-0.49048003788880501</v>
      </c>
      <c r="BI52" s="50">
        <f t="shared" si="55"/>
        <v>-0.67481038968716089</v>
      </c>
      <c r="BJ52" s="50">
        <f t="shared" si="56"/>
        <v>-0.68541086045115907</v>
      </c>
      <c r="BK52" s="50">
        <f t="shared" si="57"/>
        <v>-0.62390949661229922</v>
      </c>
      <c r="BL52" s="50">
        <f t="shared" si="58"/>
        <v>9.8032511220697893E-2</v>
      </c>
      <c r="BM52" s="50">
        <f t="shared" si="59"/>
        <v>0.95421718494161378</v>
      </c>
      <c r="BN52" s="50">
        <f t="shared" si="60"/>
        <v>15.017664252349192</v>
      </c>
    </row>
    <row r="53" spans="42:66">
      <c r="AP53" s="47">
        <v>10</v>
      </c>
      <c r="AQ53" s="42">
        <f t="shared" ref="AQ53:BA53" si="69">AQ29+M</f>
        <v>0.25000000266627059</v>
      </c>
      <c r="AR53" s="42">
        <f t="shared" si="69"/>
        <v>0.25000794309996477</v>
      </c>
      <c r="AS53" s="42">
        <f t="shared" si="69"/>
        <v>0.25365250575982423</v>
      </c>
      <c r="AT53" s="42">
        <f t="shared" si="69"/>
        <v>0.33150695992015655</v>
      </c>
      <c r="AU53" s="42">
        <f t="shared" si="69"/>
        <v>0.34942357162478477</v>
      </c>
      <c r="AV53" s="42">
        <f t="shared" si="69"/>
        <v>0.34996571035689289</v>
      </c>
      <c r="AW53" s="42">
        <f t="shared" si="69"/>
        <v>0.34999612308000461</v>
      </c>
      <c r="AX53" s="42">
        <f t="shared" si="69"/>
        <v>0.34999927812408388</v>
      </c>
      <c r="AY53" s="42">
        <f t="shared" si="69"/>
        <v>0.34999980249964474</v>
      </c>
      <c r="AZ53" s="42">
        <f t="shared" si="69"/>
        <v>0.3499999272980871</v>
      </c>
      <c r="BA53" s="42">
        <f t="shared" si="69"/>
        <v>0.34999996635719449</v>
      </c>
      <c r="BC53" s="56">
        <v>10</v>
      </c>
      <c r="BD53" s="50">
        <f t="shared" si="50"/>
        <v>0</v>
      </c>
      <c r="BE53" s="50">
        <f t="shared" si="51"/>
        <v>0</v>
      </c>
      <c r="BF53" s="50">
        <f t="shared" si="52"/>
        <v>-0.4510493662187256</v>
      </c>
      <c r="BG53" s="50">
        <f t="shared" si="53"/>
        <v>-0.60483866206130366</v>
      </c>
      <c r="BH53" s="50">
        <f t="shared" si="54"/>
        <v>-0.648337162683149</v>
      </c>
      <c r="BI53" s="50">
        <f t="shared" si="55"/>
        <v>-0.28989260692137858</v>
      </c>
      <c r="BJ53" s="50">
        <f t="shared" si="56"/>
        <v>0.1902747615184216</v>
      </c>
      <c r="BK53" s="50">
        <f t="shared" si="57"/>
        <v>0.56185172984180121</v>
      </c>
      <c r="BL53" s="50">
        <f t="shared" si="58"/>
        <v>1.0541039825885012</v>
      </c>
      <c r="BM53" s="50">
        <f t="shared" si="59"/>
        <v>3.1022676208720448</v>
      </c>
      <c r="BN53" s="50">
        <f t="shared" si="60"/>
        <v>19.725992496121833</v>
      </c>
    </row>
    <row r="54" spans="42:66">
      <c r="AP54" s="47">
        <v>11</v>
      </c>
      <c r="AQ54" s="42">
        <f t="shared" ref="AQ54:BA54" si="70">AQ30+M</f>
        <v>0.25000000266627059</v>
      </c>
      <c r="AR54" s="42">
        <f t="shared" si="70"/>
        <v>0.25000794309996477</v>
      </c>
      <c r="AS54" s="42">
        <f t="shared" si="70"/>
        <v>0.25365250575982423</v>
      </c>
      <c r="AT54" s="42">
        <f t="shared" si="70"/>
        <v>0.33150695992015655</v>
      </c>
      <c r="AU54" s="42">
        <f t="shared" si="70"/>
        <v>0.34942357162478477</v>
      </c>
      <c r="AV54" s="42">
        <f t="shared" si="70"/>
        <v>0.34996571035689289</v>
      </c>
      <c r="AW54" s="42">
        <f t="shared" si="70"/>
        <v>0.34999612308000461</v>
      </c>
      <c r="AX54" s="42">
        <f t="shared" si="70"/>
        <v>0.34999927812408388</v>
      </c>
      <c r="AY54" s="42">
        <f t="shared" si="70"/>
        <v>0.34999980249964474</v>
      </c>
      <c r="AZ54" s="42">
        <f t="shared" si="70"/>
        <v>0.3499999272980871</v>
      </c>
      <c r="BA54" s="42">
        <f t="shared" si="70"/>
        <v>0.34999996635719449</v>
      </c>
      <c r="BC54" s="56">
        <v>11</v>
      </c>
      <c r="BD54" s="50">
        <f t="shared" si="50"/>
        <v>0</v>
      </c>
      <c r="BE54" s="50">
        <f t="shared" si="51"/>
        <v>0</v>
      </c>
      <c r="BF54" s="50">
        <f t="shared" si="52"/>
        <v>2.7794135725238829</v>
      </c>
      <c r="BG54" s="50">
        <f t="shared" si="53"/>
        <v>0.25462662261411562</v>
      </c>
      <c r="BH54" s="50">
        <f t="shared" si="54"/>
        <v>-0.26330051843802171</v>
      </c>
      <c r="BI54" s="50">
        <f t="shared" si="55"/>
        <v>-0.65897887119492071</v>
      </c>
      <c r="BJ54" s="50">
        <f t="shared" si="56"/>
        <v>-0.64196122936441125</v>
      </c>
      <c r="BK54" s="50">
        <f t="shared" si="57"/>
        <v>-0.394991021394689</v>
      </c>
      <c r="BL54" s="50">
        <f t="shared" si="58"/>
        <v>-6.6087427181061753E-2</v>
      </c>
      <c r="BM54" s="50">
        <f t="shared" si="59"/>
        <v>0.23162824969811535</v>
      </c>
      <c r="BN54" s="50">
        <f t="shared" si="60"/>
        <v>9.6099918830008697</v>
      </c>
    </row>
    <row r="55" spans="42:66">
      <c r="AP55" s="47">
        <v>12</v>
      </c>
      <c r="AQ55" s="42">
        <f t="shared" ref="AQ55:BA55" si="71">AQ31+M</f>
        <v>0.25000000266627059</v>
      </c>
      <c r="AR55" s="42">
        <f t="shared" si="71"/>
        <v>0.25000794309996477</v>
      </c>
      <c r="AS55" s="42">
        <f t="shared" si="71"/>
        <v>0.25365250575982423</v>
      </c>
      <c r="AT55" s="42">
        <f t="shared" si="71"/>
        <v>0.33150695992015655</v>
      </c>
      <c r="AU55" s="42">
        <f t="shared" si="71"/>
        <v>0.34942357162478477</v>
      </c>
      <c r="AV55" s="42">
        <f t="shared" si="71"/>
        <v>0.34996571035689289</v>
      </c>
      <c r="AW55" s="42">
        <f t="shared" si="71"/>
        <v>0.34999612308000461</v>
      </c>
      <c r="AX55" s="42">
        <f t="shared" si="71"/>
        <v>0.34999927812408388</v>
      </c>
      <c r="AY55" s="42">
        <f t="shared" si="71"/>
        <v>0.34999980249964474</v>
      </c>
      <c r="AZ55" s="42">
        <f t="shared" si="71"/>
        <v>0.3499999272980871</v>
      </c>
      <c r="BA55" s="42">
        <f t="shared" si="71"/>
        <v>0.34999996635719449</v>
      </c>
      <c r="BC55" s="56">
        <v>12</v>
      </c>
      <c r="BD55" s="50">
        <f t="shared" si="50"/>
        <v>0</v>
      </c>
      <c r="BE55" s="50">
        <f t="shared" si="51"/>
        <v>0</v>
      </c>
      <c r="BF55" s="50">
        <f t="shared" si="52"/>
        <v>3.3191668019177776</v>
      </c>
      <c r="BG55" s="50">
        <f t="shared" si="53"/>
        <v>0.13937172121963759</v>
      </c>
      <c r="BH55" s="50">
        <f t="shared" si="54"/>
        <v>-0.60396511496014771</v>
      </c>
      <c r="BI55" s="50">
        <f t="shared" si="55"/>
        <v>-0.67402136534753654</v>
      </c>
      <c r="BJ55" s="50">
        <f t="shared" si="56"/>
        <v>-0.5929610490892343</v>
      </c>
      <c r="BK55" s="50">
        <f t="shared" si="57"/>
        <v>-9.7529196798400886E-2</v>
      </c>
      <c r="BL55" s="50">
        <f t="shared" si="58"/>
        <v>0.48342938772173782</v>
      </c>
      <c r="BM55" s="50">
        <f t="shared" si="59"/>
        <v>0.93798129891047377</v>
      </c>
      <c r="BN55" s="50">
        <f t="shared" si="60"/>
        <v>9.538819495807795</v>
      </c>
    </row>
    <row r="56" spans="42:66">
      <c r="AP56" s="47">
        <v>13</v>
      </c>
      <c r="AQ56" s="42">
        <f t="shared" ref="AQ56:BA56" si="72">AQ32+M</f>
        <v>0.25000000266627059</v>
      </c>
      <c r="AR56" s="42">
        <f t="shared" si="72"/>
        <v>0.25000794309996477</v>
      </c>
      <c r="AS56" s="42">
        <f t="shared" si="72"/>
        <v>0.25365250575982423</v>
      </c>
      <c r="AT56" s="42">
        <f t="shared" si="72"/>
        <v>0.33150695992015655</v>
      </c>
      <c r="AU56" s="42">
        <f t="shared" si="72"/>
        <v>0.34942357162478477</v>
      </c>
      <c r="AV56" s="42">
        <f t="shared" si="72"/>
        <v>0.34996571035689289</v>
      </c>
      <c r="AW56" s="42">
        <f t="shared" si="72"/>
        <v>0.34999612308000461</v>
      </c>
      <c r="AX56" s="42">
        <f t="shared" si="72"/>
        <v>0.34999927812408388</v>
      </c>
      <c r="AY56" s="42">
        <f t="shared" si="72"/>
        <v>0.34999980249964474</v>
      </c>
      <c r="AZ56" s="42">
        <f t="shared" si="72"/>
        <v>0.3499999272980871</v>
      </c>
      <c r="BA56" s="42">
        <f t="shared" si="72"/>
        <v>0.34999996635719449</v>
      </c>
      <c r="BC56" s="56">
        <v>13</v>
      </c>
      <c r="BD56" s="50">
        <f t="shared" si="50"/>
        <v>0</v>
      </c>
      <c r="BE56" s="50">
        <f t="shared" si="51"/>
        <v>0</v>
      </c>
      <c r="BF56" s="50">
        <f t="shared" si="52"/>
        <v>2.5993414745101391</v>
      </c>
      <c r="BG56" s="50">
        <f t="shared" si="53"/>
        <v>-0.23542103626850802</v>
      </c>
      <c r="BH56" s="50">
        <f t="shared" si="54"/>
        <v>-0.68858989897434253</v>
      </c>
      <c r="BI56" s="50">
        <f t="shared" si="55"/>
        <v>-0.58181893952215702</v>
      </c>
      <c r="BJ56" s="50">
        <f t="shared" si="56"/>
        <v>-0.46059691909859052</v>
      </c>
      <c r="BK56" s="50">
        <f t="shared" si="57"/>
        <v>0.24469727010444076</v>
      </c>
      <c r="BL56" s="50">
        <f t="shared" si="58"/>
        <v>1.0490381309234933</v>
      </c>
      <c r="BM56" s="50">
        <f t="shared" si="59"/>
        <v>2.1399611397225105</v>
      </c>
      <c r="BN56" s="50">
        <f t="shared" si="60"/>
        <v>11.601822472551998</v>
      </c>
    </row>
    <row r="57" spans="42:66">
      <c r="AP57" s="47">
        <v>14</v>
      </c>
      <c r="AQ57" s="42">
        <f t="shared" ref="AQ57:BA57" si="73">AQ33+M</f>
        <v>0.25000000266627059</v>
      </c>
      <c r="AR57" s="42">
        <f t="shared" si="73"/>
        <v>0.25000794309996477</v>
      </c>
      <c r="AS57" s="42">
        <f t="shared" si="73"/>
        <v>0.25365250575982423</v>
      </c>
      <c r="AT57" s="42">
        <f t="shared" si="73"/>
        <v>0.33150695992015655</v>
      </c>
      <c r="AU57" s="42">
        <f t="shared" si="73"/>
        <v>0.34942357162478477</v>
      </c>
      <c r="AV57" s="42">
        <f t="shared" si="73"/>
        <v>0.34996571035689289</v>
      </c>
      <c r="AW57" s="42">
        <f t="shared" si="73"/>
        <v>0.34999612308000461</v>
      </c>
      <c r="AX57" s="42">
        <f t="shared" si="73"/>
        <v>0.34999927812408388</v>
      </c>
      <c r="AY57" s="42">
        <f t="shared" si="73"/>
        <v>0.34999980249964474</v>
      </c>
      <c r="AZ57" s="42">
        <f t="shared" si="73"/>
        <v>0.3499999272980871</v>
      </c>
      <c r="BA57" s="42">
        <f t="shared" si="73"/>
        <v>0.34999996635719449</v>
      </c>
      <c r="BC57" s="56">
        <v>14</v>
      </c>
      <c r="BD57" s="50">
        <f t="shared" si="50"/>
        <v>0</v>
      </c>
      <c r="BE57" s="50">
        <f t="shared" si="51"/>
        <v>0</v>
      </c>
      <c r="BF57" s="50">
        <f t="shared" si="52"/>
        <v>5.485686691848815</v>
      </c>
      <c r="BG57" s="50">
        <f t="shared" si="53"/>
        <v>-0.31542297141390435</v>
      </c>
      <c r="BH57" s="50">
        <f t="shared" si="54"/>
        <v>-0.67000875422936157</v>
      </c>
      <c r="BI57" s="50">
        <f t="shared" si="55"/>
        <v>-0.38937665471002125</v>
      </c>
      <c r="BJ57" s="50">
        <f t="shared" si="56"/>
        <v>0.18359371959189863</v>
      </c>
      <c r="BK57" s="50">
        <f t="shared" si="57"/>
        <v>0.55357763838634677</v>
      </c>
      <c r="BL57" s="50">
        <f t="shared" si="58"/>
        <v>1.8755560378892842</v>
      </c>
      <c r="BM57" s="50">
        <f t="shared" si="59"/>
        <v>3.0704255925765853</v>
      </c>
      <c r="BN57" s="50">
        <f t="shared" si="60"/>
        <v>14.574867265485102</v>
      </c>
    </row>
    <row r="58" spans="42:66">
      <c r="AP58" s="47">
        <v>15</v>
      </c>
      <c r="AQ58" s="42">
        <f t="shared" ref="AQ58:BA58" si="74">AQ34+M</f>
        <v>0.25000000266627059</v>
      </c>
      <c r="AR58" s="42">
        <f t="shared" si="74"/>
        <v>0.25000794309996477</v>
      </c>
      <c r="AS58" s="42">
        <f t="shared" si="74"/>
        <v>0.25365250575982423</v>
      </c>
      <c r="AT58" s="42">
        <f t="shared" si="74"/>
        <v>0.33150695992015655</v>
      </c>
      <c r="AU58" s="42">
        <f t="shared" si="74"/>
        <v>0.34942357162478477</v>
      </c>
      <c r="AV58" s="42">
        <f t="shared" si="74"/>
        <v>0.34996571035689289</v>
      </c>
      <c r="AW58" s="42">
        <f t="shared" si="74"/>
        <v>0.34999612308000461</v>
      </c>
      <c r="AX58" s="42">
        <f t="shared" si="74"/>
        <v>0.34999927812408388</v>
      </c>
      <c r="AY58" s="42">
        <f t="shared" si="74"/>
        <v>0.34999980249964474</v>
      </c>
      <c r="AZ58" s="42">
        <f t="shared" si="74"/>
        <v>0.3499999272980871</v>
      </c>
      <c r="BA58" s="42">
        <f t="shared" si="74"/>
        <v>0.34999996635719449</v>
      </c>
      <c r="BC58" s="56">
        <v>15</v>
      </c>
      <c r="BD58" s="50">
        <f t="shared" si="50"/>
        <v>0</v>
      </c>
      <c r="BE58" s="50">
        <f t="shared" si="51"/>
        <v>0</v>
      </c>
      <c r="BF58" s="50">
        <f t="shared" si="52"/>
        <v>4.1868454150580332</v>
      </c>
      <c r="BG58" s="50">
        <f t="shared" si="53"/>
        <v>-0.26200433233046672</v>
      </c>
      <c r="BH58" s="50">
        <f t="shared" si="54"/>
        <v>-0.59398518070822692</v>
      </c>
      <c r="BI58" s="50">
        <f t="shared" si="55"/>
        <v>-0.13496162213776608</v>
      </c>
      <c r="BJ58" s="50">
        <f t="shared" si="56"/>
        <v>0.61956146533389711</v>
      </c>
      <c r="BK58" s="50">
        <f t="shared" si="57"/>
        <v>1.7909659458128386</v>
      </c>
      <c r="BL58" s="50">
        <f t="shared" si="58"/>
        <v>2.4341980967418531</v>
      </c>
      <c r="BM58" s="50">
        <f t="shared" si="59"/>
        <v>4.3899530086958505</v>
      </c>
      <c r="BN58" s="50">
        <f t="shared" si="60"/>
        <v>19.34517321841755</v>
      </c>
    </row>
    <row r="59" spans="42:66">
      <c r="AP59" s="47">
        <v>16</v>
      </c>
      <c r="AQ59" s="42">
        <f t="shared" ref="AQ59:BA59" si="75">AQ35+M</f>
        <v>0.25000000266627059</v>
      </c>
      <c r="AR59" s="42">
        <f t="shared" si="75"/>
        <v>0.25000794309996477</v>
      </c>
      <c r="AS59" s="42">
        <f t="shared" si="75"/>
        <v>0.25365250575982423</v>
      </c>
      <c r="AT59" s="42">
        <f t="shared" si="75"/>
        <v>0.33150695992015655</v>
      </c>
      <c r="AU59" s="42">
        <f t="shared" si="75"/>
        <v>0.34942357162478477</v>
      </c>
      <c r="AV59" s="42">
        <f t="shared" si="75"/>
        <v>0.34996571035689289</v>
      </c>
      <c r="AW59" s="42">
        <f t="shared" si="75"/>
        <v>0.34999612308000461</v>
      </c>
      <c r="AX59" s="42">
        <f t="shared" si="75"/>
        <v>0.34999927812408388</v>
      </c>
      <c r="AY59" s="42">
        <f t="shared" si="75"/>
        <v>0.34999980249964474</v>
      </c>
      <c r="AZ59" s="42">
        <f t="shared" si="75"/>
        <v>0.3499999272980871</v>
      </c>
      <c r="BA59" s="42">
        <f t="shared" si="75"/>
        <v>0.34999996635719449</v>
      </c>
      <c r="BC59" s="56">
        <v>16</v>
      </c>
      <c r="BD59" s="50">
        <f t="shared" si="50"/>
        <v>0</v>
      </c>
      <c r="BE59" s="50">
        <f t="shared" si="51"/>
        <v>0</v>
      </c>
      <c r="BF59" s="50">
        <f t="shared" si="52"/>
        <v>3.32239657827831</v>
      </c>
      <c r="BG59" s="50">
        <f t="shared" si="53"/>
        <v>-0.47601066204284626</v>
      </c>
      <c r="BH59" s="50">
        <f t="shared" si="54"/>
        <v>-0.62115764295608977</v>
      </c>
      <c r="BI59" s="50">
        <f t="shared" si="55"/>
        <v>0.12750523264624569</v>
      </c>
      <c r="BJ59" s="50">
        <f t="shared" si="56"/>
        <v>1.0654965141772155</v>
      </c>
      <c r="BK59" s="50">
        <f t="shared" si="57"/>
        <v>2.1588894688566111</v>
      </c>
      <c r="BL59" s="50">
        <f t="shared" si="58"/>
        <v>4.0357202330389308</v>
      </c>
      <c r="BM59" s="50">
        <f t="shared" si="59"/>
        <v>4.3860865136794276</v>
      </c>
      <c r="BN59" s="50">
        <f t="shared" si="60"/>
        <v>19.314573139160686</v>
      </c>
    </row>
    <row r="60" spans="42:66">
      <c r="AP60" s="47">
        <v>17</v>
      </c>
      <c r="AQ60" s="42">
        <f t="shared" ref="AQ60:BA60" si="76">AQ36+M</f>
        <v>0.25000000266627059</v>
      </c>
      <c r="AR60" s="42">
        <f t="shared" si="76"/>
        <v>0.25000794309996477</v>
      </c>
      <c r="AS60" s="42">
        <f t="shared" si="76"/>
        <v>0.25365250575982423</v>
      </c>
      <c r="AT60" s="42">
        <f t="shared" si="76"/>
        <v>0.33150695992015655</v>
      </c>
      <c r="AU60" s="42">
        <f t="shared" si="76"/>
        <v>0.34942357162478477</v>
      </c>
      <c r="AV60" s="42">
        <f t="shared" si="76"/>
        <v>0.34996571035689289</v>
      </c>
      <c r="AW60" s="42">
        <f t="shared" si="76"/>
        <v>0.34999612308000461</v>
      </c>
      <c r="AX60" s="42">
        <f t="shared" si="76"/>
        <v>0.34999927812408388</v>
      </c>
      <c r="AY60" s="42">
        <f t="shared" si="76"/>
        <v>0.34999980249964474</v>
      </c>
      <c r="AZ60" s="42">
        <f t="shared" si="76"/>
        <v>0.3499999272980871</v>
      </c>
      <c r="BA60" s="42">
        <f t="shared" si="76"/>
        <v>0.34999996635719449</v>
      </c>
      <c r="BC60" s="56">
        <v>17</v>
      </c>
      <c r="BD60" s="50">
        <f t="shared" si="50"/>
        <v>0</v>
      </c>
      <c r="BE60" s="50">
        <f t="shared" si="51"/>
        <v>0</v>
      </c>
      <c r="BF60" s="50">
        <f t="shared" si="52"/>
        <v>3.846792827247203</v>
      </c>
      <c r="BG60" s="50">
        <f t="shared" si="53"/>
        <v>-0.65362262639360968</v>
      </c>
      <c r="BH60" s="50">
        <f t="shared" si="54"/>
        <v>-0.38665055461086323</v>
      </c>
      <c r="BI60" s="50">
        <f t="shared" si="55"/>
        <v>0.25685173528918459</v>
      </c>
      <c r="BJ60" s="50">
        <f t="shared" si="56"/>
        <v>1.8978017278507426</v>
      </c>
      <c r="BK60" s="50">
        <f t="shared" si="57"/>
        <v>3.6969725602858192</v>
      </c>
      <c r="BL60" s="50">
        <f t="shared" si="58"/>
        <v>5.2211387755967493</v>
      </c>
      <c r="BM60" s="50">
        <f t="shared" si="59"/>
        <v>6.3818212291393035</v>
      </c>
      <c r="BN60" s="50">
        <f t="shared" si="60"/>
        <v>29.015789893801784</v>
      </c>
    </row>
    <row r="61" spans="42:66">
      <c r="AP61" s="47">
        <v>18</v>
      </c>
      <c r="AQ61" s="42">
        <f t="shared" ref="AQ61:BA61" si="77">AQ37+M</f>
        <v>0.25000000266627059</v>
      </c>
      <c r="AR61" s="42">
        <f t="shared" si="77"/>
        <v>0.25000794309996477</v>
      </c>
      <c r="AS61" s="42">
        <f t="shared" si="77"/>
        <v>0.25365250575982423</v>
      </c>
      <c r="AT61" s="42">
        <f t="shared" si="77"/>
        <v>0.33150695992015655</v>
      </c>
      <c r="AU61" s="42">
        <f t="shared" si="77"/>
        <v>0.34942357162478477</v>
      </c>
      <c r="AV61" s="42">
        <f t="shared" si="77"/>
        <v>0.34996571035689289</v>
      </c>
      <c r="AW61" s="42">
        <f t="shared" si="77"/>
        <v>0.34999612308000461</v>
      </c>
      <c r="AX61" s="42">
        <f t="shared" si="77"/>
        <v>0.34999927812408388</v>
      </c>
      <c r="AY61" s="42">
        <f t="shared" si="77"/>
        <v>0.34999980249964474</v>
      </c>
      <c r="AZ61" s="42">
        <f t="shared" si="77"/>
        <v>0.3499999272980871</v>
      </c>
      <c r="BA61" s="42">
        <f t="shared" si="77"/>
        <v>0.34999996635719449</v>
      </c>
      <c r="BC61" s="56">
        <v>18</v>
      </c>
      <c r="BD61" s="50">
        <f t="shared" si="50"/>
        <v>0</v>
      </c>
      <c r="BE61" s="50">
        <f t="shared" si="51"/>
        <v>0</v>
      </c>
      <c r="BF61" s="50">
        <f t="shared" si="52"/>
        <v>3.8471252647643484</v>
      </c>
      <c r="BG61" s="50">
        <f t="shared" si="53"/>
        <v>-0.68403298963403036</v>
      </c>
      <c r="BH61" s="50">
        <f t="shared" si="54"/>
        <v>1.4846773886369791E-2</v>
      </c>
      <c r="BI61" s="50">
        <f t="shared" si="55"/>
        <v>0.75730262383324953</v>
      </c>
      <c r="BJ61" s="50">
        <f t="shared" si="56"/>
        <v>1.8970951086221723</v>
      </c>
      <c r="BK61" s="50">
        <f t="shared" si="57"/>
        <v>4.4214351839550607</v>
      </c>
      <c r="BL61" s="50">
        <f t="shared" si="58"/>
        <v>6.8535381952345791</v>
      </c>
      <c r="BM61" s="50">
        <f t="shared" si="59"/>
        <v>9.7577742679439261</v>
      </c>
      <c r="BN61" s="50">
        <f t="shared" si="60"/>
        <v>28.993100443217575</v>
      </c>
    </row>
    <row r="62" spans="42:66">
      <c r="AP62" s="47">
        <v>19</v>
      </c>
      <c r="AQ62" s="42">
        <f t="shared" ref="AQ62:BA62" si="78">AQ38+M</f>
        <v>0.25000000266627059</v>
      </c>
      <c r="AR62" s="42">
        <f t="shared" si="78"/>
        <v>0.25000794309996477</v>
      </c>
      <c r="AS62" s="42">
        <f t="shared" si="78"/>
        <v>0.25365250575982423</v>
      </c>
      <c r="AT62" s="42">
        <f t="shared" si="78"/>
        <v>0.33150695992015655</v>
      </c>
      <c r="AU62" s="42">
        <f t="shared" si="78"/>
        <v>0.34942357162478477</v>
      </c>
      <c r="AV62" s="42">
        <f t="shared" si="78"/>
        <v>0.34996571035689289</v>
      </c>
      <c r="AW62" s="42">
        <f t="shared" si="78"/>
        <v>0.34999612308000461</v>
      </c>
      <c r="AX62" s="42">
        <f t="shared" si="78"/>
        <v>0.34999927812408388</v>
      </c>
      <c r="AY62" s="42">
        <f t="shared" si="78"/>
        <v>0.34999980249964474</v>
      </c>
      <c r="AZ62" s="42">
        <f t="shared" si="78"/>
        <v>0.3499999272980871</v>
      </c>
      <c r="BA62" s="42">
        <f t="shared" si="78"/>
        <v>0.34999996635719449</v>
      </c>
      <c r="BC62" s="56">
        <v>19</v>
      </c>
      <c r="BD62" s="50">
        <f t="shared" si="50"/>
        <v>0</v>
      </c>
      <c r="BE62" s="50">
        <f t="shared" si="51"/>
        <v>0</v>
      </c>
      <c r="BF62" s="50">
        <f t="shared" si="52"/>
        <v>2.784727128346121</v>
      </c>
      <c r="BG62" s="50">
        <f t="shared" si="53"/>
        <v>-0.63405224782046588</v>
      </c>
      <c r="BH62" s="50">
        <f t="shared" si="54"/>
        <v>0.27760119625790192</v>
      </c>
      <c r="BI62" s="50">
        <f t="shared" si="55"/>
        <v>0.97082992391462952</v>
      </c>
      <c r="BJ62" s="50">
        <f t="shared" si="56"/>
        <v>1.8965507078860524</v>
      </c>
      <c r="BK62" s="50">
        <f t="shared" si="57"/>
        <v>3.6948486741836515</v>
      </c>
      <c r="BL62" s="50">
        <f t="shared" si="58"/>
        <v>6.8519593331432791</v>
      </c>
      <c r="BM62" s="50">
        <f t="shared" si="59"/>
        <v>9.7553173151513199</v>
      </c>
      <c r="BN62" s="50">
        <f t="shared" si="60"/>
        <v>28.975469642379466</v>
      </c>
    </row>
    <row r="63" spans="42:66" ht="17" thickBot="1">
      <c r="AP63" s="48">
        <v>20</v>
      </c>
      <c r="AQ63" s="42">
        <f t="shared" ref="AQ63:BA63" si="79">AQ39+M</f>
        <v>0.25000000266627059</v>
      </c>
      <c r="AR63" s="42">
        <f t="shared" si="79"/>
        <v>0.25000794309996477</v>
      </c>
      <c r="AS63" s="42">
        <f t="shared" si="79"/>
        <v>0.25365250575982423</v>
      </c>
      <c r="AT63" s="42">
        <f t="shared" si="79"/>
        <v>0.33150695992015655</v>
      </c>
      <c r="AU63" s="42">
        <f t="shared" si="79"/>
        <v>0.34942357162478477</v>
      </c>
      <c r="AV63" s="42">
        <f t="shared" si="79"/>
        <v>0.34996571035689289</v>
      </c>
      <c r="AW63" s="42">
        <f t="shared" si="79"/>
        <v>0.34999612308000461</v>
      </c>
      <c r="AX63" s="42">
        <f t="shared" si="79"/>
        <v>0.34999927812408388</v>
      </c>
      <c r="AY63" s="42">
        <f t="shared" si="79"/>
        <v>0.34999980249964474</v>
      </c>
      <c r="AZ63" s="42">
        <f t="shared" si="79"/>
        <v>0.3499999272980871</v>
      </c>
      <c r="BA63" s="42">
        <f t="shared" si="79"/>
        <v>0.34999996635719449</v>
      </c>
      <c r="BC63" s="57">
        <v>20</v>
      </c>
      <c r="BD63" s="50">
        <f t="shared" si="50"/>
        <v>0</v>
      </c>
      <c r="BE63" s="50">
        <f t="shared" si="51"/>
        <v>0</v>
      </c>
      <c r="BF63" s="50">
        <f t="shared" si="52"/>
        <v>2.0460606824284242</v>
      </c>
      <c r="BG63" s="50">
        <f t="shared" si="53"/>
        <v>-0.57964386710847549</v>
      </c>
      <c r="BH63" s="50">
        <f t="shared" si="54"/>
        <v>0.68519816785527576</v>
      </c>
      <c r="BI63" s="50">
        <f t="shared" si="55"/>
        <v>1.4933878079510738</v>
      </c>
      <c r="BJ63" s="50">
        <f t="shared" si="56"/>
        <v>2.4599426561645981</v>
      </c>
      <c r="BK63" s="50">
        <f t="shared" si="57"/>
        <v>3.6941400974291261</v>
      </c>
      <c r="BL63" s="50">
        <f t="shared" si="58"/>
        <v>5.2168257081259766</v>
      </c>
      <c r="BM63" s="50">
        <f t="shared" si="59"/>
        <v>9.7534595289990129</v>
      </c>
      <c r="BN63" s="50">
        <f t="shared" si="60"/>
        <v>28.961816615222531</v>
      </c>
    </row>
  </sheetData>
  <mergeCells count="15">
    <mergeCell ref="A29:A31"/>
    <mergeCell ref="AP41:BA41"/>
    <mergeCell ref="BC41:BN41"/>
    <mergeCell ref="A26:C26"/>
    <mergeCell ref="A12:C12"/>
    <mergeCell ref="E10:T16"/>
    <mergeCell ref="AC17:AN17"/>
    <mergeCell ref="AP17:BA17"/>
    <mergeCell ref="BC17:BN17"/>
    <mergeCell ref="A20:C20"/>
    <mergeCell ref="A1:C1"/>
    <mergeCell ref="A2:A3"/>
    <mergeCell ref="A4:A6"/>
    <mergeCell ref="A9:A10"/>
    <mergeCell ref="P17:AA17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E67E-2FA9-324F-A76F-608A4119B07D}">
  <dimension ref="A1:DA63"/>
  <sheetViews>
    <sheetView tabSelected="1" topLeftCell="A11" zoomScale="108" zoomScaleNormal="108" workbookViewId="0">
      <selection activeCell="G15" sqref="G15"/>
    </sheetView>
  </sheetViews>
  <sheetFormatPr baseColWidth="10" defaultRowHeight="16"/>
  <cols>
    <col min="1" max="1" width="12.140625" style="88" customWidth="1"/>
    <col min="2" max="2" width="14.5703125" style="88" customWidth="1"/>
    <col min="3" max="3" width="13.42578125" style="88" bestFit="1" customWidth="1"/>
    <col min="4" max="5" width="13.42578125" style="94" customWidth="1"/>
    <col min="6" max="6" width="10.7109375" style="88"/>
    <col min="7" max="7" width="8.140625" style="88" customWidth="1"/>
    <col min="8" max="8" width="7.5703125" style="88" customWidth="1"/>
    <col min="9" max="9" width="10.7109375" style="88"/>
    <col min="10" max="10" width="6.140625" style="88" customWidth="1"/>
    <col min="11" max="11" width="7.85546875" style="88" customWidth="1"/>
    <col min="12" max="12" width="10.28515625" style="88" customWidth="1"/>
    <col min="13" max="13" width="9.7109375" style="88" customWidth="1"/>
    <col min="14" max="16" width="6.140625" style="88" customWidth="1"/>
    <col min="17" max="27" width="5.28515625" style="88" customWidth="1"/>
    <col min="28" max="29" width="5.42578125" style="88" customWidth="1"/>
    <col min="30" max="40" width="6.140625" style="88" customWidth="1"/>
    <col min="41" max="41" width="10.7109375" style="88"/>
    <col min="42" max="53" width="5.42578125" style="88" customWidth="1"/>
    <col min="54" max="54" width="10.7109375" style="88"/>
    <col min="55" max="66" width="4.7109375" style="88" customWidth="1"/>
    <col min="67" max="68" width="10.7109375" style="88"/>
    <col min="69" max="79" width="6.5703125" style="88" customWidth="1"/>
    <col min="80" max="80" width="10.7109375" style="88"/>
    <col min="81" max="92" width="6.140625" style="88" customWidth="1"/>
    <col min="93" max="94" width="10.7109375" style="88"/>
    <col min="95" max="105" width="5.5703125" style="88" customWidth="1"/>
    <col min="106" max="16384" width="10.7109375" style="88"/>
  </cols>
  <sheetData>
    <row r="1" spans="1:20">
      <c r="A1" s="146" t="s">
        <v>0</v>
      </c>
      <c r="B1" s="147"/>
      <c r="C1" s="148"/>
      <c r="D1" s="108"/>
      <c r="E1" s="108"/>
      <c r="H1" s="10" t="s">
        <v>31</v>
      </c>
      <c r="I1" s="11"/>
      <c r="J1" s="11"/>
      <c r="K1" s="11"/>
      <c r="L1" s="11"/>
      <c r="M1" s="12"/>
      <c r="N1" s="12"/>
      <c r="O1" s="12"/>
      <c r="P1" s="12"/>
      <c r="Q1" s="12"/>
      <c r="R1" s="12"/>
      <c r="S1" s="12"/>
      <c r="T1" s="13"/>
    </row>
    <row r="2" spans="1:20">
      <c r="A2" s="149" t="s">
        <v>1</v>
      </c>
      <c r="B2" s="1" t="s">
        <v>2</v>
      </c>
      <c r="C2" s="9">
        <v>1.4999999999999999E-7</v>
      </c>
      <c r="D2" s="109"/>
      <c r="E2" s="109"/>
      <c r="H2" s="86" t="s">
        <v>22</v>
      </c>
      <c r="I2" s="87" t="s">
        <v>23</v>
      </c>
      <c r="J2" s="1"/>
      <c r="K2" s="1"/>
      <c r="L2" s="1"/>
      <c r="M2" s="1"/>
      <c r="N2" s="1"/>
      <c r="O2" s="1"/>
      <c r="P2" s="1"/>
      <c r="Q2" s="1"/>
      <c r="R2" s="1"/>
      <c r="S2" s="1"/>
      <c r="T2" s="2"/>
    </row>
    <row r="3" spans="1:20">
      <c r="A3" s="149"/>
      <c r="B3" s="1" t="s">
        <v>3</v>
      </c>
      <c r="C3" s="2">
        <v>3.1</v>
      </c>
      <c r="D3" s="1"/>
      <c r="E3" s="1"/>
      <c r="H3" s="3" t="s">
        <v>28</v>
      </c>
      <c r="I3" s="1" t="s">
        <v>24</v>
      </c>
      <c r="J3" s="1">
        <v>0</v>
      </c>
      <c r="K3" s="1">
        <v>1</v>
      </c>
      <c r="L3" s="1">
        <v>2</v>
      </c>
      <c r="M3" s="1">
        <v>3</v>
      </c>
      <c r="N3" s="1">
        <v>4</v>
      </c>
      <c r="O3" s="1">
        <v>5</v>
      </c>
      <c r="P3" s="1">
        <v>6</v>
      </c>
      <c r="Q3" s="1">
        <v>7</v>
      </c>
      <c r="R3" s="1">
        <v>8</v>
      </c>
      <c r="S3" s="1">
        <v>9</v>
      </c>
      <c r="T3" s="2">
        <v>10</v>
      </c>
    </row>
    <row r="4" spans="1:20">
      <c r="A4" s="150" t="s">
        <v>4</v>
      </c>
      <c r="B4" s="1" t="s">
        <v>5</v>
      </c>
      <c r="C4" s="2">
        <v>350</v>
      </c>
      <c r="D4" s="1"/>
      <c r="E4" s="1"/>
      <c r="H4" s="3" t="s">
        <v>81</v>
      </c>
      <c r="I4" s="1" t="s">
        <v>25</v>
      </c>
      <c r="J4" s="1">
        <f t="shared" ref="J4:T4" si="0">Linf-(Linf-Lo)*EXP(-vbk*J$3)</f>
        <v>0.60000000000002274</v>
      </c>
      <c r="K4" s="1">
        <f t="shared" si="0"/>
        <v>80.594575920233979</v>
      </c>
      <c r="L4" s="1">
        <f t="shared" si="0"/>
        <v>142.27452053921411</v>
      </c>
      <c r="M4" s="1">
        <f t="shared" si="0"/>
        <v>189.83293964995491</v>
      </c>
      <c r="N4" s="1">
        <f t="shared" si="0"/>
        <v>226.50293412360222</v>
      </c>
      <c r="O4" s="1">
        <f t="shared" si="0"/>
        <v>254.777391513916</v>
      </c>
      <c r="P4" s="1">
        <f t="shared" si="0"/>
        <v>276.57845672245281</v>
      </c>
      <c r="Q4" s="1">
        <f t="shared" si="0"/>
        <v>293.38820262370206</v>
      </c>
      <c r="R4" s="1">
        <f t="shared" si="0"/>
        <v>306.34938385781533</v>
      </c>
      <c r="S4" s="1">
        <f t="shared" si="0"/>
        <v>316.34312320226576</v>
      </c>
      <c r="T4" s="2">
        <f t="shared" si="0"/>
        <v>324.04881177191174</v>
      </c>
    </row>
    <row r="5" spans="1:20">
      <c r="A5" s="150"/>
      <c r="B5" s="1" t="s">
        <v>6</v>
      </c>
      <c r="C5" s="2">
        <v>0.26</v>
      </c>
      <c r="D5" s="1"/>
      <c r="E5" s="1"/>
      <c r="H5" s="3" t="s">
        <v>33</v>
      </c>
      <c r="I5" s="1" t="s">
        <v>26</v>
      </c>
      <c r="J5" s="1">
        <f t="shared" ref="J5:T5" si="1">lwa*(J$4^lwb)</f>
        <v>3.0786487014787529E-8</v>
      </c>
      <c r="K5" s="1">
        <f t="shared" si="1"/>
        <v>0.12179775510938466</v>
      </c>
      <c r="L5" s="1">
        <f t="shared" si="1"/>
        <v>0.70922716923537987</v>
      </c>
      <c r="M5" s="1">
        <f t="shared" si="1"/>
        <v>1.7339762130984733</v>
      </c>
      <c r="N5" s="1">
        <f t="shared" si="1"/>
        <v>2.997920687322178</v>
      </c>
      <c r="O5" s="1">
        <f t="shared" si="1"/>
        <v>4.3170791220003428</v>
      </c>
      <c r="P5" s="1">
        <f t="shared" si="1"/>
        <v>5.5683707165183316</v>
      </c>
      <c r="Q5" s="1">
        <f t="shared" si="1"/>
        <v>6.6859552163518652</v>
      </c>
      <c r="R5" s="1">
        <f t="shared" si="1"/>
        <v>7.6447624304444846</v>
      </c>
      <c r="S5" s="1">
        <f t="shared" si="1"/>
        <v>8.4446624168383195</v>
      </c>
      <c r="T5" s="2">
        <f t="shared" si="1"/>
        <v>9.0987891765031517</v>
      </c>
    </row>
    <row r="6" spans="1:20">
      <c r="A6" s="150"/>
      <c r="B6" s="1" t="s">
        <v>19</v>
      </c>
      <c r="C6" s="2">
        <v>0.6</v>
      </c>
      <c r="D6" s="1"/>
      <c r="E6" s="1"/>
      <c r="H6" s="3" t="s">
        <v>30</v>
      </c>
      <c r="I6" s="1" t="s">
        <v>27</v>
      </c>
      <c r="J6" s="1">
        <f t="shared" ref="J6:T6" si="2">MAX(0,J5-Wmat)</f>
        <v>0</v>
      </c>
      <c r="K6" s="1">
        <f t="shared" si="2"/>
        <v>0</v>
      </c>
      <c r="L6" s="1">
        <f t="shared" si="2"/>
        <v>0</v>
      </c>
      <c r="M6" s="1">
        <f t="shared" si="2"/>
        <v>0.23397621309847327</v>
      </c>
      <c r="N6" s="1">
        <f t="shared" si="2"/>
        <v>1.497920687322178</v>
      </c>
      <c r="O6" s="1">
        <f t="shared" si="2"/>
        <v>2.8170791220003428</v>
      </c>
      <c r="P6" s="1">
        <f t="shared" si="2"/>
        <v>4.0683707165183316</v>
      </c>
      <c r="Q6" s="1">
        <f t="shared" si="2"/>
        <v>5.1859552163518652</v>
      </c>
      <c r="R6" s="1">
        <f t="shared" si="2"/>
        <v>6.1447624304444846</v>
      </c>
      <c r="S6" s="1">
        <f t="shared" si="2"/>
        <v>6.9446624168383195</v>
      </c>
      <c r="T6" s="2">
        <f t="shared" si="2"/>
        <v>7.5987891765031517</v>
      </c>
    </row>
    <row r="7" spans="1:20">
      <c r="A7" s="85" t="s">
        <v>27</v>
      </c>
      <c r="B7" s="1" t="s">
        <v>7</v>
      </c>
      <c r="C7" s="2">
        <v>1.5</v>
      </c>
      <c r="D7" s="1"/>
      <c r="E7" s="1"/>
      <c r="H7" s="3" t="s">
        <v>29</v>
      </c>
      <c r="I7" s="1" t="s">
        <v>32</v>
      </c>
      <c r="J7" s="1">
        <f t="shared" ref="J7:T7" si="3">1/(1+EXP(-(J4-lenv50)/sdv))</f>
        <v>2.6662706008235179E-8</v>
      </c>
      <c r="K7" s="1">
        <f t="shared" si="3"/>
        <v>7.943099964778705E-5</v>
      </c>
      <c r="L7" s="1">
        <f t="shared" si="3"/>
        <v>3.6525057598242171E-2</v>
      </c>
      <c r="M7" s="1">
        <f t="shared" si="3"/>
        <v>0.81506959920156541</v>
      </c>
      <c r="N7" s="1">
        <f t="shared" si="3"/>
        <v>0.99423571624784779</v>
      </c>
      <c r="O7" s="1">
        <f t="shared" si="3"/>
        <v>0.99965710356892901</v>
      </c>
      <c r="P7" s="1">
        <f t="shared" si="3"/>
        <v>0.99996123080004629</v>
      </c>
      <c r="Q7" s="1">
        <f t="shared" si="3"/>
        <v>0.99999278124083879</v>
      </c>
      <c r="R7" s="1">
        <f t="shared" si="3"/>
        <v>0.9999980249964473</v>
      </c>
      <c r="S7" s="1">
        <f t="shared" si="3"/>
        <v>0.99999927298087077</v>
      </c>
      <c r="T7" s="2">
        <f t="shared" si="3"/>
        <v>0.9999996635719447</v>
      </c>
    </row>
    <row r="8" spans="1:20">
      <c r="A8" s="7" t="s">
        <v>13</v>
      </c>
      <c r="B8" s="1" t="s">
        <v>14</v>
      </c>
      <c r="C8" s="2">
        <v>0.25</v>
      </c>
      <c r="D8" s="1"/>
      <c r="E8" s="1"/>
      <c r="H8" s="3" t="s">
        <v>29</v>
      </c>
      <c r="I8" s="1" t="s">
        <v>35</v>
      </c>
      <c r="J8" s="1">
        <v>1</v>
      </c>
      <c r="K8" s="1">
        <f t="shared" ref="K8:T8" si="4">J8*EXP(-M)</f>
        <v>0.77880078307140488</v>
      </c>
      <c r="L8" s="1">
        <f t="shared" si="4"/>
        <v>0.60653065971263342</v>
      </c>
      <c r="M8" s="1">
        <f t="shared" si="4"/>
        <v>0.47236655274101469</v>
      </c>
      <c r="N8" s="1">
        <f t="shared" si="4"/>
        <v>0.36787944117144233</v>
      </c>
      <c r="O8" s="1">
        <f t="shared" si="4"/>
        <v>0.28650479686019009</v>
      </c>
      <c r="P8" s="1">
        <f t="shared" si="4"/>
        <v>0.22313016014842982</v>
      </c>
      <c r="Q8" s="1">
        <f t="shared" si="4"/>
        <v>0.17377394345044511</v>
      </c>
      <c r="R8" s="1">
        <f t="shared" si="4"/>
        <v>0.13533528323661267</v>
      </c>
      <c r="S8" s="1">
        <f t="shared" si="4"/>
        <v>0.10539922456186432</v>
      </c>
      <c r="T8" s="2">
        <f t="shared" si="4"/>
        <v>8.2084998623898786E-2</v>
      </c>
    </row>
    <row r="9" spans="1:20" ht="18" customHeight="1" thickBot="1">
      <c r="A9" s="150" t="s">
        <v>11</v>
      </c>
      <c r="B9" s="1" t="s">
        <v>34</v>
      </c>
      <c r="C9" s="2">
        <v>175</v>
      </c>
      <c r="D9" s="1"/>
      <c r="E9" s="1"/>
      <c r="H9" s="6" t="s">
        <v>29</v>
      </c>
      <c r="I9" s="4" t="s">
        <v>36</v>
      </c>
      <c r="J9" s="4">
        <v>1</v>
      </c>
      <c r="K9" s="4">
        <f t="shared" ref="K9:T9" si="5">J9*EXP(-(M+AVERAGE($G$20:$G$39)))</f>
        <v>0.42013447819333527</v>
      </c>
      <c r="L9" s="4">
        <f t="shared" si="5"/>
        <v>0.17651297976678612</v>
      </c>
      <c r="M9" s="4">
        <f t="shared" si="5"/>
        <v>7.4159188648669438E-2</v>
      </c>
      <c r="N9" s="4">
        <f t="shared" si="5"/>
        <v>3.1156832026149845E-2</v>
      </c>
      <c r="O9" s="4">
        <f t="shared" si="5"/>
        <v>1.3090059365463862E-2</v>
      </c>
      <c r="P9" s="4">
        <f t="shared" si="5"/>
        <v>5.4995852610289411E-3</v>
      </c>
      <c r="Q9" s="4">
        <f t="shared" si="5"/>
        <v>2.3105653839221515E-3</v>
      </c>
      <c r="R9" s="4">
        <f t="shared" si="5"/>
        <v>9.7074818190571652E-4</v>
      </c>
      <c r="S9" s="4">
        <f t="shared" si="5"/>
        <v>4.078447808620871E-4</v>
      </c>
      <c r="T9" s="4">
        <f t="shared" si="5"/>
        <v>1.7134965419136813E-4</v>
      </c>
    </row>
    <row r="10" spans="1:20" ht="16" customHeight="1" thickBot="1">
      <c r="A10" s="151"/>
      <c r="B10" s="4" t="s">
        <v>12</v>
      </c>
      <c r="C10" s="5">
        <v>10</v>
      </c>
      <c r="D10" s="1"/>
      <c r="E10" s="1"/>
    </row>
    <row r="11" spans="1:20" ht="17" customHeight="1"/>
    <row r="12" spans="1:20" ht="16" customHeight="1" thickBot="1"/>
    <row r="13" spans="1:20">
      <c r="A13" s="159" t="s">
        <v>15</v>
      </c>
      <c r="B13" s="160"/>
      <c r="C13" s="161"/>
      <c r="D13" s="108"/>
      <c r="E13" s="108"/>
    </row>
    <row r="14" spans="1:20">
      <c r="A14" s="175" t="s">
        <v>94</v>
      </c>
      <c r="B14" s="1" t="s">
        <v>62</v>
      </c>
      <c r="C14" s="67">
        <v>-0.27576277119809023</v>
      </c>
      <c r="D14" s="103"/>
      <c r="E14" s="103"/>
    </row>
    <row r="15" spans="1:20">
      <c r="A15" s="175"/>
      <c r="B15" s="1" t="s">
        <v>63</v>
      </c>
      <c r="C15" s="67">
        <v>8.4534397387308697</v>
      </c>
      <c r="D15" s="103"/>
      <c r="E15" s="103"/>
      <c r="F15" s="1"/>
    </row>
    <row r="16" spans="1:20" ht="17" thickBot="1">
      <c r="A16" s="175"/>
      <c r="B16" s="1" t="s">
        <v>58</v>
      </c>
      <c r="C16" s="67">
        <v>-0.48267430077258799</v>
      </c>
      <c r="D16" s="103"/>
      <c r="E16" s="103"/>
      <c r="F16" s="1"/>
      <c r="I16" s="14"/>
    </row>
    <row r="17" spans="1:105">
      <c r="A17" s="175"/>
      <c r="B17" s="1" t="s">
        <v>59</v>
      </c>
      <c r="C17" s="67">
        <v>-1.0112799392194429</v>
      </c>
      <c r="D17" s="103"/>
      <c r="E17" s="103"/>
      <c r="F17" s="1"/>
      <c r="P17" s="168" t="s">
        <v>40</v>
      </c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70"/>
      <c r="AC17" s="153" t="s">
        <v>39</v>
      </c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5"/>
      <c r="AP17" s="156" t="s">
        <v>50</v>
      </c>
      <c r="AQ17" s="157"/>
      <c r="AR17" s="157"/>
      <c r="AS17" s="157"/>
      <c r="AT17" s="157"/>
      <c r="AU17" s="157"/>
      <c r="AV17" s="157"/>
      <c r="AW17" s="157"/>
      <c r="AX17" s="157"/>
      <c r="AY17" s="157"/>
      <c r="AZ17" s="157"/>
      <c r="BA17" s="158"/>
      <c r="BC17" s="171" t="s">
        <v>47</v>
      </c>
      <c r="BD17" s="172"/>
      <c r="BE17" s="172"/>
      <c r="BF17" s="172"/>
      <c r="BG17" s="172"/>
      <c r="BH17" s="172"/>
      <c r="BI17" s="172"/>
      <c r="BJ17" s="172"/>
      <c r="BK17" s="172"/>
      <c r="BL17" s="172"/>
      <c r="BM17" s="172"/>
      <c r="BN17" s="173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</row>
    <row r="18" spans="1:105" ht="17" thickBot="1">
      <c r="A18" s="175"/>
      <c r="B18" s="8" t="s">
        <v>66</v>
      </c>
      <c r="C18" s="68">
        <v>-1</v>
      </c>
      <c r="D18" s="110"/>
      <c r="E18" s="110"/>
      <c r="F18" s="1"/>
      <c r="P18" s="21"/>
      <c r="Q18" s="22" t="s">
        <v>37</v>
      </c>
      <c r="R18" s="22"/>
      <c r="S18" s="22"/>
      <c r="T18" s="22"/>
      <c r="U18" s="22"/>
      <c r="V18" s="22"/>
      <c r="W18" s="22"/>
      <c r="X18" s="22"/>
      <c r="Y18" s="22"/>
      <c r="Z18" s="22"/>
      <c r="AA18" s="23"/>
      <c r="AC18" s="15"/>
      <c r="AD18" s="28" t="s">
        <v>37</v>
      </c>
      <c r="AE18" s="28"/>
      <c r="AF18" s="28"/>
      <c r="AG18" s="28"/>
      <c r="AH18" s="28"/>
      <c r="AI18" s="28"/>
      <c r="AJ18" s="28"/>
      <c r="AK18" s="28"/>
      <c r="AL18" s="28"/>
      <c r="AM18" s="28"/>
      <c r="AN18" s="29"/>
      <c r="AP18" s="37"/>
      <c r="AQ18" s="41" t="s">
        <v>37</v>
      </c>
      <c r="AR18" s="41"/>
      <c r="AS18" s="41"/>
      <c r="AT18" s="41"/>
      <c r="AU18" s="41"/>
      <c r="AV18" s="41"/>
      <c r="AW18" s="41"/>
      <c r="AX18" s="41"/>
      <c r="AY18" s="41"/>
      <c r="AZ18" s="41"/>
      <c r="BA18" s="43"/>
      <c r="BC18" s="52"/>
      <c r="BD18" s="49" t="s">
        <v>37</v>
      </c>
      <c r="BE18" s="49"/>
      <c r="BF18" s="49"/>
      <c r="BG18" s="49"/>
      <c r="BH18" s="49"/>
      <c r="BI18" s="49"/>
      <c r="BJ18" s="49"/>
      <c r="BK18" s="49"/>
      <c r="BL18" s="49"/>
      <c r="BM18" s="49"/>
      <c r="BN18" s="53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</row>
    <row r="19" spans="1:105" ht="17" thickBot="1">
      <c r="A19" s="175"/>
      <c r="B19" s="8" t="s">
        <v>93</v>
      </c>
      <c r="C19" s="68">
        <v>-2.3674796499873687</v>
      </c>
      <c r="D19" s="110"/>
      <c r="E19" s="94" t="s">
        <v>38</v>
      </c>
      <c r="F19" s="71" t="s">
        <v>69</v>
      </c>
      <c r="G19" s="97" t="s">
        <v>44</v>
      </c>
      <c r="H19" s="97" t="s">
        <v>48</v>
      </c>
      <c r="I19" s="38" t="s">
        <v>46</v>
      </c>
      <c r="J19" s="38" t="s">
        <v>85</v>
      </c>
      <c r="K19" s="111" t="s">
        <v>86</v>
      </c>
      <c r="L19" s="115" t="s">
        <v>92</v>
      </c>
      <c r="M19" s="115" t="s">
        <v>87</v>
      </c>
      <c r="N19" s="39" t="s">
        <v>43</v>
      </c>
      <c r="O19" s="40" t="s">
        <v>42</v>
      </c>
      <c r="P19" s="27" t="s">
        <v>38</v>
      </c>
      <c r="Q19" s="20">
        <v>0</v>
      </c>
      <c r="R19" s="26">
        <v>1</v>
      </c>
      <c r="S19" s="26">
        <v>2</v>
      </c>
      <c r="T19" s="26">
        <v>3</v>
      </c>
      <c r="U19" s="26">
        <v>4</v>
      </c>
      <c r="V19" s="26">
        <v>5</v>
      </c>
      <c r="W19" s="26">
        <v>6</v>
      </c>
      <c r="X19" s="26">
        <v>7</v>
      </c>
      <c r="Y19" s="26">
        <v>8</v>
      </c>
      <c r="Z19" s="26">
        <v>9</v>
      </c>
      <c r="AA19" s="78" t="s">
        <v>72</v>
      </c>
      <c r="AC19" s="32" t="s">
        <v>38</v>
      </c>
      <c r="AD19" s="30">
        <v>0</v>
      </c>
      <c r="AE19" s="30">
        <v>1</v>
      </c>
      <c r="AF19" s="30">
        <v>2</v>
      </c>
      <c r="AG19" s="30">
        <v>3</v>
      </c>
      <c r="AH19" s="30">
        <v>4</v>
      </c>
      <c r="AI19" s="30">
        <v>5</v>
      </c>
      <c r="AJ19" s="30">
        <v>6</v>
      </c>
      <c r="AK19" s="30">
        <v>7</v>
      </c>
      <c r="AL19" s="30">
        <v>8</v>
      </c>
      <c r="AM19" s="30">
        <v>9</v>
      </c>
      <c r="AN19" s="31">
        <v>10</v>
      </c>
      <c r="AP19" s="46" t="s">
        <v>38</v>
      </c>
      <c r="AQ19" s="44">
        <v>0</v>
      </c>
      <c r="AR19" s="44">
        <v>1</v>
      </c>
      <c r="AS19" s="44">
        <v>2</v>
      </c>
      <c r="AT19" s="44">
        <v>3</v>
      </c>
      <c r="AU19" s="44">
        <v>4</v>
      </c>
      <c r="AV19" s="44">
        <v>5</v>
      </c>
      <c r="AW19" s="44">
        <v>6</v>
      </c>
      <c r="AX19" s="44">
        <v>7</v>
      </c>
      <c r="AY19" s="44">
        <v>8</v>
      </c>
      <c r="AZ19" s="44">
        <v>9</v>
      </c>
      <c r="BA19" s="45">
        <v>10</v>
      </c>
      <c r="BC19" s="54" t="s">
        <v>38</v>
      </c>
      <c r="BD19" s="51">
        <v>0</v>
      </c>
      <c r="BE19" s="51">
        <v>1</v>
      </c>
      <c r="BF19" s="51">
        <v>2</v>
      </c>
      <c r="BG19" s="51">
        <v>3</v>
      </c>
      <c r="BH19" s="51">
        <v>4</v>
      </c>
      <c r="BI19" s="51">
        <v>5</v>
      </c>
      <c r="BJ19" s="51">
        <v>6</v>
      </c>
      <c r="BK19" s="51">
        <v>7</v>
      </c>
      <c r="BL19" s="51">
        <v>8</v>
      </c>
      <c r="BM19" s="51">
        <v>9</v>
      </c>
      <c r="BN19" s="55">
        <v>10</v>
      </c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/>
      <c r="DA19" s="96"/>
    </row>
    <row r="20" spans="1:105">
      <c r="A20" s="59" t="s">
        <v>61</v>
      </c>
      <c r="B20" s="1" t="s">
        <v>41</v>
      </c>
      <c r="C20" s="67">
        <f>MAX(0.2,EXP(C14)/(1+EXP(C14)))</f>
        <v>0.43149289380894562</v>
      </c>
      <c r="D20" s="103"/>
      <c r="E20" s="94">
        <v>1</v>
      </c>
      <c r="F20" s="74">
        <f t="shared" ref="F20:F30" si="6">-LN(_xlfn.NORM.DIST(H20,0,sigmaF,FALSE))</f>
        <v>-7.7005319276185383E-2</v>
      </c>
      <c r="G20" s="98">
        <f t="shared" ref="G20:G30" si="7">MAX(0.000001,Fbar+H20)</f>
        <v>0.58399652120097845</v>
      </c>
      <c r="H20" s="98">
        <v>-3.3134268464915732E-2</v>
      </c>
      <c r="I20" s="18">
        <f t="shared" ref="I20:I39" si="8">SUM(AD20:AN20)</f>
        <v>2806</v>
      </c>
      <c r="J20" s="18">
        <v>412.24912799128799</v>
      </c>
      <c r="K20" s="119">
        <f>I20/J20</f>
        <v>6.8065638214262005</v>
      </c>
      <c r="L20" s="118">
        <f>SUM(BD20:BN20)/J20</f>
        <v>5.4675112477000889</v>
      </c>
      <c r="M20" s="118">
        <f t="shared" ref="M20:M39" si="9">-(-LN(sigmaCPUE)-0.5*((LN(K20)-LN(L20))/sigmaCPUE)^2)</f>
        <v>0.36450507041484048</v>
      </c>
      <c r="N20" s="35">
        <f t="shared" ref="N20:N39" si="10">SUMPRODUCT(Q20:AA20,$J$6:$T$6)</f>
        <v>14687.388647788946</v>
      </c>
      <c r="O20" s="20">
        <f t="shared" ref="O20:O39" si="11">SUM(Q20:AA20)</f>
        <v>17066.312290719379</v>
      </c>
      <c r="P20" s="21">
        <v>1</v>
      </c>
      <c r="Q20" s="142">
        <f>Ro</f>
        <v>4691.1814532770331</v>
      </c>
      <c r="R20" s="130">
        <f t="shared" ref="R20:Z20" si="12">Ro*EXP(-(AQ20+M*R19))</f>
        <v>3653.4957324538868</v>
      </c>
      <c r="S20" s="130">
        <f t="shared" si="12"/>
        <v>2845.2133964965201</v>
      </c>
      <c r="T20" s="130">
        <f t="shared" si="12"/>
        <v>2169.1902759101818</v>
      </c>
      <c r="U20" s="130">
        <f t="shared" si="12"/>
        <v>1072.1721626902163</v>
      </c>
      <c r="V20" s="130">
        <f t="shared" si="12"/>
        <v>752.0550598749561</v>
      </c>
      <c r="W20" s="130">
        <f t="shared" si="12"/>
        <v>583.84963061634744</v>
      </c>
      <c r="X20" s="130">
        <f t="shared" si="12"/>
        <v>454.62179731483485</v>
      </c>
      <c r="Y20" s="130">
        <f t="shared" si="12"/>
        <v>354.05328813509715</v>
      </c>
      <c r="Z20" s="130">
        <f t="shared" si="12"/>
        <v>275.73613365090455</v>
      </c>
      <c r="AA20" s="130">
        <f>Ro*EXP(-(AZ20+M*10))</f>
        <v>214.74336029940193</v>
      </c>
      <c r="AC20" s="33">
        <v>1</v>
      </c>
      <c r="AD20" s="18">
        <v>0</v>
      </c>
      <c r="AE20" s="18">
        <v>0</v>
      </c>
      <c r="AF20" s="18">
        <v>106</v>
      </c>
      <c r="AG20" s="18">
        <v>681</v>
      </c>
      <c r="AH20" s="18">
        <v>541</v>
      </c>
      <c r="AI20" s="18">
        <v>421</v>
      </c>
      <c r="AJ20" s="18">
        <v>328</v>
      </c>
      <c r="AK20" s="18">
        <v>255</v>
      </c>
      <c r="AL20" s="18">
        <v>199</v>
      </c>
      <c r="AM20" s="18">
        <v>155</v>
      </c>
      <c r="AN20" s="16">
        <v>120</v>
      </c>
      <c r="AP20" s="47">
        <v>1</v>
      </c>
      <c r="AQ20" s="42">
        <f t="shared" ref="AQ20:AQ39" si="13">$G20*J$7</f>
        <v>1.5570927554613772E-8</v>
      </c>
      <c r="AR20" s="42">
        <f t="shared" ref="AR20:AR39" si="14">$G20*K$7</f>
        <v>4.6387427469823781E-5</v>
      </c>
      <c r="AS20" s="42">
        <f t="shared" ref="AS20:AS39" si="15">$G20*L$7</f>
        <v>2.1330506574038791E-2</v>
      </c>
      <c r="AT20" s="42">
        <f t="shared" ref="AT20:AT39" si="16">$G20*M$7</f>
        <v>0.47599781047039003</v>
      </c>
      <c r="AU20" s="42">
        <f t="shared" ref="AU20:AU39" si="17">$G20*N$7</f>
        <v>0.58063019954250628</v>
      </c>
      <c r="AV20" s="42">
        <f t="shared" ref="AV20:AV39" si="18">$G20*O$7</f>
        <v>0.58379627087810071</v>
      </c>
      <c r="AW20" s="42">
        <f t="shared" ref="AW20:AW39" si="19">$G20*P$7</f>
        <v>0.58397388012307572</v>
      </c>
      <c r="AX20" s="42">
        <f t="shared" ref="AX20:AX39" si="20">$G20*Q$7</f>
        <v>0.58399230547074088</v>
      </c>
      <c r="AY20" s="42">
        <f t="shared" ref="AY20:AY39" si="21">$G20*R$7</f>
        <v>0.58399536780577432</v>
      </c>
      <c r="AZ20" s="42">
        <f t="shared" ref="AZ20:AZ39" si="22">$G20*S$7</f>
        <v>0.58399609662433616</v>
      </c>
      <c r="BA20" s="42">
        <f t="shared" ref="BA20:BA39" si="23">$G20*T$7</f>
        <v>0.58399632472816454</v>
      </c>
      <c r="BC20" s="56">
        <v>1</v>
      </c>
      <c r="BD20" s="50">
        <f>(AQ20/AQ44)*(1-EXP(-AQ44))*Q20</f>
        <v>6.4630912708124502E-5</v>
      </c>
      <c r="BE20" s="50">
        <f t="shared" ref="BE20:BN20" si="24">(AR20/AR44)*(1-EXP(-AR44))*R20</f>
        <v>0.14994873821291282</v>
      </c>
      <c r="BF20" s="50">
        <f t="shared" si="24"/>
        <v>53.153116076374587</v>
      </c>
      <c r="BG20" s="50">
        <f t="shared" si="24"/>
        <v>734.09174106234218</v>
      </c>
      <c r="BH20" s="50">
        <f t="shared" si="24"/>
        <v>422.87214949352318</v>
      </c>
      <c r="BI20" s="50">
        <f t="shared" si="24"/>
        <v>297.826036168347</v>
      </c>
      <c r="BJ20" s="50">
        <f t="shared" si="24"/>
        <v>231.26657639984401</v>
      </c>
      <c r="BK20" s="50">
        <f t="shared" si="24"/>
        <v>180.08285503522001</v>
      </c>
      <c r="BL20" s="50">
        <f t="shared" si="24"/>
        <v>140.24663460118364</v>
      </c>
      <c r="BM20" s="50">
        <f t="shared" si="24"/>
        <v>109.22395634708209</v>
      </c>
      <c r="BN20" s="50">
        <f t="shared" si="24"/>
        <v>85.063665593878426</v>
      </c>
      <c r="BR20" s="96"/>
      <c r="BS20" s="96"/>
      <c r="BT20" s="96"/>
      <c r="BU20" s="96"/>
      <c r="BV20" s="96"/>
      <c r="BW20" s="96"/>
      <c r="BX20" s="96"/>
      <c r="BY20" s="96"/>
      <c r="BZ20" s="96"/>
      <c r="CA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P20" s="96"/>
      <c r="CQ20" s="96"/>
      <c r="CR20" s="96"/>
      <c r="CS20" s="96"/>
      <c r="CT20" s="96"/>
      <c r="CU20" s="96"/>
      <c r="CV20" s="96"/>
      <c r="CW20" s="96"/>
      <c r="CX20" s="96"/>
      <c r="CY20" s="96"/>
      <c r="CZ20" s="96"/>
      <c r="DA20" s="96"/>
    </row>
    <row r="21" spans="1:105">
      <c r="A21" s="62" t="s">
        <v>64</v>
      </c>
      <c r="B21" s="96" t="s">
        <v>18</v>
      </c>
      <c r="C21" s="70">
        <f>EXP(C15)</f>
        <v>4691.1814532770331</v>
      </c>
      <c r="D21" s="101"/>
      <c r="E21" s="94">
        <v>2</v>
      </c>
      <c r="F21" s="74">
        <f t="shared" si="6"/>
        <v>-5.5002326856872896E-2</v>
      </c>
      <c r="G21" s="98">
        <f t="shared" si="7"/>
        <v>0.70111556310100265</v>
      </c>
      <c r="H21" s="98">
        <v>8.398477343510849E-2</v>
      </c>
      <c r="I21" s="18">
        <f t="shared" si="8"/>
        <v>1966</v>
      </c>
      <c r="J21" s="18">
        <v>496.39116814446777</v>
      </c>
      <c r="K21" s="119">
        <f t="shared" ref="K21:K39" si="25">I21/J21</f>
        <v>3.9605861791397201</v>
      </c>
      <c r="L21" s="118">
        <f t="shared" ref="L21:L39" si="26">SUM(BD21:BN21)/J21</f>
        <v>4.2529388883472947</v>
      </c>
      <c r="M21" s="118">
        <f t="shared" si="9"/>
        <v>-2.0787317856476877</v>
      </c>
      <c r="N21" s="35">
        <f t="shared" si="10"/>
        <v>9939.8396766618371</v>
      </c>
      <c r="O21" s="20">
        <f t="shared" si="11"/>
        <v>15095.392221032549</v>
      </c>
      <c r="P21" s="21">
        <v>2</v>
      </c>
      <c r="Q21" s="143">
        <f t="shared" ref="Q21:Q30" si="27">(bha*N20)/(1+bhb*N20)</f>
        <v>3766.3186908456919</v>
      </c>
      <c r="R21" s="132">
        <f>Q20*EXP(-AQ44)</f>
        <v>3653.4957324538868</v>
      </c>
      <c r="S21" s="132">
        <f t="shared" ref="S21:AA21" si="28">R20*EXP(-AR44)</f>
        <v>2845.213352193909</v>
      </c>
      <c r="T21" s="132">
        <f t="shared" si="28"/>
        <v>2169.0896550873781</v>
      </c>
      <c r="U21" s="132">
        <f t="shared" si="28"/>
        <v>1049.5443763439912</v>
      </c>
      <c r="V21" s="132">
        <f t="shared" si="28"/>
        <v>467.22536834239713</v>
      </c>
      <c r="W21" s="132">
        <f t="shared" si="28"/>
        <v>326.69050940590091</v>
      </c>
      <c r="X21" s="132">
        <f t="shared" si="28"/>
        <v>253.57752320238373</v>
      </c>
      <c r="Y21" s="132">
        <f t="shared" si="28"/>
        <v>197.44766327292487</v>
      </c>
      <c r="Z21" s="132">
        <f t="shared" si="28"/>
        <v>153.76909059564591</v>
      </c>
      <c r="AA21" s="132">
        <f>Z20*EXP(-AZ44)+AA20*EXP(-BA44)</f>
        <v>213.0202592884398</v>
      </c>
      <c r="AC21" s="33">
        <v>2</v>
      </c>
      <c r="AD21" s="18">
        <v>0</v>
      </c>
      <c r="AE21" s="18">
        <v>0</v>
      </c>
      <c r="AF21" s="18">
        <v>146</v>
      </c>
      <c r="AG21" s="18">
        <v>660</v>
      </c>
      <c r="AH21" s="18">
        <v>314</v>
      </c>
      <c r="AI21" s="18">
        <v>241</v>
      </c>
      <c r="AJ21" s="18">
        <v>188</v>
      </c>
      <c r="AK21" s="18">
        <v>146</v>
      </c>
      <c r="AL21" s="18">
        <v>114</v>
      </c>
      <c r="AM21" s="18">
        <v>88</v>
      </c>
      <c r="AN21" s="16">
        <v>69</v>
      </c>
      <c r="AP21" s="47">
        <v>2</v>
      </c>
      <c r="AQ21" s="42">
        <f t="shared" si="13"/>
        <v>1.8693638136760294E-8</v>
      </c>
      <c r="AR21" s="42">
        <f t="shared" si="14"/>
        <v>5.569031004573376E-5</v>
      </c>
      <c r="AS21" s="42">
        <f t="shared" si="15"/>
        <v>2.5608286325288113E-2</v>
      </c>
      <c r="AT21" s="42">
        <f t="shared" si="16"/>
        <v>0.5714579810107141</v>
      </c>
      <c r="AU21" s="42">
        <f t="shared" si="17"/>
        <v>0.6970741340522385</v>
      </c>
      <c r="AV21" s="42">
        <f t="shared" si="18"/>
        <v>0.70087515307664694</v>
      </c>
      <c r="AW21" s="42">
        <f t="shared" si="19"/>
        <v>0.70108838141154617</v>
      </c>
      <c r="AX21" s="42">
        <f t="shared" si="20"/>
        <v>0.7011105019166084</v>
      </c>
      <c r="AY21" s="42">
        <f t="shared" si="21"/>
        <v>0.70111417839527468</v>
      </c>
      <c r="AZ21" s="42">
        <f t="shared" si="22"/>
        <v>0.70111505337657642</v>
      </c>
      <c r="BA21" s="42">
        <f t="shared" si="23"/>
        <v>0.70111532722605718</v>
      </c>
      <c r="BC21" s="56">
        <v>2</v>
      </c>
      <c r="BD21" s="50">
        <f t="shared" ref="BD21:BD39" si="29">(AQ21/AQ45)*(1-EXP(-AQ45))*Q21</f>
        <v>6.2295183532138948E-5</v>
      </c>
      <c r="BE21" s="50">
        <f t="shared" ref="BE21:BE39" si="30">(AR21/AR45)*(1-EXP(-AR45))*R21</f>
        <v>0.18001978018506695</v>
      </c>
      <c r="BF21" s="50">
        <f t="shared" ref="BF21:BF39" si="31">(AS21/AS45)*(1-EXP(-AS45))*S21</f>
        <v>63.682697012976028</v>
      </c>
      <c r="BG21" s="50">
        <f t="shared" ref="BG21:BG39" si="32">(AT21/AT45)*(1-EXP(-AT45))*T21</f>
        <v>845.3320272205317</v>
      </c>
      <c r="BH21" s="50">
        <f t="shared" ref="BH21:BH39" si="33">(AU21/AU45)*(1-EXP(-AU45))*U21</f>
        <v>472.86422641688171</v>
      </c>
      <c r="BI21" s="50">
        <f t="shared" ref="BI21:BI39" si="34">(AV21/AV45)*(1-EXP(-AV45))*V21</f>
        <v>211.31338644098113</v>
      </c>
      <c r="BJ21" s="50">
        <f t="shared" ref="BJ21:BJ39" si="35">(AW21/AW45)*(1-EXP(-AW45))*W21</f>
        <v>147.78492905053406</v>
      </c>
      <c r="BK21" s="50">
        <f t="shared" ref="BK21:BK39" si="36">(AX21/AX45)*(1-EXP(-AX45))*X21</f>
        <v>114.71336887310186</v>
      </c>
      <c r="BL21" s="50">
        <f t="shared" ref="BL21:BL39" si="37">(AY21/AY45)*(1-EXP(-AY45))*Y21</f>
        <v>89.321679548067081</v>
      </c>
      <c r="BM21" s="50">
        <f t="shared" ref="BM21:BM39" si="38">(AZ21/AZ45)*(1-EXP(-AZ45))*Z21</f>
        <v>69.562360361555974</v>
      </c>
      <c r="BN21" s="50">
        <f t="shared" ref="BN21:BN39" si="39">(BA21/BA45)*(1-EXP(-BA45))*AA21</f>
        <v>96.366545833749825</v>
      </c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C21" s="96"/>
      <c r="CD21" s="96"/>
      <c r="CE21" s="122"/>
      <c r="CF21" s="122"/>
      <c r="CG21" s="122"/>
      <c r="CH21" s="122"/>
      <c r="CI21" s="122"/>
      <c r="CJ21" s="122"/>
      <c r="CK21" s="122"/>
      <c r="CL21" s="122"/>
      <c r="CM21" s="122"/>
      <c r="CN21" s="122"/>
      <c r="CP21" s="96"/>
      <c r="CQ21" s="96"/>
      <c r="CR21" s="122"/>
      <c r="CS21" s="122"/>
      <c r="CT21" s="122"/>
      <c r="CU21" s="122"/>
      <c r="CV21" s="122"/>
      <c r="CW21" s="122"/>
      <c r="CX21" s="122"/>
      <c r="CY21" s="122"/>
      <c r="CZ21" s="122"/>
      <c r="DA21" s="122"/>
    </row>
    <row r="22" spans="1:105">
      <c r="A22" s="62" t="s">
        <v>65</v>
      </c>
      <c r="B22" s="96" t="s">
        <v>16</v>
      </c>
      <c r="C22" s="67">
        <f>EXP(C16)</f>
        <v>0.61713078966589419</v>
      </c>
      <c r="D22" s="103"/>
      <c r="E22" s="94">
        <v>3</v>
      </c>
      <c r="F22" s="74">
        <f t="shared" si="6"/>
        <v>-3.4770066803788767E-2</v>
      </c>
      <c r="G22" s="98">
        <f t="shared" si="7"/>
        <v>0.50519456023793641</v>
      </c>
      <c r="H22" s="98">
        <v>-0.11193622942795774</v>
      </c>
      <c r="I22" s="18">
        <f t="shared" si="8"/>
        <v>1207</v>
      </c>
      <c r="J22" s="18">
        <v>188.24436422588224</v>
      </c>
      <c r="K22" s="119">
        <f t="shared" si="25"/>
        <v>6.4118785439529571</v>
      </c>
      <c r="L22" s="118">
        <f t="shared" si="26"/>
        <v>7.4294153511022092</v>
      </c>
      <c r="M22" s="118">
        <f t="shared" si="9"/>
        <v>-1.1323516265042601</v>
      </c>
      <c r="N22" s="35">
        <f t="shared" si="10"/>
        <v>6678.4445059721502</v>
      </c>
      <c r="O22" s="20">
        <f t="shared" si="11"/>
        <v>13007.894370523823</v>
      </c>
      <c r="P22" s="21">
        <v>3</v>
      </c>
      <c r="Q22" s="143">
        <f t="shared" si="27"/>
        <v>3085.9551436319889</v>
      </c>
      <c r="R22" s="132">
        <f t="shared" ref="R22:R39" si="40">Q21*EXP(-AQ45)</f>
        <v>2933.2118908946914</v>
      </c>
      <c r="S22" s="132">
        <f t="shared" ref="S22:S39" si="41">R21*EXP(-AR45)</f>
        <v>2845.186883631307</v>
      </c>
      <c r="T22" s="132">
        <f t="shared" ref="T22:T39" si="42">S21*EXP(-AS45)</f>
        <v>2159.8305519013793</v>
      </c>
      <c r="U22" s="132">
        <f t="shared" ref="U22:U39" si="43">T21*EXP(-AT45)</f>
        <v>953.94389907552397</v>
      </c>
      <c r="V22" s="132">
        <f t="shared" ref="V22:V39" si="44">U21*EXP(-AU45)</f>
        <v>407.09121981288246</v>
      </c>
      <c r="W22" s="132">
        <f t="shared" ref="W22:W39" si="45">V21*EXP(-AV45)</f>
        <v>180.53715033784363</v>
      </c>
      <c r="X22" s="132">
        <f t="shared" ref="X22:X39" si="46">W21*EXP(-AW45)</f>
        <v>126.20718562766176</v>
      </c>
      <c r="Y22" s="132">
        <f t="shared" ref="Y22:Y39" si="47">X21*EXP(-AX45)</f>
        <v>97.959985671305418</v>
      </c>
      <c r="Z22" s="132">
        <f t="shared" ref="Z22:Z39" si="48">Y21*EXP(-AY45)</f>
        <v>76.276078851835365</v>
      </c>
      <c r="AA22" s="132">
        <f t="shared" ref="AA22:AA39" si="49">Z21*EXP(-AZ45)+AA21*EXP(-BA45)</f>
        <v>141.69438108740457</v>
      </c>
      <c r="AC22" s="33">
        <v>3</v>
      </c>
      <c r="AD22" s="18">
        <v>0</v>
      </c>
      <c r="AE22" s="18">
        <v>0</v>
      </c>
      <c r="AF22" s="18">
        <v>49</v>
      </c>
      <c r="AG22" s="18">
        <v>482</v>
      </c>
      <c r="AH22" s="18">
        <v>248</v>
      </c>
      <c r="AI22" s="18">
        <v>123</v>
      </c>
      <c r="AJ22" s="18">
        <v>95</v>
      </c>
      <c r="AK22" s="18">
        <v>74</v>
      </c>
      <c r="AL22" s="18">
        <v>57</v>
      </c>
      <c r="AM22" s="18">
        <v>44</v>
      </c>
      <c r="AN22" s="16">
        <v>35</v>
      </c>
      <c r="AP22" s="47">
        <v>3</v>
      </c>
      <c r="AQ22" s="42">
        <f t="shared" si="13"/>
        <v>1.3469854036583756E-8</v>
      </c>
      <c r="AR22" s="42">
        <f t="shared" si="14"/>
        <v>4.0128108936323462E-5</v>
      </c>
      <c r="AS22" s="42">
        <f t="shared" si="15"/>
        <v>1.8452260411009253E-2</v>
      </c>
      <c r="AT22" s="42">
        <f t="shared" si="16"/>
        <v>0.41176872773194589</v>
      </c>
      <c r="AU22" s="42">
        <f t="shared" si="17"/>
        <v>0.50228247544268123</v>
      </c>
      <c r="AV22" s="42">
        <f t="shared" si="18"/>
        <v>0.50502133082623435</v>
      </c>
      <c r="AW22" s="42">
        <f t="shared" si="19"/>
        <v>0.50517497424901503</v>
      </c>
      <c r="AX22" s="42">
        <f t="shared" si="20"/>
        <v>0.50519091336007649</v>
      </c>
      <c r="AY22" s="42">
        <f t="shared" si="21"/>
        <v>0.50519356247688518</v>
      </c>
      <c r="AZ22" s="42">
        <f t="shared" si="22"/>
        <v>0.5051941929518271</v>
      </c>
      <c r="BA22" s="42">
        <f t="shared" si="23"/>
        <v>0.50519439027631297</v>
      </c>
      <c r="BC22" s="56">
        <v>3</v>
      </c>
      <c r="BD22" s="50">
        <f t="shared" si="29"/>
        <v>3.6778674421806595E-5</v>
      </c>
      <c r="BE22" s="50">
        <f t="shared" si="30"/>
        <v>0.10414234587777742</v>
      </c>
      <c r="BF22" s="50">
        <f t="shared" si="31"/>
        <v>46.043678406473845</v>
      </c>
      <c r="BG22" s="50">
        <f t="shared" si="32"/>
        <v>650.53072762509737</v>
      </c>
      <c r="BH22" s="50">
        <f t="shared" si="33"/>
        <v>336.75011676273317</v>
      </c>
      <c r="BI22" s="50">
        <f t="shared" si="34"/>
        <v>144.3170434004623</v>
      </c>
      <c r="BJ22" s="50">
        <f t="shared" si="35"/>
        <v>64.017008035629544</v>
      </c>
      <c r="BK22" s="50">
        <f t="shared" si="36"/>
        <v>44.75314336965171</v>
      </c>
      <c r="BL22" s="50">
        <f t="shared" si="37"/>
        <v>34.736811279296489</v>
      </c>
      <c r="BM22" s="50">
        <f t="shared" si="38"/>
        <v>27.047679862217262</v>
      </c>
      <c r="BN22" s="50">
        <f t="shared" si="39"/>
        <v>50.245181472131044</v>
      </c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C22" s="96"/>
      <c r="CD22" s="96"/>
      <c r="CE22" s="122"/>
      <c r="CF22" s="122"/>
      <c r="CG22" s="122"/>
      <c r="CH22" s="122"/>
      <c r="CI22" s="122"/>
      <c r="CJ22" s="122"/>
      <c r="CK22" s="122"/>
      <c r="CL22" s="122"/>
      <c r="CM22" s="122"/>
      <c r="CN22" s="122"/>
      <c r="CP22" s="96"/>
      <c r="CQ22" s="96"/>
      <c r="CR22" s="122"/>
      <c r="CS22" s="122"/>
      <c r="CT22" s="122"/>
      <c r="CU22" s="122"/>
      <c r="CV22" s="122"/>
      <c r="CW22" s="122"/>
      <c r="CX22" s="122"/>
      <c r="CY22" s="122"/>
      <c r="CZ22" s="122"/>
      <c r="DA22" s="122"/>
    </row>
    <row r="23" spans="1:105">
      <c r="A23" s="59" t="s">
        <v>60</v>
      </c>
      <c r="B23" s="96" t="s">
        <v>52</v>
      </c>
      <c r="C23" s="67">
        <f>EXP(C17)</f>
        <v>0.36375309962771218</v>
      </c>
      <c r="D23" s="103"/>
      <c r="E23" s="94">
        <v>4</v>
      </c>
      <c r="F23" s="74">
        <f t="shared" si="6"/>
        <v>-7.6228656829416624E-2</v>
      </c>
      <c r="G23" s="98">
        <f t="shared" si="7"/>
        <v>0.65329844664185144</v>
      </c>
      <c r="H23" s="98">
        <v>3.6167656975957196E-2</v>
      </c>
      <c r="I23" s="18">
        <f t="shared" si="8"/>
        <v>1440</v>
      </c>
      <c r="J23" s="18">
        <v>323.67359571820191</v>
      </c>
      <c r="K23" s="119">
        <f t="shared" si="25"/>
        <v>4.4489263846337934</v>
      </c>
      <c r="L23" s="118">
        <f t="shared" si="26"/>
        <v>5.3450856489999659</v>
      </c>
      <c r="M23" s="118">
        <f t="shared" si="9"/>
        <v>-0.45022978393402213</v>
      </c>
      <c r="N23" s="35">
        <f t="shared" si="10"/>
        <v>6125.5141521424603</v>
      </c>
      <c r="O23" s="20">
        <f t="shared" si="11"/>
        <v>11335.147880378656</v>
      </c>
      <c r="P23" s="21">
        <v>4</v>
      </c>
      <c r="Q23" s="143">
        <f t="shared" si="27"/>
        <v>2424.3216919353645</v>
      </c>
      <c r="R23" s="132">
        <f t="shared" si="40"/>
        <v>2403.344250011126</v>
      </c>
      <c r="S23" s="132">
        <f t="shared" si="41"/>
        <v>2284.2960512231698</v>
      </c>
      <c r="T23" s="132">
        <f t="shared" si="42"/>
        <v>2175.3215516592541</v>
      </c>
      <c r="U23" s="132">
        <f t="shared" si="43"/>
        <v>1114.3385973709076</v>
      </c>
      <c r="V23" s="132">
        <f t="shared" si="44"/>
        <v>449.58385501742674</v>
      </c>
      <c r="W23" s="132">
        <f t="shared" si="45"/>
        <v>191.33311313873921</v>
      </c>
      <c r="X23" s="132">
        <f t="shared" si="46"/>
        <v>84.839530979970647</v>
      </c>
      <c r="Y23" s="132">
        <f t="shared" si="47"/>
        <v>59.307393245662432</v>
      </c>
      <c r="Z23" s="132">
        <f t="shared" si="48"/>
        <v>46.033321898151272</v>
      </c>
      <c r="AA23" s="132">
        <f t="shared" si="49"/>
        <v>102.42852389888415</v>
      </c>
      <c r="AC23" s="33">
        <v>4</v>
      </c>
      <c r="AD23" s="18">
        <v>0</v>
      </c>
      <c r="AE23" s="18">
        <v>0</v>
      </c>
      <c r="AF23" s="18">
        <v>83</v>
      </c>
      <c r="AG23" s="18">
        <v>628</v>
      </c>
      <c r="AH23" s="18">
        <v>339</v>
      </c>
      <c r="AI23" s="18">
        <v>151</v>
      </c>
      <c r="AJ23" s="18">
        <v>75</v>
      </c>
      <c r="AK23" s="18">
        <v>57</v>
      </c>
      <c r="AL23" s="18">
        <v>45</v>
      </c>
      <c r="AM23" s="18">
        <v>35</v>
      </c>
      <c r="AN23" s="16">
        <v>27</v>
      </c>
      <c r="AP23" s="47">
        <v>4</v>
      </c>
      <c r="AQ23" s="42">
        <f t="shared" si="13"/>
        <v>1.7418704418448401E-8</v>
      </c>
      <c r="AR23" s="42">
        <f t="shared" si="14"/>
        <v>5.189214868510873E-5</v>
      </c>
      <c r="AS23" s="42">
        <f t="shared" si="15"/>
        <v>2.3861763392435762E-2</v>
      </c>
      <c r="AT23" s="42">
        <f t="shared" si="16"/>
        <v>0.53248370306337911</v>
      </c>
      <c r="AU23" s="42">
        <f t="shared" si="17"/>
        <v>0.64953264902056751</v>
      </c>
      <c r="AV23" s="42">
        <f t="shared" si="18"/>
        <v>0.6530744329360737</v>
      </c>
      <c r="AW23" s="42">
        <f t="shared" si="19"/>
        <v>0.65327311878374417</v>
      </c>
      <c r="AX23" s="42">
        <f t="shared" si="20"/>
        <v>0.65329373063770468</v>
      </c>
      <c r="AY23" s="42">
        <f t="shared" si="21"/>
        <v>0.65329715637509833</v>
      </c>
      <c r="AZ23" s="42">
        <f t="shared" si="22"/>
        <v>0.65329797168138359</v>
      </c>
      <c r="BA23" s="42">
        <f t="shared" si="23"/>
        <v>0.65329822685392547</v>
      </c>
      <c r="BC23" s="56">
        <v>4</v>
      </c>
      <c r="BD23" s="50">
        <f t="shared" si="29"/>
        <v>3.7363682233523582E-5</v>
      </c>
      <c r="BE23" s="50">
        <f t="shared" si="30"/>
        <v>0.11034442954908254</v>
      </c>
      <c r="BF23" s="50">
        <f t="shared" si="31"/>
        <v>47.680733254888622</v>
      </c>
      <c r="BG23" s="50">
        <f t="shared" si="32"/>
        <v>803.41365121794536</v>
      </c>
      <c r="BH23" s="50">
        <f t="shared" si="33"/>
        <v>477.34443457709864</v>
      </c>
      <c r="BI23" s="50">
        <f t="shared" si="34"/>
        <v>193.34457916535371</v>
      </c>
      <c r="BJ23" s="50">
        <f t="shared" si="35"/>
        <v>82.301320023269611</v>
      </c>
      <c r="BK23" s="50">
        <f t="shared" si="36"/>
        <v>36.494281145762741</v>
      </c>
      <c r="BL23" s="50">
        <f t="shared" si="37"/>
        <v>25.511561073778726</v>
      </c>
      <c r="BM23" s="50">
        <f t="shared" si="38"/>
        <v>19.801628376315428</v>
      </c>
      <c r="BN23" s="50">
        <f t="shared" si="39"/>
        <v>44.060520805933699</v>
      </c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C23" s="96"/>
      <c r="CD23" s="96"/>
      <c r="CE23" s="122"/>
      <c r="CF23" s="122"/>
      <c r="CG23" s="122"/>
      <c r="CH23" s="122"/>
      <c r="CI23" s="122"/>
      <c r="CJ23" s="122"/>
      <c r="CK23" s="122"/>
      <c r="CL23" s="122"/>
      <c r="CM23" s="122"/>
      <c r="CN23" s="122"/>
      <c r="CP23" s="96"/>
      <c r="CQ23" s="96"/>
      <c r="CR23" s="122"/>
      <c r="CS23" s="122"/>
      <c r="CT23" s="122"/>
      <c r="CU23" s="122"/>
      <c r="CV23" s="122"/>
      <c r="CW23" s="122"/>
      <c r="CX23" s="122"/>
      <c r="CY23" s="122"/>
      <c r="CZ23" s="122"/>
      <c r="DA23" s="122"/>
    </row>
    <row r="24" spans="1:105">
      <c r="A24" s="62" t="s">
        <v>67</v>
      </c>
      <c r="B24" s="96" t="s">
        <v>68</v>
      </c>
      <c r="C24" s="68">
        <f>EXP(C18)</f>
        <v>0.36787944117144233</v>
      </c>
      <c r="D24" s="110"/>
      <c r="E24" s="94">
        <v>5</v>
      </c>
      <c r="F24" s="74">
        <f t="shared" si="6"/>
        <v>-6.8315516941454338E-2</v>
      </c>
      <c r="G24" s="98">
        <f t="shared" si="7"/>
        <v>0.55839448515848467</v>
      </c>
      <c r="H24" s="98">
        <v>-5.8736304507409541E-2</v>
      </c>
      <c r="I24" s="18">
        <f t="shared" si="8"/>
        <v>1171</v>
      </c>
      <c r="J24" s="18">
        <v>202.24580574140785</v>
      </c>
      <c r="K24" s="119">
        <f t="shared" si="25"/>
        <v>5.7899841023019505</v>
      </c>
      <c r="L24" s="118">
        <f t="shared" si="26"/>
        <v>6.4204133760876152</v>
      </c>
      <c r="M24" s="118">
        <f t="shared" si="9"/>
        <v>-1.7593691157691906</v>
      </c>
      <c r="N24" s="35">
        <f t="shared" si="10"/>
        <v>5152.0883372676644</v>
      </c>
      <c r="O24" s="20">
        <f t="shared" si="11"/>
        <v>9612.3587586342292</v>
      </c>
      <c r="P24" s="21">
        <v>5</v>
      </c>
      <c r="Q24" s="143">
        <f t="shared" si="27"/>
        <v>2289.2909432059491</v>
      </c>
      <c r="R24" s="132">
        <f t="shared" si="40"/>
        <v>1888.0635992086329</v>
      </c>
      <c r="S24" s="132">
        <f t="shared" si="41"/>
        <v>1871.6292585150563</v>
      </c>
      <c r="T24" s="132">
        <f t="shared" si="42"/>
        <v>1737.0636663287848</v>
      </c>
      <c r="U24" s="132">
        <f t="shared" si="43"/>
        <v>994.70684874906635</v>
      </c>
      <c r="V24" s="132">
        <f t="shared" si="44"/>
        <v>453.26805014308684</v>
      </c>
      <c r="W24" s="132">
        <f t="shared" si="45"/>
        <v>182.22605108988148</v>
      </c>
      <c r="X24" s="132">
        <f t="shared" si="46"/>
        <v>77.536038255504906</v>
      </c>
      <c r="Y24" s="132">
        <f t="shared" si="47"/>
        <v>34.379754898974376</v>
      </c>
      <c r="Z24" s="132">
        <f t="shared" si="48"/>
        <v>24.033214645989045</v>
      </c>
      <c r="AA24" s="132">
        <f t="shared" si="49"/>
        <v>60.161333593301563</v>
      </c>
      <c r="AC24" s="33">
        <v>5</v>
      </c>
      <c r="AD24" s="18">
        <v>0</v>
      </c>
      <c r="AE24" s="18">
        <v>0</v>
      </c>
      <c r="AF24" s="18">
        <v>46</v>
      </c>
      <c r="AG24" s="18">
        <v>540</v>
      </c>
      <c r="AH24" s="18">
        <v>287</v>
      </c>
      <c r="AI24" s="18">
        <v>144</v>
      </c>
      <c r="AJ24" s="18">
        <v>64</v>
      </c>
      <c r="AK24" s="18">
        <v>32</v>
      </c>
      <c r="AL24" s="18">
        <v>24</v>
      </c>
      <c r="AM24" s="18">
        <v>19</v>
      </c>
      <c r="AN24" s="16">
        <v>15</v>
      </c>
      <c r="AP24" s="47">
        <v>5</v>
      </c>
      <c r="AQ24" s="42">
        <f t="shared" si="13"/>
        <v>1.488830799440052E-8</v>
      </c>
      <c r="AR24" s="42">
        <f t="shared" si="14"/>
        <v>4.4353832153949827E-5</v>
      </c>
      <c r="AS24" s="42">
        <f t="shared" si="15"/>
        <v>2.0395390732954436E-2</v>
      </c>
      <c r="AT24" s="42">
        <f t="shared" si="16"/>
        <v>0.45513036921449057</v>
      </c>
      <c r="AU24" s="42">
        <f t="shared" si="17"/>
        <v>0.55517574090039423</v>
      </c>
      <c r="AV24" s="42">
        <f t="shared" si="18"/>
        <v>0.55820301368239411</v>
      </c>
      <c r="AW24" s="42">
        <f t="shared" si="19"/>
        <v>0.55837283665103654</v>
      </c>
      <c r="AX24" s="42">
        <f t="shared" si="20"/>
        <v>0.55839045424317935</v>
      </c>
      <c r="AY24" s="42">
        <f t="shared" si="21"/>
        <v>0.55839338232739266</v>
      </c>
      <c r="AZ24" s="42">
        <f t="shared" si="22"/>
        <v>0.55839407919501227</v>
      </c>
      <c r="BA24" s="42">
        <f t="shared" si="23"/>
        <v>0.55839429729891388</v>
      </c>
      <c r="BC24" s="56">
        <v>5</v>
      </c>
      <c r="BD24" s="50">
        <f t="shared" si="29"/>
        <v>3.0157123047683533E-5</v>
      </c>
      <c r="BE24" s="50">
        <f t="shared" si="30"/>
        <v>7.4093841871118282E-2</v>
      </c>
      <c r="BF24" s="50">
        <f t="shared" si="31"/>
        <v>33.447100363128449</v>
      </c>
      <c r="BG24" s="50">
        <f t="shared" si="32"/>
        <v>567.2764356088685</v>
      </c>
      <c r="BH24" s="50">
        <f t="shared" si="33"/>
        <v>379.27366328474494</v>
      </c>
      <c r="BI24" s="50">
        <f t="shared" si="34"/>
        <v>173.54194297725454</v>
      </c>
      <c r="BJ24" s="50">
        <f t="shared" si="35"/>
        <v>69.784658203133333</v>
      </c>
      <c r="BK24" s="50">
        <f t="shared" si="36"/>
        <v>29.693643170325117</v>
      </c>
      <c r="BL24" s="50">
        <f t="shared" si="37"/>
        <v>13.166319237118755</v>
      </c>
      <c r="BM24" s="50">
        <f t="shared" si="38"/>
        <v>9.2039421628574658</v>
      </c>
      <c r="BN24" s="50">
        <f t="shared" si="39"/>
        <v>23.039847433326941</v>
      </c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C24" s="96"/>
      <c r="CD24" s="96"/>
      <c r="CE24" s="122"/>
      <c r="CF24" s="122"/>
      <c r="CG24" s="122"/>
      <c r="CH24" s="122"/>
      <c r="CI24" s="122"/>
      <c r="CJ24" s="122"/>
      <c r="CK24" s="122"/>
      <c r="CL24" s="122"/>
      <c r="CM24" s="122"/>
      <c r="CN24" s="122"/>
      <c r="CP24" s="96"/>
      <c r="CQ24" s="96"/>
      <c r="CR24" s="122"/>
      <c r="CS24" s="122"/>
      <c r="CT24" s="122"/>
      <c r="CU24" s="122"/>
      <c r="CV24" s="122"/>
      <c r="CW24" s="122"/>
      <c r="CX24" s="122"/>
      <c r="CY24" s="122"/>
      <c r="CZ24" s="122"/>
      <c r="DA24" s="122"/>
    </row>
    <row r="25" spans="1:105" ht="17" thickBot="1">
      <c r="A25" s="72" t="s">
        <v>90</v>
      </c>
      <c r="B25" s="61" t="s">
        <v>91</v>
      </c>
      <c r="C25" s="73">
        <f>EXP(C19)</f>
        <v>9.3716627579764886E-2</v>
      </c>
      <c r="D25" s="110"/>
      <c r="E25" s="94">
        <v>6</v>
      </c>
      <c r="F25" s="74">
        <f t="shared" si="6"/>
        <v>-8.0559338587756768E-2</v>
      </c>
      <c r="G25" s="98">
        <f t="shared" si="7"/>
        <v>0.60547268834598467</v>
      </c>
      <c r="H25" s="98">
        <v>-1.1658101319909502E-2</v>
      </c>
      <c r="I25" s="18">
        <f t="shared" si="8"/>
        <v>1154</v>
      </c>
      <c r="J25" s="18">
        <v>221.55067447341082</v>
      </c>
      <c r="K25" s="119">
        <f t="shared" si="25"/>
        <v>5.2087406312026197</v>
      </c>
      <c r="L25" s="118">
        <f t="shared" si="26"/>
        <v>5.4397814857816416</v>
      </c>
      <c r="M25" s="118">
        <f t="shared" si="9"/>
        <v>-2.2602457976148065</v>
      </c>
      <c r="N25" s="35">
        <f t="shared" si="10"/>
        <v>4718.8990148897728</v>
      </c>
      <c r="O25" s="20">
        <f t="shared" si="11"/>
        <v>8385.9933281319936</v>
      </c>
      <c r="P25" s="21">
        <v>6</v>
      </c>
      <c r="Q25" s="143">
        <f t="shared" si="27"/>
        <v>2031.1225854297786</v>
      </c>
      <c r="R25" s="132">
        <f t="shared" si="40"/>
        <v>1782.9015527026806</v>
      </c>
      <c r="S25" s="132">
        <f t="shared" si="41"/>
        <v>1470.3601919968232</v>
      </c>
      <c r="T25" s="132">
        <f t="shared" si="42"/>
        <v>1428.1985888118545</v>
      </c>
      <c r="U25" s="132">
        <f t="shared" si="43"/>
        <v>858.18616321263778</v>
      </c>
      <c r="V25" s="132">
        <f t="shared" si="44"/>
        <v>444.64327366556745</v>
      </c>
      <c r="W25" s="132">
        <f t="shared" si="45"/>
        <v>202.0026182543248</v>
      </c>
      <c r="X25" s="132">
        <f t="shared" si="46"/>
        <v>81.196741632900412</v>
      </c>
      <c r="Y25" s="132">
        <f t="shared" si="47"/>
        <v>34.548094052325133</v>
      </c>
      <c r="Z25" s="132">
        <f t="shared" si="48"/>
        <v>15.318702820358952</v>
      </c>
      <c r="AA25" s="132">
        <f t="shared" si="49"/>
        <v>37.514815552741752</v>
      </c>
      <c r="AC25" s="33">
        <v>6</v>
      </c>
      <c r="AD25" s="18">
        <v>0</v>
      </c>
      <c r="AE25" s="18">
        <v>0</v>
      </c>
      <c r="AF25" s="18">
        <v>46</v>
      </c>
      <c r="AG25" s="18">
        <v>478</v>
      </c>
      <c r="AH25" s="18">
        <v>327</v>
      </c>
      <c r="AI25" s="18">
        <v>153</v>
      </c>
      <c r="AJ25" s="18">
        <v>76</v>
      </c>
      <c r="AK25" s="18">
        <v>34</v>
      </c>
      <c r="AL25" s="18">
        <v>17</v>
      </c>
      <c r="AM25" s="18">
        <v>13</v>
      </c>
      <c r="AN25" s="16">
        <v>10</v>
      </c>
      <c r="AP25" s="47">
        <v>6</v>
      </c>
      <c r="AQ25" s="42">
        <f t="shared" si="13"/>
        <v>1.614354028538479E-8</v>
      </c>
      <c r="AR25" s="42">
        <f t="shared" si="14"/>
        <v>4.8093300894754589E-5</v>
      </c>
      <c r="AS25" s="42">
        <f t="shared" si="15"/>
        <v>2.211492481599962E-2</v>
      </c>
      <c r="AT25" s="42">
        <f t="shared" si="16"/>
        <v>0.49350238141765607</v>
      </c>
      <c r="AU25" s="42">
        <f t="shared" si="17"/>
        <v>0.60198257196617999</v>
      </c>
      <c r="AV25" s="42">
        <f t="shared" si="18"/>
        <v>0.60526507392203988</v>
      </c>
      <c r="AW25" s="42">
        <f t="shared" si="19"/>
        <v>0.60544921465426371</v>
      </c>
      <c r="AX25" s="42">
        <f t="shared" si="20"/>
        <v>0.60546831758446884</v>
      </c>
      <c r="AY25" s="42">
        <f t="shared" si="21"/>
        <v>0.6054714925352741</v>
      </c>
      <c r="AZ25" s="42">
        <f t="shared" si="22"/>
        <v>0.60547224815575806</v>
      </c>
      <c r="BA25" s="42">
        <f t="shared" si="23"/>
        <v>0.60547248464798564</v>
      </c>
      <c r="BC25" s="56">
        <v>6</v>
      </c>
      <c r="BD25" s="50">
        <f t="shared" si="29"/>
        <v>2.9012054882563652E-5</v>
      </c>
      <c r="BE25" s="50">
        <f t="shared" si="30"/>
        <v>7.5865708344412544E-2</v>
      </c>
      <c r="BF25" s="50">
        <f t="shared" si="31"/>
        <v>28.468152866863463</v>
      </c>
      <c r="BG25" s="50">
        <f t="shared" si="32"/>
        <v>497.26266621473735</v>
      </c>
      <c r="BH25" s="50">
        <f t="shared" si="33"/>
        <v>347.70933002978734</v>
      </c>
      <c r="BI25" s="50">
        <f t="shared" si="34"/>
        <v>180.88213309916986</v>
      </c>
      <c r="BJ25" s="50">
        <f t="shared" si="35"/>
        <v>82.193731037568696</v>
      </c>
      <c r="BK25" s="50">
        <f t="shared" si="36"/>
        <v>33.039269515400058</v>
      </c>
      <c r="BL25" s="50">
        <f t="shared" si="37"/>
        <v>14.057808188041085</v>
      </c>
      <c r="BM25" s="50">
        <f t="shared" si="38"/>
        <v>6.2332696114418509</v>
      </c>
      <c r="BN25" s="50">
        <f t="shared" si="39"/>
        <v>15.265001879486695</v>
      </c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C25" s="96"/>
      <c r="CD25" s="96"/>
      <c r="CE25" s="122"/>
      <c r="CF25" s="122"/>
      <c r="CG25" s="122"/>
      <c r="CH25" s="122"/>
      <c r="CI25" s="122"/>
      <c r="CJ25" s="122"/>
      <c r="CK25" s="122"/>
      <c r="CL25" s="122"/>
      <c r="CM25" s="122"/>
      <c r="CN25" s="122"/>
      <c r="CP25" s="96"/>
      <c r="CQ25" s="96"/>
      <c r="CR25" s="122"/>
      <c r="CS25" s="122"/>
      <c r="CT25" s="122"/>
      <c r="CU25" s="122"/>
      <c r="CV25" s="122"/>
      <c r="CW25" s="122"/>
      <c r="CX25" s="122"/>
      <c r="CY25" s="122"/>
      <c r="CZ25" s="122"/>
      <c r="DA25" s="122"/>
    </row>
    <row r="26" spans="1:105" ht="17" thickBot="1">
      <c r="E26" s="94">
        <v>7</v>
      </c>
      <c r="F26" s="74">
        <f t="shared" si="6"/>
        <v>-6.4093431796684502E-2</v>
      </c>
      <c r="G26" s="98">
        <f t="shared" si="7"/>
        <v>0.54936097599476053</v>
      </c>
      <c r="H26" s="98">
        <v>-6.7769813671133675E-2</v>
      </c>
      <c r="I26" s="18">
        <f t="shared" si="8"/>
        <v>907</v>
      </c>
      <c r="J26" s="18">
        <v>235.88523360555769</v>
      </c>
      <c r="K26" s="119">
        <f t="shared" si="25"/>
        <v>3.8450901997395319</v>
      </c>
      <c r="L26" s="118">
        <f t="shared" si="26"/>
        <v>3.8610080863359131</v>
      </c>
      <c r="M26" s="118">
        <f t="shared" si="9"/>
        <v>-2.366508022814287</v>
      </c>
      <c r="N26" s="35">
        <f t="shared" si="10"/>
        <v>4009.6412125431521</v>
      </c>
      <c r="O26" s="20">
        <f t="shared" si="11"/>
        <v>7388.9528615690633</v>
      </c>
      <c r="P26" s="21">
        <v>7</v>
      </c>
      <c r="Q26" s="143">
        <f t="shared" si="27"/>
        <v>1906.8983552347131</v>
      </c>
      <c r="R26" s="132">
        <f t="shared" si="40"/>
        <v>1581.8398345102328</v>
      </c>
      <c r="S26" s="132">
        <f t="shared" si="41"/>
        <v>1388.4583482331959</v>
      </c>
      <c r="T26" s="132">
        <f t="shared" si="42"/>
        <v>1120.0714462077149</v>
      </c>
      <c r="U26" s="132">
        <f t="shared" si="43"/>
        <v>679.03102561046069</v>
      </c>
      <c r="V26" s="132">
        <f t="shared" si="44"/>
        <v>366.07509041556904</v>
      </c>
      <c r="W26" s="132">
        <f t="shared" si="45"/>
        <v>189.04919166478788</v>
      </c>
      <c r="X26" s="132">
        <f t="shared" si="46"/>
        <v>85.869735489346283</v>
      </c>
      <c r="Y26" s="132">
        <f t="shared" si="47"/>
        <v>34.515441413395529</v>
      </c>
      <c r="Z26" s="132">
        <f t="shared" si="48"/>
        <v>14.685797807721215</v>
      </c>
      <c r="AA26" s="132">
        <f t="shared" si="49"/>
        <v>22.458594981925767</v>
      </c>
      <c r="AC26" s="33">
        <v>7</v>
      </c>
      <c r="AD26" s="18">
        <v>0</v>
      </c>
      <c r="AE26" s="18">
        <v>0</v>
      </c>
      <c r="AF26" s="18">
        <v>34</v>
      </c>
      <c r="AG26" s="18">
        <v>351</v>
      </c>
      <c r="AH26" s="18">
        <v>240</v>
      </c>
      <c r="AI26" s="18">
        <v>149</v>
      </c>
      <c r="AJ26" s="18">
        <v>70</v>
      </c>
      <c r="AK26" s="18">
        <v>35</v>
      </c>
      <c r="AL26" s="18">
        <v>15</v>
      </c>
      <c r="AM26" s="18">
        <v>7</v>
      </c>
      <c r="AN26" s="16">
        <v>6</v>
      </c>
      <c r="AP26" s="47">
        <v>7</v>
      </c>
      <c r="AQ26" s="42">
        <f t="shared" si="13"/>
        <v>1.4647450195345443E-8</v>
      </c>
      <c r="AR26" s="42">
        <f t="shared" si="14"/>
        <v>4.3636291490747772E-5</v>
      </c>
      <c r="AS26" s="42">
        <f t="shared" si="15"/>
        <v>2.0065441290435162E-2</v>
      </c>
      <c r="AT26" s="42">
        <f t="shared" si="16"/>
        <v>0.44776743052103024</v>
      </c>
      <c r="AU26" s="42">
        <f t="shared" si="17"/>
        <v>0.54619430344676745</v>
      </c>
      <c r="AV26" s="42">
        <f t="shared" si="18"/>
        <v>0.54917260207672225</v>
      </c>
      <c r="AW26" s="42">
        <f t="shared" si="19"/>
        <v>0.54933967770923542</v>
      </c>
      <c r="AX26" s="42">
        <f t="shared" si="20"/>
        <v>0.54935701029018225</v>
      </c>
      <c r="AY26" s="42">
        <f t="shared" si="21"/>
        <v>0.54935989100488125</v>
      </c>
      <c r="AZ26" s="42">
        <f t="shared" si="22"/>
        <v>0.54936057659882209</v>
      </c>
      <c r="BA26" s="42">
        <f t="shared" si="23"/>
        <v>0.54936079117431569</v>
      </c>
      <c r="BC26" s="56">
        <v>7</v>
      </c>
      <c r="BD26" s="50">
        <f t="shared" si="29"/>
        <v>2.4713436935319664E-5</v>
      </c>
      <c r="BE26" s="50">
        <f t="shared" si="30"/>
        <v>6.107237897279956E-2</v>
      </c>
      <c r="BF26" s="50">
        <f t="shared" si="31"/>
        <v>24.414993546576895</v>
      </c>
      <c r="BG26" s="50">
        <f t="shared" si="32"/>
        <v>361.03961549089473</v>
      </c>
      <c r="BH26" s="50">
        <f t="shared" si="33"/>
        <v>255.71526461229203</v>
      </c>
      <c r="BI26" s="50">
        <f t="shared" si="34"/>
        <v>138.43224532985894</v>
      </c>
      <c r="BJ26" s="50">
        <f t="shared" si="35"/>
        <v>71.506005447043066</v>
      </c>
      <c r="BK26" s="50">
        <f t="shared" si="36"/>
        <v>32.4801669554044</v>
      </c>
      <c r="BL26" s="50">
        <f t="shared" si="37"/>
        <v>13.055493533644645</v>
      </c>
      <c r="BM26" s="50">
        <f t="shared" si="38"/>
        <v>5.5549201366269365</v>
      </c>
      <c r="BN26" s="50">
        <f t="shared" si="39"/>
        <v>8.49499225354276</v>
      </c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C26" s="96"/>
      <c r="CD26" s="96"/>
      <c r="CE26" s="122"/>
      <c r="CF26" s="122"/>
      <c r="CG26" s="122"/>
      <c r="CH26" s="122"/>
      <c r="CI26" s="122"/>
      <c r="CJ26" s="122"/>
      <c r="CK26" s="122"/>
      <c r="CL26" s="122"/>
      <c r="CM26" s="122"/>
      <c r="CN26" s="122"/>
      <c r="CP26" s="96"/>
      <c r="CQ26" s="96"/>
      <c r="CR26" s="122"/>
      <c r="CS26" s="122"/>
      <c r="CT26" s="122"/>
      <c r="CU26" s="122"/>
      <c r="CV26" s="122"/>
      <c r="CW26" s="122"/>
      <c r="CX26" s="122"/>
      <c r="CY26" s="122"/>
      <c r="CZ26" s="122"/>
      <c r="DA26" s="122"/>
    </row>
    <row r="27" spans="1:105">
      <c r="A27" s="159" t="s">
        <v>53</v>
      </c>
      <c r="B27" s="160"/>
      <c r="C27" s="161"/>
      <c r="D27" s="108"/>
      <c r="E27" s="94">
        <v>8</v>
      </c>
      <c r="F27" s="74">
        <f t="shared" si="6"/>
        <v>-8.0585205343567903E-2</v>
      </c>
      <c r="G27" s="98">
        <f t="shared" si="7"/>
        <v>0.62848464174072338</v>
      </c>
      <c r="H27" s="98">
        <v>1.135385207482925E-2</v>
      </c>
      <c r="I27" s="18">
        <f t="shared" si="8"/>
        <v>883</v>
      </c>
      <c r="J27" s="18">
        <v>306.65970178479904</v>
      </c>
      <c r="K27" s="119">
        <f t="shared" si="25"/>
        <v>2.8794132220856734</v>
      </c>
      <c r="L27" s="118">
        <f t="shared" si="26"/>
        <v>2.9314387630134595</v>
      </c>
      <c r="M27" s="118">
        <f t="shared" si="9"/>
        <v>-2.3492250011256712</v>
      </c>
      <c r="N27" s="35">
        <f t="shared" si="10"/>
        <v>3528.2777904985905</v>
      </c>
      <c r="O27" s="20">
        <f t="shared" si="11"/>
        <v>6650.5196009233368</v>
      </c>
      <c r="P27" s="21">
        <v>8</v>
      </c>
      <c r="Q27" s="143">
        <f t="shared" si="27"/>
        <v>1689.5105165931834</v>
      </c>
      <c r="R27" s="132">
        <f t="shared" si="40"/>
        <v>1485.0939105415291</v>
      </c>
      <c r="S27" s="132">
        <f t="shared" si="41"/>
        <v>1231.8843457728672</v>
      </c>
      <c r="T27" s="132">
        <f t="shared" si="42"/>
        <v>1059.8512714776755</v>
      </c>
      <c r="U27" s="132">
        <f t="shared" si="43"/>
        <v>557.45418634081989</v>
      </c>
      <c r="V27" s="132">
        <f t="shared" si="44"/>
        <v>306.27166927174591</v>
      </c>
      <c r="W27" s="132">
        <f t="shared" si="45"/>
        <v>164.62429463072982</v>
      </c>
      <c r="X27" s="132">
        <f t="shared" si="46"/>
        <v>85.001387241369471</v>
      </c>
      <c r="Y27" s="132">
        <f t="shared" si="47"/>
        <v>38.608576234304302</v>
      </c>
      <c r="Z27" s="132">
        <f t="shared" si="48"/>
        <v>15.518718028694721</v>
      </c>
      <c r="AA27" s="132">
        <f t="shared" si="49"/>
        <v>16.700724790417368</v>
      </c>
      <c r="AC27" s="33">
        <v>8</v>
      </c>
      <c r="AD27" s="18">
        <v>0</v>
      </c>
      <c r="AE27" s="18">
        <v>0</v>
      </c>
      <c r="AF27" s="18">
        <v>44</v>
      </c>
      <c r="AG27" s="18">
        <v>351</v>
      </c>
      <c r="AH27" s="18">
        <v>212</v>
      </c>
      <c r="AI27" s="18">
        <v>129</v>
      </c>
      <c r="AJ27" s="18">
        <v>80</v>
      </c>
      <c r="AK27" s="18">
        <v>37</v>
      </c>
      <c r="AL27" s="18">
        <v>18</v>
      </c>
      <c r="AM27" s="18">
        <v>8</v>
      </c>
      <c r="AN27" s="16">
        <v>4</v>
      </c>
      <c r="AP27" s="47">
        <v>8</v>
      </c>
      <c r="AQ27" s="42">
        <f t="shared" si="13"/>
        <v>1.6757101233423918E-8</v>
      </c>
      <c r="AR27" s="42">
        <f t="shared" si="14"/>
        <v>4.9921163356746972E-5</v>
      </c>
      <c r="AS27" s="42">
        <f t="shared" si="15"/>
        <v>2.2955437739190516E-2</v>
      </c>
      <c r="AT27" s="42">
        <f t="shared" si="16"/>
        <v>0.51225872504795078</v>
      </c>
      <c r="AU27" s="42">
        <f t="shared" si="17"/>
        <v>0.6248618779318601</v>
      </c>
      <c r="AV27" s="42">
        <f t="shared" si="18"/>
        <v>0.62826913660008754</v>
      </c>
      <c r="AW27" s="42">
        <f t="shared" si="19"/>
        <v>0.6284602758939799</v>
      </c>
      <c r="AX27" s="42">
        <f t="shared" si="20"/>
        <v>0.62848010486145811</v>
      </c>
      <c r="AY27" s="42">
        <f t="shared" si="21"/>
        <v>0.62848340048132312</v>
      </c>
      <c r="AZ27" s="42">
        <f t="shared" si="22"/>
        <v>0.62848418482036639</v>
      </c>
      <c r="BA27" s="42">
        <f t="shared" si="23"/>
        <v>0.62848443030085754</v>
      </c>
      <c r="BC27" s="56">
        <v>8</v>
      </c>
      <c r="BD27" s="50">
        <f t="shared" si="29"/>
        <v>2.5049748263944451E-5</v>
      </c>
      <c r="BE27" s="50">
        <f t="shared" si="30"/>
        <v>6.559516100272314E-2</v>
      </c>
      <c r="BF27" s="50">
        <f t="shared" si="31"/>
        <v>24.747501879883938</v>
      </c>
      <c r="BG27" s="50">
        <f t="shared" si="32"/>
        <v>379.90560834112529</v>
      </c>
      <c r="BH27" s="50">
        <f t="shared" si="33"/>
        <v>232.15720165722735</v>
      </c>
      <c r="BI27" s="50">
        <f t="shared" si="34"/>
        <v>128.05848400323123</v>
      </c>
      <c r="BJ27" s="50">
        <f t="shared" si="35"/>
        <v>68.848115578345073</v>
      </c>
      <c r="BK27" s="50">
        <f t="shared" si="36"/>
        <v>35.549554562367611</v>
      </c>
      <c r="BL27" s="50">
        <f t="shared" si="37"/>
        <v>16.147065294538212</v>
      </c>
      <c r="BM27" s="50">
        <f t="shared" si="38"/>
        <v>6.490319156933583</v>
      </c>
      <c r="BN27" s="50">
        <f t="shared" si="39"/>
        <v>6.984666181704335</v>
      </c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C27" s="96"/>
      <c r="CD27" s="96"/>
      <c r="CE27" s="122"/>
      <c r="CF27" s="122"/>
      <c r="CG27" s="122"/>
      <c r="CH27" s="122"/>
      <c r="CI27" s="122"/>
      <c r="CJ27" s="122"/>
      <c r="CK27" s="122"/>
      <c r="CL27" s="122"/>
      <c r="CM27" s="122"/>
      <c r="CN27" s="122"/>
      <c r="CP27" s="96"/>
      <c r="CQ27" s="96"/>
      <c r="CR27" s="122"/>
      <c r="CS27" s="122"/>
      <c r="CT27" s="122"/>
      <c r="CU27" s="122"/>
      <c r="CV27" s="122"/>
      <c r="CW27" s="122"/>
      <c r="CX27" s="122"/>
      <c r="CY27" s="122"/>
      <c r="CZ27" s="122"/>
      <c r="DA27" s="122"/>
    </row>
    <row r="28" spans="1:105">
      <c r="A28" s="59" t="s">
        <v>54</v>
      </c>
      <c r="B28" s="1" t="s">
        <v>55</v>
      </c>
      <c r="C28" s="63">
        <f>IFERROR(SUM(BD44:BN63),10000)</f>
        <v>-92.030579970000758</v>
      </c>
      <c r="D28" s="92"/>
      <c r="E28" s="94">
        <v>9</v>
      </c>
      <c r="F28" s="74">
        <f t="shared" si="6"/>
        <v>-5.9066904749580887E-2</v>
      </c>
      <c r="G28" s="98">
        <f t="shared" si="7"/>
        <v>0.53997328472792527</v>
      </c>
      <c r="H28" s="98">
        <v>-7.7157504937968885E-2</v>
      </c>
      <c r="I28" s="18">
        <f t="shared" si="8"/>
        <v>644</v>
      </c>
      <c r="J28" s="18">
        <v>267.14062033052551</v>
      </c>
      <c r="K28" s="119">
        <f t="shared" si="25"/>
        <v>2.4107153723128931</v>
      </c>
      <c r="L28" s="118">
        <f t="shared" si="26"/>
        <v>2.5673832766539557</v>
      </c>
      <c r="M28" s="118">
        <f t="shared" si="9"/>
        <v>-2.1417873975224024</v>
      </c>
      <c r="N28" s="35">
        <f t="shared" si="10"/>
        <v>2917.3365674273873</v>
      </c>
      <c r="O28" s="20">
        <f t="shared" si="11"/>
        <v>5928.3528387425049</v>
      </c>
      <c r="P28" s="21">
        <v>9</v>
      </c>
      <c r="Q28" s="143">
        <f t="shared" si="27"/>
        <v>1531.0754966062943</v>
      </c>
      <c r="R28" s="132">
        <f t="shared" si="40"/>
        <v>1315.7920912812838</v>
      </c>
      <c r="S28" s="132">
        <f t="shared" si="41"/>
        <v>1156.5345634723099</v>
      </c>
      <c r="T28" s="132">
        <f t="shared" si="42"/>
        <v>937.62007229997266</v>
      </c>
      <c r="U28" s="132">
        <f t="shared" si="43"/>
        <v>494.53856816439355</v>
      </c>
      <c r="V28" s="132">
        <f t="shared" si="44"/>
        <v>232.41357722336679</v>
      </c>
      <c r="W28" s="132">
        <f t="shared" si="45"/>
        <v>127.25632755295563</v>
      </c>
      <c r="X28" s="132">
        <f t="shared" si="46"/>
        <v>68.388562754596819</v>
      </c>
      <c r="Y28" s="132">
        <f t="shared" si="47"/>
        <v>35.310750770687463</v>
      </c>
      <c r="Z28" s="132">
        <f t="shared" si="48"/>
        <v>16.038483186697352</v>
      </c>
      <c r="AA28" s="132">
        <f t="shared" si="49"/>
        <v>13.384345429945737</v>
      </c>
      <c r="AC28" s="33">
        <v>9</v>
      </c>
      <c r="AD28" s="18">
        <v>0</v>
      </c>
      <c r="AE28" s="18">
        <v>0</v>
      </c>
      <c r="AF28" s="18">
        <v>28</v>
      </c>
      <c r="AG28" s="18">
        <v>261</v>
      </c>
      <c r="AH28" s="18">
        <v>155</v>
      </c>
      <c r="AI28" s="18">
        <v>88</v>
      </c>
      <c r="AJ28" s="18">
        <v>53</v>
      </c>
      <c r="AK28" s="18">
        <v>33</v>
      </c>
      <c r="AL28" s="18">
        <v>15</v>
      </c>
      <c r="AM28" s="18">
        <v>8</v>
      </c>
      <c r="AN28" s="16">
        <v>3</v>
      </c>
      <c r="AP28" s="47">
        <v>9</v>
      </c>
      <c r="AQ28" s="42">
        <f t="shared" si="13"/>
        <v>1.4397148943001738E-8</v>
      </c>
      <c r="AR28" s="42">
        <f t="shared" si="14"/>
        <v>4.2890617789038247E-5</v>
      </c>
      <c r="AS28" s="42">
        <f t="shared" si="15"/>
        <v>1.972255532619949E-2</v>
      </c>
      <c r="AT28" s="42">
        <f t="shared" si="16"/>
        <v>0.44011580876274281</v>
      </c>
      <c r="AU28" s="42">
        <f t="shared" si="17"/>
        <v>0.53686072549617181</v>
      </c>
      <c r="AV28" s="42">
        <f t="shared" si="18"/>
        <v>0.53978812981571833</v>
      </c>
      <c r="AW28" s="42">
        <f t="shared" si="19"/>
        <v>0.53995235039568001</v>
      </c>
      <c r="AX28" s="42">
        <f t="shared" si="20"/>
        <v>0.53996938679082929</v>
      </c>
      <c r="AY28" s="42">
        <f t="shared" si="21"/>
        <v>0.53997221827876962</v>
      </c>
      <c r="AZ28" s="42">
        <f t="shared" si="22"/>
        <v>0.53997289215701805</v>
      </c>
      <c r="BA28" s="42">
        <f t="shared" si="23"/>
        <v>0.53997310306576318</v>
      </c>
      <c r="BC28" s="56">
        <v>9</v>
      </c>
      <c r="BD28" s="50">
        <f t="shared" si="29"/>
        <v>1.9503685137042399E-5</v>
      </c>
      <c r="BE28" s="50">
        <f t="shared" si="30"/>
        <v>4.9932605020261325E-2</v>
      </c>
      <c r="BF28" s="50">
        <f t="shared" si="31"/>
        <v>19.992539064493954</v>
      </c>
      <c r="BG28" s="50">
        <f t="shared" si="32"/>
        <v>298.07213738225335</v>
      </c>
      <c r="BH28" s="50">
        <f t="shared" si="33"/>
        <v>183.79928134373253</v>
      </c>
      <c r="BI28" s="50">
        <f t="shared" si="34"/>
        <v>86.738882570915052</v>
      </c>
      <c r="BJ28" s="50">
        <f t="shared" si="35"/>
        <v>47.504287207354395</v>
      </c>
      <c r="BK28" s="50">
        <f t="shared" si="36"/>
        <v>25.529798201183663</v>
      </c>
      <c r="BL28" s="50">
        <f t="shared" si="37"/>
        <v>13.181735693820661</v>
      </c>
      <c r="BM28" s="50">
        <f t="shared" si="38"/>
        <v>5.9872770636235364</v>
      </c>
      <c r="BN28" s="50">
        <f t="shared" si="39"/>
        <v>4.9964705154723461</v>
      </c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C28" s="96"/>
      <c r="CD28" s="96"/>
      <c r="CE28" s="122"/>
      <c r="CF28" s="122"/>
      <c r="CG28" s="122"/>
      <c r="CH28" s="122"/>
      <c r="CI28" s="122"/>
      <c r="CJ28" s="122"/>
      <c r="CK28" s="122"/>
      <c r="CL28" s="122"/>
      <c r="CM28" s="122"/>
      <c r="CN28" s="122"/>
      <c r="CP28" s="96"/>
      <c r="CQ28" s="96"/>
      <c r="CR28" s="122"/>
      <c r="CS28" s="122"/>
      <c r="CT28" s="122"/>
      <c r="CU28" s="122"/>
      <c r="CV28" s="122"/>
      <c r="CW28" s="122"/>
      <c r="CX28" s="122"/>
      <c r="CY28" s="122"/>
      <c r="CZ28" s="122"/>
      <c r="DA28" s="122"/>
    </row>
    <row r="29" spans="1:105" ht="16" customHeight="1">
      <c r="A29" s="62" t="s">
        <v>70</v>
      </c>
      <c r="B29" s="8" t="s">
        <v>71</v>
      </c>
      <c r="C29" s="63">
        <f>IFERROR(SUM(F20:F39),1000)</f>
        <v>-0.97169507903489594</v>
      </c>
      <c r="D29" s="92"/>
      <c r="E29" s="94">
        <v>10</v>
      </c>
      <c r="F29" s="74">
        <f t="shared" si="6"/>
        <v>0.25145967712683842</v>
      </c>
      <c r="G29" s="98">
        <f t="shared" si="7"/>
        <v>0.31712464574591132</v>
      </c>
      <c r="H29" s="98">
        <v>-0.30000614391998287</v>
      </c>
      <c r="I29" s="18">
        <f t="shared" si="8"/>
        <v>384</v>
      </c>
      <c r="J29" s="18">
        <v>102.62482144956589</v>
      </c>
      <c r="K29" s="119">
        <f t="shared" si="25"/>
        <v>3.7417848292063884</v>
      </c>
      <c r="L29" s="118">
        <f t="shared" si="26"/>
        <v>4.0075636390569622</v>
      </c>
      <c r="M29" s="118">
        <f t="shared" si="9"/>
        <v>-2.099409932390135</v>
      </c>
      <c r="N29" s="35">
        <f t="shared" si="10"/>
        <v>2677.5072234104609</v>
      </c>
      <c r="O29" s="20">
        <f t="shared" si="11"/>
        <v>5335.1086787384347</v>
      </c>
      <c r="P29" s="21">
        <v>10</v>
      </c>
      <c r="Q29" s="143">
        <f t="shared" si="27"/>
        <v>1315.8294398854555</v>
      </c>
      <c r="R29" s="132">
        <f t="shared" si="40"/>
        <v>1192.4027785312217</v>
      </c>
      <c r="S29" s="132">
        <f t="shared" si="41"/>
        <v>1024.6959602637121</v>
      </c>
      <c r="T29" s="132">
        <f t="shared" si="42"/>
        <v>883.1197531322498</v>
      </c>
      <c r="U29" s="132">
        <f t="shared" si="43"/>
        <v>470.23332984809224</v>
      </c>
      <c r="V29" s="132">
        <f t="shared" si="44"/>
        <v>225.14945289592038</v>
      </c>
      <c r="W29" s="132">
        <f t="shared" si="45"/>
        <v>105.50204274524538</v>
      </c>
      <c r="X29" s="132">
        <f t="shared" si="46"/>
        <v>57.757373977104557</v>
      </c>
      <c r="Y29" s="132">
        <f t="shared" si="47"/>
        <v>31.038743444015868</v>
      </c>
      <c r="Z29" s="132">
        <f t="shared" si="48"/>
        <v>16.026045679737855</v>
      </c>
      <c r="AA29" s="132">
        <f t="shared" si="49"/>
        <v>13.353758335678828</v>
      </c>
      <c r="AC29" s="33">
        <v>10</v>
      </c>
      <c r="AD29" s="18">
        <v>0</v>
      </c>
      <c r="AE29" s="18">
        <v>0</v>
      </c>
      <c r="AF29" s="18">
        <v>11</v>
      </c>
      <c r="AG29" s="18">
        <v>160</v>
      </c>
      <c r="AH29" s="18">
        <v>97</v>
      </c>
      <c r="AI29" s="18">
        <v>51</v>
      </c>
      <c r="AJ29" s="18">
        <v>29</v>
      </c>
      <c r="AK29" s="18">
        <v>18</v>
      </c>
      <c r="AL29" s="18">
        <v>11</v>
      </c>
      <c r="AM29" s="18">
        <v>5</v>
      </c>
      <c r="AN29" s="16">
        <v>2</v>
      </c>
      <c r="AP29" s="47">
        <v>10</v>
      </c>
      <c r="AQ29" s="42">
        <f t="shared" si="13"/>
        <v>8.4554011974889617E-9</v>
      </c>
      <c r="AR29" s="42">
        <f t="shared" si="14"/>
        <v>2.5189527624548075E-5</v>
      </c>
      <c r="AS29" s="42">
        <f t="shared" si="15"/>
        <v>1.1582995951691554E-2</v>
      </c>
      <c r="AT29" s="42">
        <f t="shared" si="16"/>
        <v>0.25847865790505836</v>
      </c>
      <c r="AU29" s="42">
        <f t="shared" si="17"/>
        <v>0.31529664930303114</v>
      </c>
      <c r="AV29" s="42">
        <f t="shared" si="18"/>
        <v>0.31701590483668041</v>
      </c>
      <c r="AW29" s="42">
        <f t="shared" si="19"/>
        <v>0.31711235107711017</v>
      </c>
      <c r="AX29" s="42">
        <f t="shared" si="20"/>
        <v>0.31712235649946957</v>
      </c>
      <c r="AY29" s="42">
        <f t="shared" si="21"/>
        <v>0.31712401942360929</v>
      </c>
      <c r="AZ29" s="42">
        <f t="shared" si="22"/>
        <v>0.31712441519022749</v>
      </c>
      <c r="BA29" s="42">
        <f t="shared" si="23"/>
        <v>0.31712453905628346</v>
      </c>
      <c r="BC29" s="56">
        <v>10</v>
      </c>
      <c r="BD29" s="50">
        <f t="shared" si="29"/>
        <v>9.8441311897637415E-6</v>
      </c>
      <c r="BE29" s="50">
        <f t="shared" si="30"/>
        <v>2.6575493439977307E-2</v>
      </c>
      <c r="BF29" s="50">
        <f t="shared" si="31"/>
        <v>10.443628173658661</v>
      </c>
      <c r="BG29" s="50">
        <f t="shared" si="32"/>
        <v>178.93617113866884</v>
      </c>
      <c r="BH29" s="50">
        <f t="shared" si="33"/>
        <v>113.2524148476808</v>
      </c>
      <c r="BI29" s="50">
        <f t="shared" si="34"/>
        <v>54.478904227181026</v>
      </c>
      <c r="BJ29" s="50">
        <f t="shared" si="35"/>
        <v>25.534741643507022</v>
      </c>
      <c r="BK29" s="50">
        <f t="shared" si="36"/>
        <v>13.979439947524202</v>
      </c>
      <c r="BL29" s="50">
        <f t="shared" si="37"/>
        <v>7.5125679820764946</v>
      </c>
      <c r="BM29" s="50">
        <f t="shared" si="38"/>
        <v>3.8789226934725263</v>
      </c>
      <c r="BN29" s="50">
        <f t="shared" si="39"/>
        <v>3.2321269146525164</v>
      </c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C29" s="96"/>
      <c r="CD29" s="96"/>
      <c r="CE29" s="122"/>
      <c r="CF29" s="122"/>
      <c r="CG29" s="122"/>
      <c r="CH29" s="122"/>
      <c r="CI29" s="122"/>
      <c r="CJ29" s="122"/>
      <c r="CK29" s="122"/>
      <c r="CL29" s="122"/>
      <c r="CM29" s="122"/>
      <c r="CN29" s="122"/>
      <c r="CP29" s="96"/>
      <c r="CQ29" s="96"/>
      <c r="CR29" s="122"/>
      <c r="CS29" s="122"/>
      <c r="CT29" s="122"/>
      <c r="CU29" s="122"/>
      <c r="CV29" s="122"/>
      <c r="CW29" s="122"/>
      <c r="CX29" s="122"/>
      <c r="CY29" s="122"/>
      <c r="CZ29" s="122"/>
      <c r="DA29" s="122"/>
    </row>
    <row r="30" spans="1:105">
      <c r="A30" s="62" t="s">
        <v>86</v>
      </c>
      <c r="B30" s="8" t="s">
        <v>89</v>
      </c>
      <c r="C30" s="117">
        <f>SUM(M20:M39)</f>
        <v>-37.349451325832142</v>
      </c>
      <c r="D30" s="92"/>
      <c r="E30" s="94">
        <v>11</v>
      </c>
      <c r="F30" s="74">
        <f t="shared" si="6"/>
        <v>-8.0667339024988988E-2</v>
      </c>
      <c r="G30" s="98">
        <f t="shared" si="7"/>
        <v>0.60680224732632371</v>
      </c>
      <c r="H30" s="98">
        <v>-1.0328542339570434E-2</v>
      </c>
      <c r="I30" s="18">
        <f t="shared" si="8"/>
        <v>663</v>
      </c>
      <c r="J30" s="18">
        <v>260.44640221469183</v>
      </c>
      <c r="K30" s="119">
        <f t="shared" si="25"/>
        <v>2.545629328576688</v>
      </c>
      <c r="L30" s="118">
        <f t="shared" si="26"/>
        <v>2.7696704760274797</v>
      </c>
      <c r="M30" s="118">
        <f t="shared" si="9"/>
        <v>-1.9624269566157468</v>
      </c>
      <c r="N30" s="35">
        <f t="shared" si="10"/>
        <v>3012.8470544005841</v>
      </c>
      <c r="O30" s="20">
        <f t="shared" si="11"/>
        <v>5021.7271682049786</v>
      </c>
      <c r="P30" s="21">
        <v>11</v>
      </c>
      <c r="Q30" s="143">
        <f t="shared" si="27"/>
        <v>1226.6252013415606</v>
      </c>
      <c r="R30" s="132">
        <f t="shared" si="40"/>
        <v>1024.7689895063679</v>
      </c>
      <c r="S30" s="132">
        <f t="shared" si="41"/>
        <v>928.62082584207599</v>
      </c>
      <c r="T30" s="132">
        <f t="shared" si="42"/>
        <v>788.84371981877189</v>
      </c>
      <c r="U30" s="132">
        <f t="shared" si="43"/>
        <v>531.11690350170159</v>
      </c>
      <c r="V30" s="132">
        <f t="shared" si="44"/>
        <v>267.18261306949393</v>
      </c>
      <c r="W30" s="132">
        <f t="shared" si="45"/>
        <v>127.70826870423146</v>
      </c>
      <c r="X30" s="132">
        <f t="shared" si="46"/>
        <v>59.83662694416045</v>
      </c>
      <c r="Y30" s="132">
        <f t="shared" si="47"/>
        <v>32.757392855950116</v>
      </c>
      <c r="Z30" s="132">
        <f t="shared" si="48"/>
        <v>17.60375432546175</v>
      </c>
      <c r="AA30" s="132">
        <f t="shared" si="49"/>
        <v>16.662872295203925</v>
      </c>
      <c r="AC30" s="33">
        <v>11</v>
      </c>
      <c r="AD30" s="18">
        <v>0</v>
      </c>
      <c r="AE30" s="18">
        <v>0</v>
      </c>
      <c r="AF30" s="18">
        <v>29</v>
      </c>
      <c r="AG30" s="18">
        <v>258</v>
      </c>
      <c r="AH30" s="18">
        <v>179</v>
      </c>
      <c r="AI30" s="18">
        <v>91</v>
      </c>
      <c r="AJ30" s="18">
        <v>48</v>
      </c>
      <c r="AK30" s="18">
        <v>27</v>
      </c>
      <c r="AL30" s="18">
        <v>16</v>
      </c>
      <c r="AM30" s="18">
        <v>10</v>
      </c>
      <c r="AN30" s="16">
        <v>5</v>
      </c>
      <c r="AP30" s="47">
        <v>11</v>
      </c>
      <c r="AQ30" s="42">
        <f t="shared" si="13"/>
        <v>1.617898992559818E-8</v>
      </c>
      <c r="AR30" s="42">
        <f t="shared" si="14"/>
        <v>4.8198909093653609E-5</v>
      </c>
      <c r="AS30" s="42">
        <f t="shared" si="15"/>
        <v>2.2163487034336765E-2</v>
      </c>
      <c r="AT30" s="42">
        <f t="shared" si="16"/>
        <v>0.49458606452287585</v>
      </c>
      <c r="AU30" s="42">
        <f t="shared" si="17"/>
        <v>0.60330446699129114</v>
      </c>
      <c r="AV30" s="42">
        <f t="shared" si="18"/>
        <v>0.60659417700134965</v>
      </c>
      <c r="AW30" s="42">
        <f t="shared" si="19"/>
        <v>0.60677872208866479</v>
      </c>
      <c r="AX30" s="42">
        <f t="shared" si="20"/>
        <v>0.60679786696704174</v>
      </c>
      <c r="AY30" s="42">
        <f t="shared" si="21"/>
        <v>0.60680104888972941</v>
      </c>
      <c r="AZ30" s="42">
        <f t="shared" si="22"/>
        <v>0.60680180616948221</v>
      </c>
      <c r="BA30" s="42">
        <f t="shared" si="23"/>
        <v>0.60680204318102371</v>
      </c>
      <c r="BC30" s="56">
        <v>11</v>
      </c>
      <c r="BD30" s="50">
        <f t="shared" si="29"/>
        <v>1.7559286336425669E-5</v>
      </c>
      <c r="BE30" s="50">
        <f t="shared" si="30"/>
        <v>4.3701538804622533E-2</v>
      </c>
      <c r="BF30" s="50">
        <f t="shared" si="31"/>
        <v>18.018412598430739</v>
      </c>
      <c r="BG30" s="50">
        <f t="shared" si="32"/>
        <v>275.12778165316803</v>
      </c>
      <c r="BH30" s="50">
        <f t="shared" si="33"/>
        <v>215.54147087969582</v>
      </c>
      <c r="BI30" s="50">
        <f t="shared" si="34"/>
        <v>108.86714311831473</v>
      </c>
      <c r="BJ30" s="50">
        <f t="shared" si="35"/>
        <v>52.048154633713963</v>
      </c>
      <c r="BK30" s="50">
        <f t="shared" si="36"/>
        <v>24.387290663169495</v>
      </c>
      <c r="BL30" s="50">
        <f t="shared" si="37"/>
        <v>13.350805337227239</v>
      </c>
      <c r="BM30" s="50">
        <f t="shared" si="38"/>
        <v>7.1747014516580681</v>
      </c>
      <c r="BN30" s="50">
        <f t="shared" si="39"/>
        <v>6.7912313681410232</v>
      </c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C30" s="96"/>
      <c r="CD30" s="96"/>
      <c r="CE30" s="122"/>
      <c r="CF30" s="122"/>
      <c r="CG30" s="122"/>
      <c r="CH30" s="122"/>
      <c r="CI30" s="122"/>
      <c r="CJ30" s="122"/>
      <c r="CK30" s="122"/>
      <c r="CL30" s="122"/>
      <c r="CM30" s="122"/>
      <c r="CN30" s="122"/>
      <c r="CP30" s="96"/>
      <c r="CQ30" s="96"/>
      <c r="CR30" s="122"/>
      <c r="CS30" s="122"/>
      <c r="CT30" s="122"/>
      <c r="CU30" s="122"/>
      <c r="CV30" s="122"/>
      <c r="CW30" s="122"/>
      <c r="CX30" s="122"/>
      <c r="CY30" s="122"/>
      <c r="CZ30" s="122"/>
      <c r="DA30" s="122"/>
    </row>
    <row r="31" spans="1:105" ht="17" customHeight="1" thickBot="1">
      <c r="A31" s="60" t="s">
        <v>56</v>
      </c>
      <c r="B31" s="64" t="s">
        <v>57</v>
      </c>
      <c r="C31" s="65">
        <f>SUM(C28:C30)</f>
        <v>-130.35172637486781</v>
      </c>
      <c r="E31" s="94">
        <v>12</v>
      </c>
      <c r="F31" s="74">
        <f t="shared" ref="F31" si="50">-LN(_xlfn.NORM.DIST(H31,0,sigmaF,FALSE))</f>
        <v>-7.5656349389377361E-2</v>
      </c>
      <c r="G31" s="98">
        <f t="shared" ref="G31" si="51">MAX(0.000001,Fbar+H31)</f>
        <v>0.65538005358198526</v>
      </c>
      <c r="H31" s="98">
        <v>3.8249263916091118E-2</v>
      </c>
      <c r="I31" s="18">
        <f t="shared" si="8"/>
        <v>600</v>
      </c>
      <c r="J31" s="18">
        <v>313.43959449316407</v>
      </c>
      <c r="K31" s="119">
        <f t="shared" si="25"/>
        <v>1.9142444366998619</v>
      </c>
      <c r="L31" s="118">
        <f t="shared" si="26"/>
        <v>2.0180266438018792</v>
      </c>
      <c r="M31" s="118">
        <f t="shared" si="9"/>
        <v>-2.20878680948843</v>
      </c>
      <c r="N31" s="35">
        <f t="shared" si="10"/>
        <v>2469.987798569714</v>
      </c>
      <c r="O31" s="20">
        <f t="shared" si="11"/>
        <v>4633.7204329931865</v>
      </c>
      <c r="P31" s="21">
        <v>12</v>
      </c>
      <c r="Q31" s="143">
        <f t="shared" ref="Q31" si="52">(bha*N30)/(1+bhb*N30)</f>
        <v>1350.5910414502027</v>
      </c>
      <c r="R31" s="132">
        <f t="shared" si="40"/>
        <v>955.29665188419199</v>
      </c>
      <c r="S31" s="132">
        <f t="shared" si="41"/>
        <v>798.05242531154545</v>
      </c>
      <c r="T31" s="132">
        <f t="shared" si="42"/>
        <v>707.35807977622051</v>
      </c>
      <c r="U31" s="132">
        <f t="shared" si="43"/>
        <v>374.64621835931388</v>
      </c>
      <c r="V31" s="132">
        <f t="shared" si="44"/>
        <v>226.25839509259228</v>
      </c>
      <c r="W31" s="132">
        <f t="shared" si="45"/>
        <v>113.4472750170921</v>
      </c>
      <c r="X31" s="132">
        <f t="shared" si="46"/>
        <v>54.215659634741939</v>
      </c>
      <c r="Y31" s="132">
        <f t="shared" si="47"/>
        <v>25.401801512508456</v>
      </c>
      <c r="Z31" s="132">
        <f t="shared" si="48"/>
        <v>13.906100430881091</v>
      </c>
      <c r="AA31" s="132">
        <f t="shared" si="49"/>
        <v>14.546784523896212</v>
      </c>
      <c r="AC31" s="33">
        <v>12</v>
      </c>
      <c r="AD31" s="18">
        <v>0</v>
      </c>
      <c r="AE31" s="18">
        <v>0</v>
      </c>
      <c r="AF31" s="18">
        <v>32</v>
      </c>
      <c r="AG31" s="18">
        <v>247</v>
      </c>
      <c r="AH31" s="18">
        <v>139</v>
      </c>
      <c r="AI31" s="18">
        <v>88</v>
      </c>
      <c r="AJ31" s="18">
        <v>45</v>
      </c>
      <c r="AK31" s="18">
        <v>23</v>
      </c>
      <c r="AL31" s="18">
        <v>13</v>
      </c>
      <c r="AM31" s="18">
        <v>8</v>
      </c>
      <c r="AN31" s="16">
        <v>5</v>
      </c>
      <c r="AP31" s="47">
        <v>12</v>
      </c>
      <c r="AQ31" s="42">
        <f t="shared" si="13"/>
        <v>1.7474205692317893E-8</v>
      </c>
      <c r="AR31" s="42">
        <f t="shared" si="14"/>
        <v>5.2057492805237332E-5</v>
      </c>
      <c r="AS31" s="42">
        <f t="shared" si="15"/>
        <v>2.3937794205821053E-2</v>
      </c>
      <c r="AT31" s="42">
        <f t="shared" si="16"/>
        <v>0.53418035759776916</v>
      </c>
      <c r="AU31" s="42">
        <f t="shared" si="17"/>
        <v>0.65160225698763796</v>
      </c>
      <c r="AV31" s="42">
        <f t="shared" si="18"/>
        <v>0.65515532610061689</v>
      </c>
      <c r="AW31" s="42">
        <f t="shared" si="19"/>
        <v>0.65535464502164231</v>
      </c>
      <c r="AX31" s="42">
        <f t="shared" si="20"/>
        <v>0.65537532255121944</v>
      </c>
      <c r="AY31" s="42">
        <f t="shared" si="21"/>
        <v>0.65537875920405109</v>
      </c>
      <c r="AZ31" s="42">
        <f t="shared" si="22"/>
        <v>0.65537957710814942</v>
      </c>
      <c r="BA31" s="42">
        <f t="shared" si="23"/>
        <v>0.65537983309374837</v>
      </c>
      <c r="BC31" s="56">
        <v>12</v>
      </c>
      <c r="BD31" s="50">
        <f t="shared" si="29"/>
        <v>2.0881653313576291E-5</v>
      </c>
      <c r="BE31" s="50">
        <f t="shared" si="30"/>
        <v>4.4000159048176862E-2</v>
      </c>
      <c r="BF31" s="50">
        <f t="shared" si="31"/>
        <v>16.710436527816061</v>
      </c>
      <c r="BG31" s="50">
        <f t="shared" si="32"/>
        <v>261.88815002846411</v>
      </c>
      <c r="BH31" s="50">
        <f t="shared" si="33"/>
        <v>160.8550822095392</v>
      </c>
      <c r="BI31" s="50">
        <f t="shared" si="34"/>
        <v>97.526560543769733</v>
      </c>
      <c r="BJ31" s="50">
        <f t="shared" si="35"/>
        <v>48.91111257803211</v>
      </c>
      <c r="BK31" s="50">
        <f t="shared" si="36"/>
        <v>23.374810576733346</v>
      </c>
      <c r="BL31" s="50">
        <f t="shared" si="37"/>
        <v>10.951901126746517</v>
      </c>
      <c r="BM31" s="50">
        <f t="shared" si="38"/>
        <v>5.9955737374921645</v>
      </c>
      <c r="BN31" s="50">
        <f t="shared" si="39"/>
        <v>6.2718045403671336</v>
      </c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C31" s="96"/>
      <c r="CD31" s="96"/>
      <c r="CE31" s="122"/>
      <c r="CF31" s="122"/>
      <c r="CG31" s="122"/>
      <c r="CH31" s="122"/>
      <c r="CI31" s="122"/>
      <c r="CJ31" s="122"/>
      <c r="CK31" s="122"/>
      <c r="CL31" s="122"/>
      <c r="CM31" s="122"/>
      <c r="CN31" s="122"/>
      <c r="CP31" s="96"/>
      <c r="CQ31" s="96"/>
      <c r="CR31" s="122"/>
      <c r="CS31" s="122"/>
      <c r="CT31" s="122"/>
      <c r="CU31" s="122"/>
      <c r="CV31" s="122"/>
      <c r="CW31" s="122"/>
      <c r="CX31" s="122"/>
      <c r="CY31" s="122"/>
      <c r="CZ31" s="122"/>
      <c r="DA31" s="122"/>
    </row>
    <row r="32" spans="1:105" ht="17" thickBot="1">
      <c r="D32" s="108"/>
      <c r="E32" s="94">
        <v>13</v>
      </c>
      <c r="F32" s="74">
        <f t="shared" ref="F32:F39" si="53">-LN(_xlfn.NORM.DIST(H32,0,sigmaF,FALSE))</f>
        <v>-7.920187527563069E-2</v>
      </c>
      <c r="G32" s="98">
        <f t="shared" ref="G32:G39" si="54">MAX(0.000001,Fbar+H32)</f>
        <v>0.6395659560357938</v>
      </c>
      <c r="H32" s="98">
        <v>2.243516636989961E-2</v>
      </c>
      <c r="I32" s="18">
        <f t="shared" si="8"/>
        <v>499</v>
      </c>
      <c r="J32" s="18">
        <v>361.11903794262292</v>
      </c>
      <c r="K32" s="119">
        <f t="shared" si="25"/>
        <v>1.3818158212951501</v>
      </c>
      <c r="L32" s="118">
        <f t="shared" si="26"/>
        <v>1.4207212639733107</v>
      </c>
      <c r="M32" s="118">
        <f t="shared" si="9"/>
        <v>-2.3235891549376531</v>
      </c>
      <c r="N32" s="35">
        <f t="shared" si="10"/>
        <v>1957.810462132333</v>
      </c>
      <c r="O32" s="20">
        <f t="shared" si="11"/>
        <v>4205.8347373616889</v>
      </c>
      <c r="P32" s="21">
        <v>13</v>
      </c>
      <c r="Q32" s="143">
        <f t="shared" ref="Q32:Q38" si="55">(bha*N31)/(1+bhb*N31)</f>
        <v>1147.1461274208932</v>
      </c>
      <c r="R32" s="132">
        <f t="shared" si="40"/>
        <v>1051.8413423105499</v>
      </c>
      <c r="S32" s="132">
        <f t="shared" si="41"/>
        <v>743.94705152655843</v>
      </c>
      <c r="T32" s="132">
        <f t="shared" si="42"/>
        <v>606.82260341203425</v>
      </c>
      <c r="U32" s="132">
        <f t="shared" si="43"/>
        <v>322.90451419869646</v>
      </c>
      <c r="V32" s="132">
        <f t="shared" si="44"/>
        <v>152.0759254961263</v>
      </c>
      <c r="W32" s="132">
        <f t="shared" si="45"/>
        <v>91.516781622277364</v>
      </c>
      <c r="X32" s="132">
        <f t="shared" si="46"/>
        <v>45.877901240492882</v>
      </c>
      <c r="Y32" s="132">
        <f t="shared" si="47"/>
        <v>21.924274931544385</v>
      </c>
      <c r="Z32" s="132">
        <f t="shared" si="48"/>
        <v>10.27220124120641</v>
      </c>
      <c r="AA32" s="132">
        <f t="shared" si="49"/>
        <v>11.506013961308383</v>
      </c>
      <c r="AC32" s="33">
        <v>13</v>
      </c>
      <c r="AD32" s="18">
        <v>0</v>
      </c>
      <c r="AE32" s="18">
        <v>0</v>
      </c>
      <c r="AF32" s="18">
        <v>28</v>
      </c>
      <c r="AG32" s="18">
        <v>209</v>
      </c>
      <c r="AH32" s="18">
        <v>118</v>
      </c>
      <c r="AI32" s="18">
        <v>63</v>
      </c>
      <c r="AJ32" s="18">
        <v>40</v>
      </c>
      <c r="AK32" s="18">
        <v>20</v>
      </c>
      <c r="AL32" s="18">
        <v>11</v>
      </c>
      <c r="AM32" s="18">
        <v>6</v>
      </c>
      <c r="AN32" s="16">
        <v>4</v>
      </c>
      <c r="AP32" s="47">
        <v>13</v>
      </c>
      <c r="AQ32" s="42">
        <f t="shared" si="13"/>
        <v>1.7052559058658235E-8</v>
      </c>
      <c r="AR32" s="42">
        <f t="shared" si="14"/>
        <v>5.0801363228615727E-5</v>
      </c>
      <c r="AS32" s="42">
        <f t="shared" si="15"/>
        <v>2.3360183382082188E-2</v>
      </c>
      <c r="AT32" s="42">
        <f t="shared" si="16"/>
        <v>0.52129076744906044</v>
      </c>
      <c r="AU32" s="42">
        <f t="shared" si="17"/>
        <v>0.63587931638698703</v>
      </c>
      <c r="AV32" s="42">
        <f t="shared" si="18"/>
        <v>0.6393466511520346</v>
      </c>
      <c r="AW32" s="42">
        <f t="shared" si="19"/>
        <v>0.6395411605753607</v>
      </c>
      <c r="AX32" s="42">
        <f t="shared" si="20"/>
        <v>0.63956133916318947</v>
      </c>
      <c r="AY32" s="42">
        <f t="shared" si="21"/>
        <v>0.63956469289075846</v>
      </c>
      <c r="AZ32" s="42">
        <f t="shared" si="22"/>
        <v>0.63956549105910931</v>
      </c>
      <c r="BA32" s="42">
        <f t="shared" si="23"/>
        <v>0.639565740867863</v>
      </c>
      <c r="BC32" s="56">
        <v>13</v>
      </c>
      <c r="BD32" s="50">
        <f t="shared" si="29"/>
        <v>1.730819895185653E-5</v>
      </c>
      <c r="BE32" s="50">
        <f t="shared" si="30"/>
        <v>4.7277946784981983E-2</v>
      </c>
      <c r="BF32" s="50">
        <f t="shared" si="31"/>
        <v>15.205833551661158</v>
      </c>
      <c r="BG32" s="50">
        <f t="shared" si="32"/>
        <v>220.48047526866728</v>
      </c>
      <c r="BH32" s="50">
        <f t="shared" si="33"/>
        <v>136.20465158038525</v>
      </c>
      <c r="BI32" s="50">
        <f t="shared" si="34"/>
        <v>64.401652824628968</v>
      </c>
      <c r="BJ32" s="50">
        <f t="shared" si="35"/>
        <v>38.764423815934414</v>
      </c>
      <c r="BK32" s="50">
        <f t="shared" si="36"/>
        <v>19.433279565160955</v>
      </c>
      <c r="BL32" s="50">
        <f t="shared" si="37"/>
        <v>9.2868718220760957</v>
      </c>
      <c r="BM32" s="50">
        <f t="shared" si="38"/>
        <v>4.3511907741232765</v>
      </c>
      <c r="BN32" s="50">
        <f t="shared" si="39"/>
        <v>4.8738215730478061</v>
      </c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C32" s="96"/>
      <c r="CD32" s="96"/>
      <c r="CE32" s="122"/>
      <c r="CF32" s="122"/>
      <c r="CG32" s="122"/>
      <c r="CH32" s="122"/>
      <c r="CI32" s="122"/>
      <c r="CJ32" s="122"/>
      <c r="CK32" s="122"/>
      <c r="CL32" s="122"/>
      <c r="CM32" s="122"/>
      <c r="CN32" s="122"/>
      <c r="CP32" s="96"/>
      <c r="CQ32" s="96"/>
      <c r="CR32" s="122"/>
      <c r="CS32" s="122"/>
      <c r="CT32" s="122"/>
      <c r="CU32" s="122"/>
      <c r="CV32" s="122"/>
      <c r="CW32" s="122"/>
      <c r="CX32" s="122"/>
      <c r="CY32" s="122"/>
      <c r="CZ32" s="122"/>
      <c r="DA32" s="122"/>
    </row>
    <row r="33" spans="1:105">
      <c r="A33" s="159" t="s">
        <v>17</v>
      </c>
      <c r="B33" s="160"/>
      <c r="C33" s="161"/>
      <c r="D33" s="101"/>
      <c r="E33" s="94">
        <v>14</v>
      </c>
      <c r="F33" s="74">
        <f t="shared" si="53"/>
        <v>-7.3648863201912079E-2</v>
      </c>
      <c r="G33" s="98">
        <f t="shared" si="54"/>
        <v>0.66192335170102623</v>
      </c>
      <c r="H33" s="98">
        <v>4.4792562035132044E-2</v>
      </c>
      <c r="I33" s="18">
        <f t="shared" si="8"/>
        <v>464</v>
      </c>
      <c r="J33" s="18">
        <v>559.29771094199009</v>
      </c>
      <c r="K33" s="119">
        <f t="shared" si="25"/>
        <v>0.8296118344888519</v>
      </c>
      <c r="L33" s="118">
        <f t="shared" si="26"/>
        <v>0.83517905384980728</v>
      </c>
      <c r="M33" s="118">
        <f t="shared" si="9"/>
        <v>-2.364933070616563</v>
      </c>
      <c r="N33" s="35">
        <f t="shared" si="10"/>
        <v>1623.4356242243207</v>
      </c>
      <c r="O33" s="20">
        <f t="shared" si="11"/>
        <v>3770.4698314502343</v>
      </c>
      <c r="P33" s="21">
        <v>14</v>
      </c>
      <c r="Q33" s="143">
        <f t="shared" si="55"/>
        <v>941.28137712695536</v>
      </c>
      <c r="R33" s="132">
        <f t="shared" si="40"/>
        <v>893.39828709799406</v>
      </c>
      <c r="S33" s="132">
        <f t="shared" si="41"/>
        <v>819.13324691570597</v>
      </c>
      <c r="T33" s="132">
        <f t="shared" si="42"/>
        <v>566.00883160026387</v>
      </c>
      <c r="U33" s="132">
        <f t="shared" si="43"/>
        <v>280.6043666884741</v>
      </c>
      <c r="V33" s="132">
        <f t="shared" si="44"/>
        <v>133.15013703740672</v>
      </c>
      <c r="W33" s="132">
        <f t="shared" si="45"/>
        <v>62.491669185350958</v>
      </c>
      <c r="X33" s="132">
        <f t="shared" si="46"/>
        <v>37.599140857389976</v>
      </c>
      <c r="Y33" s="132">
        <f t="shared" si="47"/>
        <v>18.848290262230993</v>
      </c>
      <c r="Z33" s="132">
        <f t="shared" si="48"/>
        <v>9.007249692110106</v>
      </c>
      <c r="AA33" s="132">
        <f t="shared" si="49"/>
        <v>8.9472349863523828</v>
      </c>
      <c r="AC33" s="33">
        <v>14</v>
      </c>
      <c r="AD33" s="18">
        <v>0</v>
      </c>
      <c r="AE33" s="18">
        <v>0</v>
      </c>
      <c r="AF33" s="18">
        <v>45</v>
      </c>
      <c r="AG33" s="18">
        <v>200</v>
      </c>
      <c r="AH33" s="18">
        <v>101</v>
      </c>
      <c r="AI33" s="18">
        <v>54</v>
      </c>
      <c r="AJ33" s="18">
        <v>29</v>
      </c>
      <c r="AK33" s="18">
        <v>18</v>
      </c>
      <c r="AL33" s="18">
        <v>9</v>
      </c>
      <c r="AM33" s="18">
        <v>5</v>
      </c>
      <c r="AN33" s="16">
        <v>3</v>
      </c>
      <c r="AP33" s="47">
        <v>14</v>
      </c>
      <c r="AQ33" s="42">
        <f t="shared" si="13"/>
        <v>1.7648667726390118E-8</v>
      </c>
      <c r="AR33" s="42">
        <f t="shared" si="14"/>
        <v>5.2577233515826238E-5</v>
      </c>
      <c r="AS33" s="42">
        <f t="shared" si="15"/>
        <v>2.4176788546501495E-2</v>
      </c>
      <c r="AT33" s="42">
        <f t="shared" si="16"/>
        <v>0.5395136009731123</v>
      </c>
      <c r="AU33" s="42">
        <f t="shared" si="17"/>
        <v>0.65810783767964587</v>
      </c>
      <c r="AV33" s="42">
        <f t="shared" si="18"/>
        <v>0.66169638054608537</v>
      </c>
      <c r="AW33" s="42">
        <f t="shared" si="19"/>
        <v>0.66189768946225014</v>
      </c>
      <c r="AX33" s="42">
        <f t="shared" si="20"/>
        <v>0.6619185734357671</v>
      </c>
      <c r="AY33" s="42">
        <f t="shared" si="21"/>
        <v>0.66192204440005498</v>
      </c>
      <c r="AZ33" s="42">
        <f t="shared" si="22"/>
        <v>0.66192287047008747</v>
      </c>
      <c r="BA33" s="42">
        <f t="shared" si="23"/>
        <v>0.66192312901144024</v>
      </c>
      <c r="BC33" s="56">
        <v>14</v>
      </c>
      <c r="BD33" s="50">
        <f t="shared" si="29"/>
        <v>1.4698565970405896E-5</v>
      </c>
      <c r="BE33" s="50">
        <f t="shared" si="30"/>
        <v>4.155999447110284E-2</v>
      </c>
      <c r="BF33" s="50">
        <f t="shared" si="31"/>
        <v>17.321116407427294</v>
      </c>
      <c r="BG33" s="50">
        <f t="shared" si="32"/>
        <v>211.15747053087205</v>
      </c>
      <c r="BH33" s="50">
        <f t="shared" si="33"/>
        <v>121.34443525811447</v>
      </c>
      <c r="BI33" s="50">
        <f t="shared" si="34"/>
        <v>57.805090372694806</v>
      </c>
      <c r="BJ33" s="50">
        <f t="shared" si="35"/>
        <v>27.135731717247236</v>
      </c>
      <c r="BK33" s="50">
        <f t="shared" si="36"/>
        <v>16.327029620860369</v>
      </c>
      <c r="BL33" s="50">
        <f t="shared" si="37"/>
        <v>8.1847017271885303</v>
      </c>
      <c r="BM33" s="50">
        <f t="shared" si="38"/>
        <v>3.9113212501301642</v>
      </c>
      <c r="BN33" s="50">
        <f t="shared" si="39"/>
        <v>3.8852614673223189</v>
      </c>
      <c r="BQ33" s="96"/>
      <c r="BR33" s="96"/>
      <c r="BS33" s="96"/>
      <c r="BT33" s="96"/>
      <c r="BU33" s="96"/>
      <c r="BV33" s="96"/>
      <c r="BW33" s="96"/>
      <c r="BX33" s="96"/>
      <c r="BY33" s="96"/>
      <c r="BZ33" s="96"/>
      <c r="CA33" s="96"/>
      <c r="CC33" s="96"/>
      <c r="CD33" s="96"/>
      <c r="CE33" s="122"/>
      <c r="CF33" s="122"/>
      <c r="CG33" s="122"/>
      <c r="CH33" s="122"/>
      <c r="CI33" s="122"/>
      <c r="CJ33" s="122"/>
      <c r="CK33" s="122"/>
      <c r="CL33" s="122"/>
      <c r="CM33" s="122"/>
      <c r="CN33" s="122"/>
      <c r="CP33" s="96"/>
      <c r="CQ33" s="96"/>
      <c r="CR33" s="122"/>
      <c r="CS33" s="122"/>
      <c r="CT33" s="122"/>
      <c r="CU33" s="122"/>
      <c r="CV33" s="122"/>
      <c r="CW33" s="122"/>
      <c r="CX33" s="122"/>
      <c r="CY33" s="122"/>
      <c r="CZ33" s="122"/>
      <c r="DA33" s="122"/>
    </row>
    <row r="34" spans="1:105" ht="16" customHeight="1">
      <c r="A34" s="164" t="s">
        <v>79</v>
      </c>
      <c r="B34" s="1" t="s">
        <v>20</v>
      </c>
      <c r="C34" s="70" cm="1">
        <f t="array" ref="C34">SUMPRODUCT(Ro*J8:T8,J6:T6)</f>
        <v>25637.097128401831</v>
      </c>
      <c r="D34" s="101"/>
      <c r="E34" s="94">
        <v>15</v>
      </c>
      <c r="F34" s="74">
        <f t="shared" si="53"/>
        <v>-7.9016857202490229E-2</v>
      </c>
      <c r="G34" s="98">
        <f t="shared" si="54"/>
        <v>0.64065557737396417</v>
      </c>
      <c r="H34" s="98">
        <v>2.3524787708069945E-2</v>
      </c>
      <c r="I34" s="18">
        <f t="shared" si="8"/>
        <v>432</v>
      </c>
      <c r="J34" s="18">
        <v>441.87612290874796</v>
      </c>
      <c r="K34" s="119">
        <f t="shared" si="25"/>
        <v>0.97764956648090373</v>
      </c>
      <c r="L34" s="118">
        <f t="shared" si="26"/>
        <v>1.0033741035606663</v>
      </c>
      <c r="M34" s="118">
        <f t="shared" si="9"/>
        <v>-2.3290769885409683</v>
      </c>
      <c r="N34" s="35">
        <f t="shared" si="10"/>
        <v>1397.5638166529709</v>
      </c>
      <c r="O34" s="20">
        <f t="shared" si="11"/>
        <v>3329.0678172709117</v>
      </c>
      <c r="P34" s="21">
        <v>15</v>
      </c>
      <c r="Q34" s="143">
        <f t="shared" si="55"/>
        <v>798.87900550887196</v>
      </c>
      <c r="R34" s="132">
        <f t="shared" si="40"/>
        <v>733.07066065928257</v>
      </c>
      <c r="S34" s="132">
        <f t="shared" si="41"/>
        <v>695.74270439827308</v>
      </c>
      <c r="T34" s="132">
        <f t="shared" si="42"/>
        <v>622.70318502000634</v>
      </c>
      <c r="U34" s="132">
        <f t="shared" si="43"/>
        <v>257.00513895839657</v>
      </c>
      <c r="V34" s="132">
        <f t="shared" si="44"/>
        <v>113.16397712371052</v>
      </c>
      <c r="W34" s="132">
        <f t="shared" si="45"/>
        <v>53.505313188691773</v>
      </c>
      <c r="X34" s="132">
        <f t="shared" si="46"/>
        <v>25.10672065209803</v>
      </c>
      <c r="Y34" s="132">
        <f t="shared" si="47"/>
        <v>15.105556060372145</v>
      </c>
      <c r="Z34" s="132">
        <f t="shared" si="48"/>
        <v>7.5723250711526617</v>
      </c>
      <c r="AA34" s="132">
        <f t="shared" si="49"/>
        <v>7.2132306300562528</v>
      </c>
      <c r="AC34" s="33">
        <v>15</v>
      </c>
      <c r="AD34" s="18">
        <v>0</v>
      </c>
      <c r="AE34" s="18">
        <v>0</v>
      </c>
      <c r="AF34" s="18">
        <v>37</v>
      </c>
      <c r="AG34" s="18">
        <v>206</v>
      </c>
      <c r="AH34" s="18">
        <v>90</v>
      </c>
      <c r="AI34" s="18">
        <v>47</v>
      </c>
      <c r="AJ34" s="18">
        <v>25</v>
      </c>
      <c r="AK34" s="18">
        <v>13</v>
      </c>
      <c r="AL34" s="18">
        <v>8</v>
      </c>
      <c r="AM34" s="18">
        <v>4</v>
      </c>
      <c r="AN34" s="16">
        <v>2</v>
      </c>
      <c r="AP34" s="47">
        <v>15</v>
      </c>
      <c r="AQ34" s="42">
        <f t="shared" si="13"/>
        <v>1.7081611312058173E-8</v>
      </c>
      <c r="AR34" s="42">
        <f t="shared" si="14"/>
        <v>5.0887912940744157E-5</v>
      </c>
      <c r="AS34" s="42">
        <f t="shared" si="15"/>
        <v>2.3399981864219134E-2</v>
      </c>
      <c r="AT34" s="42">
        <f t="shared" si="16"/>
        <v>0.52217888467644447</v>
      </c>
      <c r="AU34" s="42">
        <f t="shared" si="17"/>
        <v>0.63696265683858178</v>
      </c>
      <c r="AV34" s="42">
        <f t="shared" si="18"/>
        <v>0.64043589886293695</v>
      </c>
      <c r="AW34" s="42">
        <f t="shared" si="19"/>
        <v>0.64063073966978346</v>
      </c>
      <c r="AX34" s="42">
        <f t="shared" si="20"/>
        <v>0.64065095263564587</v>
      </c>
      <c r="AY34" s="42">
        <f t="shared" si="21"/>
        <v>0.64065431207692281</v>
      </c>
      <c r="AZ34" s="42">
        <f t="shared" si="22"/>
        <v>0.64065511160510413</v>
      </c>
      <c r="BA34" s="42">
        <f t="shared" si="23"/>
        <v>0.64065536183945415</v>
      </c>
      <c r="BC34" s="56">
        <v>15</v>
      </c>
      <c r="BD34" s="50">
        <f t="shared" si="29"/>
        <v>1.2074062411285958E-5</v>
      </c>
      <c r="BE34" s="50">
        <f t="shared" si="30"/>
        <v>3.3006043233274426E-2</v>
      </c>
      <c r="BF34" s="50">
        <f t="shared" si="31"/>
        <v>14.24452233636811</v>
      </c>
      <c r="BG34" s="50">
        <f t="shared" si="32"/>
        <v>226.54811726207987</v>
      </c>
      <c r="BH34" s="50">
        <f t="shared" si="33"/>
        <v>108.54203673703172</v>
      </c>
      <c r="BI34" s="50">
        <f t="shared" si="34"/>
        <v>47.982416865789304</v>
      </c>
      <c r="BJ34" s="50">
        <f t="shared" si="35"/>
        <v>22.691689002902748</v>
      </c>
      <c r="BK34" s="50">
        <f t="shared" si="36"/>
        <v>10.648044540804587</v>
      </c>
      <c r="BL34" s="50">
        <f t="shared" si="37"/>
        <v>6.4064617924029408</v>
      </c>
      <c r="BM34" s="50">
        <f t="shared" si="38"/>
        <v>3.2115239614049598</v>
      </c>
      <c r="BN34" s="50">
        <f t="shared" si="39"/>
        <v>3.0592280923478117</v>
      </c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C34" s="96"/>
      <c r="CD34" s="96"/>
      <c r="CE34" s="122"/>
      <c r="CF34" s="122"/>
      <c r="CG34" s="122"/>
      <c r="CH34" s="122"/>
      <c r="CI34" s="122"/>
      <c r="CJ34" s="122"/>
      <c r="CK34" s="122"/>
      <c r="CL34" s="122"/>
      <c r="CM34" s="122"/>
      <c r="CN34" s="122"/>
      <c r="CP34" s="96"/>
      <c r="CQ34" s="96"/>
      <c r="CR34" s="122"/>
      <c r="CS34" s="122"/>
      <c r="CT34" s="122"/>
      <c r="CU34" s="122"/>
      <c r="CV34" s="122"/>
      <c r="CW34" s="122"/>
      <c r="CX34" s="122"/>
      <c r="CY34" s="122"/>
      <c r="CZ34" s="122"/>
      <c r="DA34" s="122"/>
    </row>
    <row r="35" spans="1:105">
      <c r="A35" s="164"/>
      <c r="B35" s="1" t="s">
        <v>21</v>
      </c>
      <c r="C35" s="70" cm="1">
        <f t="array" ref="C35">SUMPRODUCT(Ro*J8:T8,J5:T5,J7:T7)</f>
        <v>37961.388009539158</v>
      </c>
      <c r="D35" s="101"/>
      <c r="E35" s="94">
        <v>16</v>
      </c>
      <c r="F35" s="74">
        <f t="shared" si="53"/>
        <v>-7.2723787185929936E-2</v>
      </c>
      <c r="G35" s="98">
        <f t="shared" si="54"/>
        <v>0.66463620475667984</v>
      </c>
      <c r="H35" s="98">
        <v>4.7505415090785666E-2</v>
      </c>
      <c r="I35" s="18">
        <f t="shared" si="8"/>
        <v>393</v>
      </c>
      <c r="J35" s="18">
        <v>524.98794467934135</v>
      </c>
      <c r="K35" s="119">
        <f t="shared" si="25"/>
        <v>0.74858861804920385</v>
      </c>
      <c r="L35" s="118">
        <f t="shared" si="26"/>
        <v>0.8014062939517943</v>
      </c>
      <c r="M35" s="118">
        <f t="shared" si="9"/>
        <v>-2.10285451935817</v>
      </c>
      <c r="N35" s="35">
        <f t="shared" si="10"/>
        <v>1308.3348144280133</v>
      </c>
      <c r="O35" s="20">
        <f t="shared" si="11"/>
        <v>2905.7346651803755</v>
      </c>
      <c r="P35" s="21">
        <v>16</v>
      </c>
      <c r="Q35" s="143">
        <f t="shared" si="55"/>
        <v>698.83323322567105</v>
      </c>
      <c r="R35" s="132">
        <f t="shared" si="40"/>
        <v>622.16758444198979</v>
      </c>
      <c r="S35" s="132">
        <f t="shared" si="41"/>
        <v>570.88695258338817</v>
      </c>
      <c r="T35" s="132">
        <f t="shared" si="42"/>
        <v>529.3129964170671</v>
      </c>
      <c r="U35" s="132">
        <f t="shared" si="43"/>
        <v>287.6921808477947</v>
      </c>
      <c r="V35" s="132">
        <f t="shared" si="44"/>
        <v>105.86168926108425</v>
      </c>
      <c r="W35" s="132">
        <f t="shared" si="45"/>
        <v>46.451185777438567</v>
      </c>
      <c r="X35" s="132">
        <f t="shared" si="46"/>
        <v>21.958410254515876</v>
      </c>
      <c r="Y35" s="132">
        <f t="shared" si="47"/>
        <v>10.303509988072053</v>
      </c>
      <c r="Z35" s="132">
        <f t="shared" si="48"/>
        <v>6.1991260044161294</v>
      </c>
      <c r="AA35" s="132">
        <f t="shared" si="49"/>
        <v>6.0677963789375262</v>
      </c>
      <c r="AC35" s="33">
        <v>16</v>
      </c>
      <c r="AD35" s="18">
        <v>0</v>
      </c>
      <c r="AE35" s="18">
        <v>0</v>
      </c>
      <c r="AF35" s="18">
        <v>32</v>
      </c>
      <c r="AG35" s="18">
        <v>180</v>
      </c>
      <c r="AH35" s="18">
        <v>93</v>
      </c>
      <c r="AI35" s="18">
        <v>42</v>
      </c>
      <c r="AJ35" s="18">
        <v>22</v>
      </c>
      <c r="AK35" s="18">
        <v>12</v>
      </c>
      <c r="AL35" s="18">
        <v>6</v>
      </c>
      <c r="AM35" s="18">
        <v>4</v>
      </c>
      <c r="AN35" s="16">
        <v>2</v>
      </c>
      <c r="AP35" s="47">
        <v>16</v>
      </c>
      <c r="AQ35" s="42">
        <f t="shared" si="13"/>
        <v>1.7720999729856553E-8</v>
      </c>
      <c r="AR35" s="42">
        <f t="shared" si="14"/>
        <v>5.2792718145934361E-5</v>
      </c>
      <c r="AS35" s="42">
        <f t="shared" si="15"/>
        <v>2.4275875660614808E-2</v>
      </c>
      <c r="AT35" s="42">
        <f t="shared" si="16"/>
        <v>0.54172476502587663</v>
      </c>
      <c r="AU35" s="42">
        <f t="shared" si="17"/>
        <v>0.66080505308050885</v>
      </c>
      <c r="AV35" s="42">
        <f t="shared" si="18"/>
        <v>0.66440830337410817</v>
      </c>
      <c r="AW35" s="42">
        <f t="shared" si="19"/>
        <v>0.66461043734276115</v>
      </c>
      <c r="AX35" s="42">
        <f t="shared" si="20"/>
        <v>0.66463140690798783</v>
      </c>
      <c r="AY35" s="42">
        <f t="shared" si="21"/>
        <v>0.66463489209781423</v>
      </c>
      <c r="AZ35" s="42">
        <f t="shared" si="22"/>
        <v>0.66463572155344497</v>
      </c>
      <c r="BA35" s="42">
        <f t="shared" si="23"/>
        <v>0.66463598115441402</v>
      </c>
      <c r="BC35" s="56">
        <v>16</v>
      </c>
      <c r="BD35" s="50">
        <f t="shared" si="29"/>
        <v>1.0957345142375378E-5</v>
      </c>
      <c r="BE35" s="50">
        <f t="shared" si="30"/>
        <v>2.9061230110327543E-2</v>
      </c>
      <c r="BF35" s="50">
        <f t="shared" si="31"/>
        <v>12.120686054485899</v>
      </c>
      <c r="BG35" s="50">
        <f t="shared" si="32"/>
        <v>198.08635676948782</v>
      </c>
      <c r="BH35" s="50">
        <f t="shared" si="33"/>
        <v>124.7761767436472</v>
      </c>
      <c r="BI35" s="50">
        <f t="shared" si="34"/>
        <v>46.093436208920636</v>
      </c>
      <c r="BJ35" s="50">
        <f t="shared" si="35"/>
        <v>20.229813651956956</v>
      </c>
      <c r="BK35" s="50">
        <f t="shared" si="36"/>
        <v>9.5632565344274116</v>
      </c>
      <c r="BL35" s="50">
        <f t="shared" si="37"/>
        <v>4.4873685702265327</v>
      </c>
      <c r="BM35" s="50">
        <f t="shared" si="38"/>
        <v>2.699836088993588</v>
      </c>
      <c r="BN35" s="50">
        <f t="shared" si="39"/>
        <v>2.6426403052390559</v>
      </c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C35" s="96"/>
      <c r="CD35" s="96"/>
      <c r="CE35" s="122"/>
      <c r="CF35" s="122"/>
      <c r="CG35" s="122"/>
      <c r="CH35" s="122"/>
      <c r="CI35" s="122"/>
      <c r="CJ35" s="122"/>
      <c r="CK35" s="122"/>
      <c r="CL35" s="122"/>
      <c r="CM35" s="122"/>
      <c r="CN35" s="122"/>
      <c r="CP35" s="96"/>
      <c r="CQ35" s="96"/>
      <c r="CR35" s="122"/>
      <c r="CS35" s="122"/>
      <c r="CT35" s="122"/>
      <c r="CU35" s="122"/>
      <c r="CV35" s="122"/>
      <c r="CW35" s="122"/>
      <c r="CX35" s="122"/>
      <c r="CY35" s="122"/>
      <c r="CZ35" s="122"/>
      <c r="DA35" s="122"/>
    </row>
    <row r="36" spans="1:105" ht="17" customHeight="1">
      <c r="A36" s="164" t="s">
        <v>80</v>
      </c>
      <c r="B36" s="1" t="s">
        <v>73</v>
      </c>
      <c r="C36" s="67">
        <f>(SQRT(C42)-1)*M</f>
        <v>0.18560101136172114</v>
      </c>
      <c r="D36" s="103"/>
      <c r="E36" s="94">
        <v>17</v>
      </c>
      <c r="F36" s="74">
        <f t="shared" si="53"/>
        <v>-7.1869094049917717E-2</v>
      </c>
      <c r="G36" s="98">
        <f t="shared" si="54"/>
        <v>0.66701169521333814</v>
      </c>
      <c r="H36" s="98">
        <v>4.9880905547443906E-2</v>
      </c>
      <c r="I36" s="18">
        <f t="shared" si="8"/>
        <v>336</v>
      </c>
      <c r="J36" s="18">
        <v>605.38595561470254</v>
      </c>
      <c r="K36" s="119">
        <f t="shared" si="25"/>
        <v>0.55501783099482238</v>
      </c>
      <c r="L36" s="118">
        <f t="shared" si="26"/>
        <v>0.59865232250371436</v>
      </c>
      <c r="M36" s="118">
        <f t="shared" si="9"/>
        <v>-2.0414120451314286</v>
      </c>
      <c r="N36" s="35">
        <f t="shared" si="10"/>
        <v>1175.9115193803191</v>
      </c>
      <c r="O36" s="20">
        <f t="shared" si="11"/>
        <v>2555.5289026128412</v>
      </c>
      <c r="P36" s="21">
        <v>17</v>
      </c>
      <c r="Q36" s="143">
        <f t="shared" si="55"/>
        <v>658.41497309713384</v>
      </c>
      <c r="R36" s="132">
        <f t="shared" si="40"/>
        <v>544.25185962778721</v>
      </c>
      <c r="S36" s="132">
        <f t="shared" si="41"/>
        <v>484.51902221368363</v>
      </c>
      <c r="T36" s="132">
        <f t="shared" si="42"/>
        <v>433.94393031395674</v>
      </c>
      <c r="U36" s="132">
        <f t="shared" si="43"/>
        <v>239.81197229338056</v>
      </c>
      <c r="V36" s="132">
        <f t="shared" si="44"/>
        <v>115.70988175309569</v>
      </c>
      <c r="W36" s="132">
        <f t="shared" si="45"/>
        <v>42.424461600867289</v>
      </c>
      <c r="X36" s="132">
        <f t="shared" si="46"/>
        <v>18.611721225008399</v>
      </c>
      <c r="Y36" s="132">
        <f t="shared" si="47"/>
        <v>8.7979506557171163</v>
      </c>
      <c r="Z36" s="132">
        <f t="shared" si="48"/>
        <v>4.1282340330620979</v>
      </c>
      <c r="AA36" s="132">
        <f t="shared" si="49"/>
        <v>4.9148957991486455</v>
      </c>
      <c r="AC36" s="33">
        <v>17</v>
      </c>
      <c r="AD36" s="18">
        <v>0</v>
      </c>
      <c r="AE36" s="18">
        <v>0</v>
      </c>
      <c r="AF36" s="18">
        <v>35</v>
      </c>
      <c r="AG36" s="18">
        <v>149</v>
      </c>
      <c r="AH36" s="18">
        <v>76</v>
      </c>
      <c r="AI36" s="18">
        <v>40</v>
      </c>
      <c r="AJ36" s="18">
        <v>18</v>
      </c>
      <c r="AK36" s="18">
        <v>9</v>
      </c>
      <c r="AL36" s="18">
        <v>5</v>
      </c>
      <c r="AM36" s="18">
        <v>3</v>
      </c>
      <c r="AN36" s="16">
        <v>1</v>
      </c>
      <c r="AP36" s="47">
        <v>17</v>
      </c>
      <c r="AQ36" s="42">
        <f t="shared" si="13"/>
        <v>1.7784336733527803E-8</v>
      </c>
      <c r="AR36" s="42">
        <f t="shared" si="14"/>
        <v>5.2981405727560503E-5</v>
      </c>
      <c r="AS36" s="42">
        <f t="shared" si="15"/>
        <v>2.4362640586368327E-2</v>
      </c>
      <c r="AT36" s="42">
        <f t="shared" si="16"/>
        <v>0.54366095508029222</v>
      </c>
      <c r="AU36" s="42">
        <f t="shared" si="17"/>
        <v>0.66316685053612434</v>
      </c>
      <c r="AV36" s="42">
        <f t="shared" si="18"/>
        <v>0.66678297928356689</v>
      </c>
      <c r="AW36" s="42">
        <f t="shared" si="19"/>
        <v>0.66698583570355496</v>
      </c>
      <c r="AX36" s="42">
        <f t="shared" si="20"/>
        <v>0.66700688021655263</v>
      </c>
      <c r="AY36" s="42">
        <f t="shared" si="21"/>
        <v>0.66701037786287043</v>
      </c>
      <c r="AZ36" s="42">
        <f t="shared" si="22"/>
        <v>0.66701121028307631</v>
      </c>
      <c r="BA36" s="42">
        <f t="shared" si="23"/>
        <v>0.66701147081189061</v>
      </c>
      <c r="BC36" s="56">
        <v>17</v>
      </c>
      <c r="BD36" s="50">
        <f t="shared" si="29"/>
        <v>1.0360505468454281E-5</v>
      </c>
      <c r="BE36" s="50">
        <f t="shared" si="30"/>
        <v>2.5512672216045536E-2</v>
      </c>
      <c r="BF36" s="50">
        <f t="shared" si="31"/>
        <v>10.323320018773249</v>
      </c>
      <c r="BG36" s="50">
        <f t="shared" si="32"/>
        <v>162.83944514225459</v>
      </c>
      <c r="BH36" s="50">
        <f t="shared" si="33"/>
        <v>104.27686510278663</v>
      </c>
      <c r="BI36" s="50">
        <f t="shared" si="34"/>
        <v>50.510553251185662</v>
      </c>
      <c r="BJ36" s="50">
        <f t="shared" si="35"/>
        <v>18.523485528697798</v>
      </c>
      <c r="BK36" s="50">
        <f t="shared" si="36"/>
        <v>8.1264848733683195</v>
      </c>
      <c r="BL36" s="50">
        <f t="shared" si="37"/>
        <v>3.841486812551183</v>
      </c>
      <c r="BM36" s="50">
        <f t="shared" si="38"/>
        <v>1.8025300894961163</v>
      </c>
      <c r="BN36" s="50">
        <f t="shared" si="39"/>
        <v>2.1460144880371352</v>
      </c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C36" s="96"/>
      <c r="CD36" s="96"/>
      <c r="CE36" s="122"/>
      <c r="CF36" s="122"/>
      <c r="CG36" s="122"/>
      <c r="CH36" s="122"/>
      <c r="CI36" s="122"/>
      <c r="CJ36" s="122"/>
      <c r="CK36" s="122"/>
      <c r="CL36" s="122"/>
      <c r="CM36" s="122"/>
      <c r="CN36" s="122"/>
      <c r="CP36" s="96"/>
      <c r="CQ36" s="96"/>
      <c r="CR36" s="122"/>
      <c r="CS36" s="122"/>
      <c r="CT36" s="122"/>
      <c r="CU36" s="122"/>
      <c r="CV36" s="122"/>
      <c r="CW36" s="122"/>
      <c r="CX36" s="122"/>
      <c r="CY36" s="122"/>
      <c r="CZ36" s="122"/>
      <c r="DA36" s="122"/>
    </row>
    <row r="37" spans="1:105" ht="16" customHeight="1">
      <c r="A37" s="164"/>
      <c r="B37" s="1" t="s">
        <v>74</v>
      </c>
      <c r="C37" s="70">
        <f>((bha/(C36+M))-1)*(M+C36)/bhb</f>
        <v>1510.2121485732491</v>
      </c>
      <c r="D37" s="101"/>
      <c r="E37" s="94">
        <v>18</v>
      </c>
      <c r="F37" s="74">
        <f t="shared" si="53"/>
        <v>-7.3663272260411819E-2</v>
      </c>
      <c r="G37" s="98">
        <f t="shared" si="54"/>
        <v>0.6618797953045078</v>
      </c>
      <c r="H37" s="98">
        <v>4.4749005638613663E-2</v>
      </c>
      <c r="I37" s="18">
        <f t="shared" si="8"/>
        <v>285</v>
      </c>
      <c r="J37" s="18">
        <v>710.6361708201398</v>
      </c>
      <c r="K37" s="119">
        <f t="shared" si="25"/>
        <v>0.40104910459466714</v>
      </c>
      <c r="L37" s="118">
        <f t="shared" si="26"/>
        <v>0.43167619547841041</v>
      </c>
      <c r="M37" s="118">
        <f t="shared" si="9"/>
        <v>-2.0591633047787026</v>
      </c>
      <c r="N37" s="35">
        <f t="shared" si="10"/>
        <v>1024.9179224004527</v>
      </c>
      <c r="O37" s="20">
        <f t="shared" si="11"/>
        <v>2272.580644882853</v>
      </c>
      <c r="P37" s="21">
        <v>18</v>
      </c>
      <c r="Q37" s="143">
        <f t="shared" si="55"/>
        <v>597.46520727988195</v>
      </c>
      <c r="R37" s="132">
        <f t="shared" si="40"/>
        <v>512.77408751463872</v>
      </c>
      <c r="S37" s="132">
        <f t="shared" si="41"/>
        <v>423.84131816246929</v>
      </c>
      <c r="T37" s="132">
        <f t="shared" si="42"/>
        <v>368.26178277661182</v>
      </c>
      <c r="U37" s="132">
        <f t="shared" si="43"/>
        <v>196.22351219553676</v>
      </c>
      <c r="V37" s="132">
        <f t="shared" si="44"/>
        <v>96.224915110544217</v>
      </c>
      <c r="W37" s="132">
        <f t="shared" si="45"/>
        <v>46.261175151978485</v>
      </c>
      <c r="X37" s="132">
        <f t="shared" si="46"/>
        <v>16.95799297674936</v>
      </c>
      <c r="Y37" s="132">
        <f t="shared" si="47"/>
        <v>7.4393588972988489</v>
      </c>
      <c r="Z37" s="132">
        <f t="shared" si="48"/>
        <v>3.5166486093837137</v>
      </c>
      <c r="AA37" s="132">
        <f t="shared" si="49"/>
        <v>3.6146462077598533</v>
      </c>
      <c r="AC37" s="33">
        <v>18</v>
      </c>
      <c r="AD37" s="18">
        <v>0</v>
      </c>
      <c r="AE37" s="18">
        <v>0</v>
      </c>
      <c r="AF37" s="18">
        <v>35</v>
      </c>
      <c r="AG37" s="18">
        <v>121</v>
      </c>
      <c r="AH37" s="18">
        <v>62</v>
      </c>
      <c r="AI37" s="18">
        <v>34</v>
      </c>
      <c r="AJ37" s="18">
        <v>18</v>
      </c>
      <c r="AK37" s="18">
        <v>8</v>
      </c>
      <c r="AL37" s="18">
        <v>4</v>
      </c>
      <c r="AM37" s="18">
        <v>2</v>
      </c>
      <c r="AN37" s="16">
        <v>1</v>
      </c>
      <c r="AP37" s="47">
        <v>18</v>
      </c>
      <c r="AQ37" s="42">
        <f t="shared" si="13"/>
        <v>1.764750639499497E-8</v>
      </c>
      <c r="AR37" s="42">
        <f t="shared" si="14"/>
        <v>5.2573773787709722E-5</v>
      </c>
      <c r="AS37" s="42">
        <f t="shared" si="15"/>
        <v>2.4175197646609886E-2</v>
      </c>
      <c r="AT37" s="42">
        <f t="shared" si="16"/>
        <v>0.53947809947845937</v>
      </c>
      <c r="AU37" s="42">
        <f t="shared" si="17"/>
        <v>0.6580645323545562</v>
      </c>
      <c r="AV37" s="42">
        <f t="shared" si="18"/>
        <v>0.66165283908489991</v>
      </c>
      <c r="AW37" s="42">
        <f t="shared" si="19"/>
        <v>0.66185413475437826</v>
      </c>
      <c r="AX37" s="42">
        <f t="shared" si="20"/>
        <v>0.66187501735367182</v>
      </c>
      <c r="AY37" s="42">
        <f t="shared" si="21"/>
        <v>0.66187848808956062</v>
      </c>
      <c r="AZ37" s="42">
        <f t="shared" si="22"/>
        <v>0.66187931410523537</v>
      </c>
      <c r="BA37" s="42">
        <f t="shared" si="23"/>
        <v>0.66187957262957542</v>
      </c>
      <c r="BC37" s="56">
        <v>18</v>
      </c>
      <c r="BD37" s="50">
        <f t="shared" si="29"/>
        <v>9.3290955344319193E-6</v>
      </c>
      <c r="BE37" s="50">
        <f t="shared" si="30"/>
        <v>2.3852167918180223E-2</v>
      </c>
      <c r="BF37" s="50">
        <f t="shared" si="31"/>
        <v>8.9618231536860034</v>
      </c>
      <c r="BG37" s="50">
        <f t="shared" si="32"/>
        <v>137.37826299077651</v>
      </c>
      <c r="BH37" s="50">
        <f t="shared" si="33"/>
        <v>84.850792980009572</v>
      </c>
      <c r="BI37" s="50">
        <f t="shared" si="34"/>
        <v>41.772595680588388</v>
      </c>
      <c r="BJ37" s="50">
        <f t="shared" si="35"/>
        <v>20.087021007899843</v>
      </c>
      <c r="BK37" s="50">
        <f t="shared" si="36"/>
        <v>7.3634810206334516</v>
      </c>
      <c r="BL37" s="50">
        <f t="shared" si="37"/>
        <v>3.2303223949905919</v>
      </c>
      <c r="BM37" s="50">
        <f t="shared" si="38"/>
        <v>1.5270024075554609</v>
      </c>
      <c r="BN37" s="50">
        <f t="shared" si="39"/>
        <v>1.5695554558301648</v>
      </c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C37" s="96"/>
      <c r="CD37" s="96"/>
      <c r="CE37" s="122"/>
      <c r="CF37" s="122"/>
      <c r="CG37" s="122"/>
      <c r="CH37" s="122"/>
      <c r="CI37" s="122"/>
      <c r="CJ37" s="122"/>
      <c r="CK37" s="122"/>
      <c r="CL37" s="122"/>
      <c r="CM37" s="122"/>
      <c r="CN37" s="122"/>
      <c r="CP37" s="96"/>
      <c r="CQ37" s="96"/>
      <c r="CR37" s="122"/>
      <c r="CS37" s="122"/>
      <c r="CT37" s="122"/>
      <c r="CU37" s="122"/>
      <c r="CV37" s="122"/>
      <c r="CW37" s="122"/>
      <c r="CX37" s="122"/>
      <c r="CY37" s="122"/>
      <c r="CZ37" s="122"/>
      <c r="DA37" s="122"/>
    </row>
    <row r="38" spans="1:105">
      <c r="A38" s="164"/>
      <c r="B38" s="8" t="s">
        <v>76</v>
      </c>
      <c r="C38" s="70">
        <f>C37/(M+C36)</f>
        <v>3466.9619885688826</v>
      </c>
      <c r="D38" s="101"/>
      <c r="E38" s="94">
        <v>19</v>
      </c>
      <c r="F38" s="74">
        <f t="shared" si="53"/>
        <v>-4.1779482570173852E-2</v>
      </c>
      <c r="G38" s="98">
        <f t="shared" si="54"/>
        <v>0.72024469232899091</v>
      </c>
      <c r="H38" s="98">
        <v>0.10311390266309678</v>
      </c>
      <c r="I38" s="18">
        <f t="shared" si="8"/>
        <v>260</v>
      </c>
      <c r="J38" s="18">
        <v>688.61433936124547</v>
      </c>
      <c r="K38" s="119">
        <f t="shared" si="25"/>
        <v>0.37756983138221378</v>
      </c>
      <c r="L38" s="118">
        <f t="shared" si="26"/>
        <v>0.41070340250563725</v>
      </c>
      <c r="M38" s="118">
        <f t="shared" si="9"/>
        <v>-1.9646777113366549</v>
      </c>
      <c r="N38" s="35">
        <f t="shared" si="10"/>
        <v>886.91244263428541</v>
      </c>
      <c r="O38" s="20">
        <f t="shared" si="11"/>
        <v>2029.641206797183</v>
      </c>
      <c r="P38" s="21">
        <v>19</v>
      </c>
      <c r="Q38" s="143">
        <f t="shared" si="55"/>
        <v>526.52171242271834</v>
      </c>
      <c r="R38" s="132">
        <f t="shared" si="40"/>
        <v>465.30636307599417</v>
      </c>
      <c r="S38" s="132">
        <f t="shared" si="41"/>
        <v>399.32786617034139</v>
      </c>
      <c r="T38" s="132">
        <f t="shared" si="42"/>
        <v>322.20369474554604</v>
      </c>
      <c r="U38" s="132">
        <f t="shared" si="43"/>
        <v>167.2209433422378</v>
      </c>
      <c r="V38" s="132">
        <f t="shared" si="44"/>
        <v>79.137737383117354</v>
      </c>
      <c r="W38" s="132">
        <f t="shared" si="45"/>
        <v>38.668892981441658</v>
      </c>
      <c r="X38" s="132">
        <f t="shared" si="46"/>
        <v>18.586749324376797</v>
      </c>
      <c r="Y38" s="132">
        <f t="shared" si="47"/>
        <v>6.8132160816793945</v>
      </c>
      <c r="Z38" s="132">
        <f t="shared" si="48"/>
        <v>2.988902273322148</v>
      </c>
      <c r="AA38" s="132">
        <f t="shared" si="49"/>
        <v>2.8651289964080568</v>
      </c>
      <c r="AC38" s="33">
        <v>19</v>
      </c>
      <c r="AD38" s="18">
        <v>0</v>
      </c>
      <c r="AE38" s="18">
        <v>0</v>
      </c>
      <c r="AF38" s="18">
        <v>29</v>
      </c>
      <c r="AG38" s="18">
        <v>109</v>
      </c>
      <c r="AH38" s="18">
        <v>56</v>
      </c>
      <c r="AI38" s="18">
        <v>32</v>
      </c>
      <c r="AJ38" s="18">
        <v>18</v>
      </c>
      <c r="AK38" s="18">
        <v>9</v>
      </c>
      <c r="AL38" s="18">
        <v>4</v>
      </c>
      <c r="AM38" s="18">
        <v>2</v>
      </c>
      <c r="AN38" s="16">
        <v>1</v>
      </c>
      <c r="AP38" s="47">
        <v>19</v>
      </c>
      <c r="AQ38" s="42">
        <f t="shared" si="13"/>
        <v>1.9203672485559684E-8</v>
      </c>
      <c r="AR38" s="42">
        <f t="shared" si="14"/>
        <v>5.7209755902704566E-5</v>
      </c>
      <c r="AS38" s="42">
        <f t="shared" si="15"/>
        <v>2.6306978872144605E-2</v>
      </c>
      <c r="AT38" s="42">
        <f t="shared" si="16"/>
        <v>0.58704955270364545</v>
      </c>
      <c r="AU38" s="42">
        <f t="shared" si="17"/>
        <v>0.71609299755142508</v>
      </c>
      <c r="AV38" s="42">
        <f t="shared" si="18"/>
        <v>0.71999772299449349</v>
      </c>
      <c r="AW38" s="42">
        <f t="shared" si="19"/>
        <v>0.7202167690184984</v>
      </c>
      <c r="AX38" s="42">
        <f t="shared" si="20"/>
        <v>0.72023949305601986</v>
      </c>
      <c r="AY38" s="42">
        <f t="shared" si="21"/>
        <v>0.72024326984316478</v>
      </c>
      <c r="AZ38" s="42">
        <f t="shared" si="22"/>
        <v>0.72024416869732188</v>
      </c>
      <c r="BA38" s="42">
        <f t="shared" si="23"/>
        <v>0.72024445001846971</v>
      </c>
      <c r="BC38" s="56">
        <v>19</v>
      </c>
      <c r="BD38" s="50">
        <f t="shared" si="29"/>
        <v>8.9463142284418884E-6</v>
      </c>
      <c r="BE38" s="50">
        <f t="shared" si="30"/>
        <v>2.3552703075006915E-2</v>
      </c>
      <c r="BF38" s="50">
        <f t="shared" si="31"/>
        <v>9.178716078890476</v>
      </c>
      <c r="BG38" s="50">
        <f t="shared" si="32"/>
        <v>128.12910165911521</v>
      </c>
      <c r="BH38" s="50">
        <f t="shared" si="33"/>
        <v>76.777769432919015</v>
      </c>
      <c r="BI38" s="50">
        <f t="shared" si="34"/>
        <v>36.473459460267257</v>
      </c>
      <c r="BJ38" s="50">
        <f t="shared" si="35"/>
        <v>17.825724117653117</v>
      </c>
      <c r="BK38" s="50">
        <f t="shared" si="36"/>
        <v>8.5683744411277001</v>
      </c>
      <c r="BL38" s="50">
        <f t="shared" si="37"/>
        <v>3.1408612098990116</v>
      </c>
      <c r="BM38" s="50">
        <f t="shared" si="38"/>
        <v>1.3778713703425514</v>
      </c>
      <c r="BN38" s="50">
        <f t="shared" si="39"/>
        <v>1.3208127702315333</v>
      </c>
      <c r="BQ38" s="96"/>
      <c r="BR38" s="96"/>
      <c r="BS38" s="96"/>
      <c r="BT38" s="96"/>
      <c r="BU38" s="96"/>
      <c r="BV38" s="96"/>
      <c r="BW38" s="96"/>
      <c r="BX38" s="96"/>
      <c r="BY38" s="96"/>
      <c r="BZ38" s="96"/>
      <c r="CA38" s="96"/>
      <c r="CC38" s="96"/>
      <c r="CD38" s="96"/>
      <c r="CE38" s="122"/>
      <c r="CF38" s="122"/>
      <c r="CG38" s="122"/>
      <c r="CH38" s="122"/>
      <c r="CI38" s="122"/>
      <c r="CJ38" s="122"/>
      <c r="CK38" s="122"/>
      <c r="CL38" s="122"/>
      <c r="CM38" s="122"/>
      <c r="CN38" s="122"/>
      <c r="CP38" s="96"/>
      <c r="CQ38" s="96"/>
      <c r="CR38" s="122"/>
      <c r="CS38" s="122"/>
      <c r="CT38" s="122"/>
      <c r="CU38" s="122"/>
      <c r="CV38" s="122"/>
      <c r="CW38" s="122"/>
      <c r="CX38" s="122"/>
      <c r="CY38" s="122"/>
      <c r="CZ38" s="122"/>
      <c r="DA38" s="122"/>
    </row>
    <row r="39" spans="1:105" ht="17" thickBot="1">
      <c r="A39" s="164"/>
      <c r="B39" s="8" t="s">
        <v>80</v>
      </c>
      <c r="C39" s="63">
        <f>C36/(M+C36)*(C37+C38*(1-EXP(-(M+C36))))</f>
        <v>1165.1082527394703</v>
      </c>
      <c r="D39" s="103"/>
      <c r="E39" s="94">
        <v>20</v>
      </c>
      <c r="F39" s="75">
        <f t="shared" si="53"/>
        <v>2.0698931184406411E-2</v>
      </c>
      <c r="G39" s="99">
        <f t="shared" si="54"/>
        <v>0.78309326905721743</v>
      </c>
      <c r="H39" s="98">
        <v>0.16596247939132328</v>
      </c>
      <c r="I39" s="18">
        <f t="shared" si="8"/>
        <v>237</v>
      </c>
      <c r="J39" s="19">
        <v>650.4674884686558</v>
      </c>
      <c r="K39" s="120">
        <f t="shared" si="25"/>
        <v>0.36435333694840055</v>
      </c>
      <c r="L39" s="118">
        <f t="shared" si="26"/>
        <v>0.40538525546819798</v>
      </c>
      <c r="M39" s="118">
        <f t="shared" si="9"/>
        <v>-1.7191773721202015</v>
      </c>
      <c r="N39" s="36">
        <f t="shared" si="10"/>
        <v>735.25615486959487</v>
      </c>
      <c r="O39" s="25">
        <f t="shared" si="11"/>
        <v>2306.0093367581417</v>
      </c>
      <c r="P39" s="24">
        <v>20</v>
      </c>
      <c r="Q39" s="144" cm="1">
        <f t="array" ref="Q39">(bha*SUM(Q38:AA38))/(1+bhb*SUM(Q38:AA38))</f>
        <v>971.02255131132381</v>
      </c>
      <c r="R39" s="132">
        <f t="shared" si="40"/>
        <v>410.05551406433824</v>
      </c>
      <c r="S39" s="132">
        <f t="shared" si="41"/>
        <v>362.36022879844739</v>
      </c>
      <c r="T39" s="132">
        <f t="shared" si="42"/>
        <v>302.92214349084264</v>
      </c>
      <c r="U39" s="132">
        <f t="shared" si="43"/>
        <v>139.50973520134301</v>
      </c>
      <c r="V39" s="132">
        <f t="shared" si="44"/>
        <v>63.638775006016665</v>
      </c>
      <c r="W39" s="132">
        <f t="shared" si="45"/>
        <v>29.999842225549216</v>
      </c>
      <c r="X39" s="132">
        <f t="shared" si="46"/>
        <v>14.655544219215987</v>
      </c>
      <c r="Y39" s="132">
        <f t="shared" si="47"/>
        <v>7.0442341551519849</v>
      </c>
      <c r="Z39" s="132">
        <f t="shared" si="48"/>
        <v>2.5821464167319443</v>
      </c>
      <c r="AA39" s="132">
        <f t="shared" si="49"/>
        <v>2.2186218691803123</v>
      </c>
      <c r="AC39" s="34">
        <v>20</v>
      </c>
      <c r="AD39" s="19">
        <v>0</v>
      </c>
      <c r="AE39" s="19">
        <v>0</v>
      </c>
      <c r="AF39" s="19">
        <v>25</v>
      </c>
      <c r="AG39" s="19">
        <v>102</v>
      </c>
      <c r="AH39" s="19">
        <v>49</v>
      </c>
      <c r="AI39" s="19">
        <v>28</v>
      </c>
      <c r="AJ39" s="19">
        <v>16</v>
      </c>
      <c r="AK39" s="19">
        <v>9</v>
      </c>
      <c r="AL39" s="19">
        <v>5</v>
      </c>
      <c r="AM39" s="19">
        <v>2</v>
      </c>
      <c r="AN39" s="17">
        <v>1</v>
      </c>
      <c r="AP39" s="48">
        <v>20</v>
      </c>
      <c r="AQ39" s="42">
        <f t="shared" si="13"/>
        <v>2.0879385609900401E-8</v>
      </c>
      <c r="AR39" s="42">
        <f t="shared" si="14"/>
        <v>6.2201881178668251E-5</v>
      </c>
      <c r="AS39" s="42">
        <f t="shared" si="15"/>
        <v>2.860252675711062E-2</v>
      </c>
      <c r="AT39" s="42">
        <f t="shared" si="16"/>
        <v>0.63827551694790985</v>
      </c>
      <c r="AU39" s="42">
        <f t="shared" si="17"/>
        <v>0.7785792972499711</v>
      </c>
      <c r="AV39" s="42">
        <f t="shared" si="18"/>
        <v>0.78282474917006195</v>
      </c>
      <c r="AW39" s="42">
        <f t="shared" si="19"/>
        <v>0.78306290915768695</v>
      </c>
      <c r="AX39" s="42">
        <f t="shared" si="20"/>
        <v>0.78308761609550737</v>
      </c>
      <c r="AY39" s="42">
        <f t="shared" si="21"/>
        <v>0.78309172244522895</v>
      </c>
      <c r="AZ39" s="42">
        <f t="shared" si="22"/>
        <v>0.78309269973343087</v>
      </c>
      <c r="BA39" s="42">
        <f t="shared" si="23"/>
        <v>0.78309300560267181</v>
      </c>
      <c r="BC39" s="57">
        <v>20</v>
      </c>
      <c r="BD39" s="50">
        <f t="shared" si="29"/>
        <v>1.7938684986588816E-5</v>
      </c>
      <c r="BE39" s="50">
        <f t="shared" si="30"/>
        <v>2.2567154770750126E-2</v>
      </c>
      <c r="BF39" s="50">
        <f t="shared" si="31"/>
        <v>9.0458799046655489</v>
      </c>
      <c r="BG39" s="50">
        <f t="shared" si="32"/>
        <v>128.12619871907356</v>
      </c>
      <c r="BH39" s="50">
        <f t="shared" si="33"/>
        <v>67.84735210557406</v>
      </c>
      <c r="BI39" s="50">
        <f t="shared" si="34"/>
        <v>31.063160323956655</v>
      </c>
      <c r="BJ39" s="50">
        <f t="shared" si="35"/>
        <v>14.646435273419341</v>
      </c>
      <c r="BK39" s="50">
        <f t="shared" si="36"/>
        <v>7.1552392742015973</v>
      </c>
      <c r="BL39" s="50">
        <f t="shared" si="37"/>
        <v>3.4392007868154462</v>
      </c>
      <c r="BM39" s="50">
        <f t="shared" si="38"/>
        <v>1.2606803337399879</v>
      </c>
      <c r="BN39" s="50">
        <f t="shared" si="39"/>
        <v>1.0831971717213011</v>
      </c>
      <c r="BQ39" s="96"/>
      <c r="BR39" s="96"/>
      <c r="BS39" s="96"/>
      <c r="BT39" s="96"/>
      <c r="BU39" s="96"/>
      <c r="BV39" s="96"/>
      <c r="BW39" s="96"/>
      <c r="BX39" s="96"/>
      <c r="BY39" s="96"/>
      <c r="BZ39" s="96"/>
      <c r="CA39" s="96"/>
      <c r="CC39" s="96"/>
      <c r="CD39" s="96"/>
      <c r="CE39" s="122"/>
      <c r="CF39" s="122"/>
      <c r="CG39" s="122"/>
      <c r="CH39" s="122"/>
      <c r="CI39" s="122"/>
      <c r="CJ39" s="122"/>
      <c r="CK39" s="122"/>
      <c r="CL39" s="122"/>
      <c r="CM39" s="122"/>
      <c r="CN39" s="122"/>
      <c r="CP39" s="96"/>
      <c r="CQ39" s="96"/>
      <c r="CR39" s="122"/>
      <c r="CS39" s="122"/>
      <c r="CT39" s="122"/>
      <c r="CU39" s="122"/>
      <c r="CV39" s="122"/>
      <c r="CW39" s="122"/>
      <c r="CX39" s="122"/>
      <c r="CY39" s="122"/>
      <c r="CZ39" s="122"/>
      <c r="DA39" s="122"/>
    </row>
    <row r="40" spans="1:105" ht="17" thickBot="1">
      <c r="A40" s="162" t="s">
        <v>8</v>
      </c>
      <c r="B40" s="8" t="s">
        <v>9</v>
      </c>
      <c r="C40" s="67">
        <f>(4*h*Ro)/((1-h)*C34)</f>
        <v>0.5555346145339316</v>
      </c>
      <c r="D40" s="104"/>
    </row>
    <row r="41" spans="1:105">
      <c r="A41" s="162"/>
      <c r="B41" s="8" t="s">
        <v>10</v>
      </c>
      <c r="C41" s="66">
        <f>(5*h-1)/((1-h)*C34)</f>
        <v>7.9415069787060067E-5</v>
      </c>
      <c r="D41" s="103"/>
      <c r="H41" s="58"/>
      <c r="K41" s="79" t="s">
        <v>78</v>
      </c>
      <c r="L41" s="80" t="s">
        <v>77</v>
      </c>
      <c r="AP41" s="156" t="s">
        <v>49</v>
      </c>
      <c r="AQ41" s="157"/>
      <c r="AR41" s="157"/>
      <c r="AS41" s="157"/>
      <c r="AT41" s="157"/>
      <c r="AU41" s="157"/>
      <c r="AV41" s="157"/>
      <c r="AW41" s="157"/>
      <c r="AX41" s="157"/>
      <c r="AY41" s="157"/>
      <c r="AZ41" s="157"/>
      <c r="BA41" s="158"/>
      <c r="BC41" s="171" t="s">
        <v>51</v>
      </c>
      <c r="BD41" s="172"/>
      <c r="BE41" s="172"/>
      <c r="BF41" s="172"/>
      <c r="BG41" s="172"/>
      <c r="BH41" s="172"/>
      <c r="BI41" s="172"/>
      <c r="BJ41" s="172"/>
      <c r="BK41" s="172"/>
      <c r="BL41" s="172"/>
      <c r="BM41" s="172"/>
      <c r="BN41" s="173"/>
    </row>
    <row r="42" spans="1:105" ht="17" thickBot="1">
      <c r="A42" s="163"/>
      <c r="B42" s="61" t="s">
        <v>75</v>
      </c>
      <c r="C42" s="69">
        <f>(4*h)/(1-h)</f>
        <v>3.035971857589669</v>
      </c>
      <c r="K42" s="81">
        <f t="shared" ref="K42:K61" si="56">O20/$C$38</f>
        <v>4.9225553516276461</v>
      </c>
      <c r="L42" s="82">
        <f t="shared" ref="L42:L61" si="57">G20/$C$36</f>
        <v>3.1465158347807556</v>
      </c>
      <c r="AP42" s="37"/>
      <c r="AQ42" s="41" t="s">
        <v>37</v>
      </c>
      <c r="AR42" s="41"/>
      <c r="AS42" s="41"/>
      <c r="AT42" s="41"/>
      <c r="AU42" s="41"/>
      <c r="AV42" s="41"/>
      <c r="AW42" s="41"/>
      <c r="AX42" s="41"/>
      <c r="AY42" s="41"/>
      <c r="AZ42" s="41"/>
      <c r="BA42" s="43"/>
      <c r="BC42" s="52"/>
      <c r="BD42" s="49" t="s">
        <v>37</v>
      </c>
      <c r="BE42" s="49"/>
      <c r="BF42" s="49"/>
      <c r="BG42" s="49"/>
      <c r="BH42" s="49"/>
      <c r="BI42" s="49"/>
      <c r="BJ42" s="49"/>
      <c r="BK42" s="49"/>
      <c r="BL42" s="49"/>
      <c r="BM42" s="49"/>
      <c r="BN42" s="53"/>
    </row>
    <row r="43" spans="1:105">
      <c r="K43" s="81">
        <f t="shared" si="56"/>
        <v>4.3540691449183537</v>
      </c>
      <c r="L43" s="82">
        <f t="shared" si="57"/>
        <v>3.7775417168098615</v>
      </c>
      <c r="AP43" s="46" t="s">
        <v>38</v>
      </c>
      <c r="AQ43" s="44">
        <v>0</v>
      </c>
      <c r="AR43" s="44">
        <v>1</v>
      </c>
      <c r="AS43" s="44">
        <v>2</v>
      </c>
      <c r="AT43" s="44">
        <v>3</v>
      </c>
      <c r="AU43" s="44">
        <v>4</v>
      </c>
      <c r="AV43" s="44">
        <v>5</v>
      </c>
      <c r="AW43" s="44">
        <v>6</v>
      </c>
      <c r="AX43" s="44">
        <v>7</v>
      </c>
      <c r="AY43" s="44">
        <v>8</v>
      </c>
      <c r="AZ43" s="44">
        <v>9</v>
      </c>
      <c r="BA43" s="45">
        <v>10</v>
      </c>
      <c r="BC43" s="54" t="s">
        <v>38</v>
      </c>
      <c r="BD43" s="51">
        <v>0</v>
      </c>
      <c r="BE43" s="51">
        <v>1</v>
      </c>
      <c r="BF43" s="51">
        <v>2</v>
      </c>
      <c r="BG43" s="51">
        <v>3</v>
      </c>
      <c r="BH43" s="51">
        <v>4</v>
      </c>
      <c r="BI43" s="51">
        <v>5</v>
      </c>
      <c r="BJ43" s="51">
        <v>6</v>
      </c>
      <c r="BK43" s="51">
        <v>7</v>
      </c>
      <c r="BL43" s="51">
        <v>8</v>
      </c>
      <c r="BM43" s="51">
        <v>9</v>
      </c>
      <c r="BN43" s="55">
        <v>10</v>
      </c>
    </row>
    <row r="44" spans="1:105">
      <c r="K44" s="81">
        <f t="shared" si="56"/>
        <v>3.7519575967123062</v>
      </c>
      <c r="L44" s="82">
        <f t="shared" si="57"/>
        <v>2.72193861731364</v>
      </c>
      <c r="AP44" s="47">
        <v>1</v>
      </c>
      <c r="AQ44" s="42">
        <f t="shared" ref="AQ44:BA44" si="58">AQ20+M</f>
        <v>0.25000001557092755</v>
      </c>
      <c r="AR44" s="42">
        <f t="shared" si="58"/>
        <v>0.25004638742746982</v>
      </c>
      <c r="AS44" s="42">
        <f t="shared" si="58"/>
        <v>0.27133050657403879</v>
      </c>
      <c r="AT44" s="42">
        <f t="shared" si="58"/>
        <v>0.72599781047039003</v>
      </c>
      <c r="AU44" s="42">
        <f t="shared" si="58"/>
        <v>0.83063019954250628</v>
      </c>
      <c r="AV44" s="42">
        <f t="shared" si="58"/>
        <v>0.83379627087810071</v>
      </c>
      <c r="AW44" s="42">
        <f t="shared" si="58"/>
        <v>0.83397388012307572</v>
      </c>
      <c r="AX44" s="42">
        <f t="shared" si="58"/>
        <v>0.83399230547074088</v>
      </c>
      <c r="AY44" s="42">
        <f t="shared" si="58"/>
        <v>0.83399536780577432</v>
      </c>
      <c r="AZ44" s="42">
        <f t="shared" si="58"/>
        <v>0.83399609662433616</v>
      </c>
      <c r="BA44" s="42">
        <f t="shared" si="58"/>
        <v>0.83399632472816454</v>
      </c>
      <c r="BC44" s="56">
        <v>1</v>
      </c>
      <c r="BD44" s="50">
        <f t="shared" ref="BD44:BD63" si="59">IFERROR(-(-LN(sigmaCC)-0.5*((LN(AD20)-LN(BD20))/sigmaCC)^2),0)</f>
        <v>0</v>
      </c>
      <c r="BE44" s="50">
        <f t="shared" ref="BE44:BE63" si="60">IFERROR(-(-LN(sigmaCC)-0.5*((LN(AE20)-LN(BE20))/sigmaCC)^2),0)</f>
        <v>0</v>
      </c>
      <c r="BF44" s="50">
        <f t="shared" ref="BF44:BF63" si="61">IFERROR(-(-LN(sigmaCC)-0.5*((LN(AF20)-LN(BF20))/sigmaCC)^2),0)</f>
        <v>0.78918631816826568</v>
      </c>
      <c r="BG44" s="50">
        <f t="shared" ref="BG44:BG63" si="62">IFERROR(-(-LN(sigmaCC)-0.5*((LN(AG20)-LN(BG20))/sigmaCC)^2),0)</f>
        <v>-0.98998339537696345</v>
      </c>
      <c r="BH44" s="50">
        <f t="shared" ref="BH44:BH63" si="63">IFERROR(-(-LN(sigmaCC)-0.5*((LN(AH20)-LN(BH20))/sigmaCC)^2),0)</f>
        <v>-0.78195061552105316</v>
      </c>
      <c r="BI44" s="50">
        <f t="shared" ref="BI44:BI63" si="64">IFERROR(-(-LN(sigmaCC)-0.5*((LN(AI20)-LN(BI20))/sigmaCC)^2),0)</f>
        <v>-0.55857186291329286</v>
      </c>
      <c r="BJ44" s="50">
        <f t="shared" ref="BJ44:BJ63" si="65">IFERROR(-(-LN(sigmaCC)-0.5*((LN(AJ20)-LN(BJ20))/sigmaCC)^2),0)</f>
        <v>-0.54984744152388154</v>
      </c>
      <c r="BK44" s="50">
        <f t="shared" ref="BK44:BK63" si="66">IFERROR(-(-LN(sigmaCC)-0.5*((LN(AK20)-LN(BK20))/sigmaCC)^2),0)</f>
        <v>-0.55405294718891618</v>
      </c>
      <c r="BL44" s="50">
        <f t="shared" ref="BL44:BL63" si="67">IFERROR(-(-LN(sigmaCC)-0.5*((LN(AL20)-LN(BL20))/sigmaCC)^2),0)</f>
        <v>-0.54863252996675804</v>
      </c>
      <c r="BM44" s="50">
        <f t="shared" ref="BM44:BM63" si="68">IFERROR(-(-LN(sigmaCC)-0.5*((LN(AM20)-LN(BM20))/sigmaCC)^2),0)</f>
        <v>-0.5483087389323924</v>
      </c>
      <c r="BN44" s="50">
        <f t="shared" ref="BN44:BN63" si="69">IFERROR(-(-LN(sigmaCC)-0.5*((LN(AN20)-LN(BN20))/sigmaCC)^2),0)</f>
        <v>-0.56387049902206177</v>
      </c>
    </row>
    <row r="45" spans="1:105">
      <c r="K45" s="81">
        <f t="shared" si="56"/>
        <v>3.2694756728664509</v>
      </c>
      <c r="L45" s="82">
        <f t="shared" si="57"/>
        <v>3.5199077949452895</v>
      </c>
      <c r="AP45" s="47">
        <v>2</v>
      </c>
      <c r="AQ45" s="42">
        <f t="shared" ref="AQ45:BA45" si="70">AQ21+M</f>
        <v>0.25000001869363814</v>
      </c>
      <c r="AR45" s="42">
        <f t="shared" si="70"/>
        <v>0.25005569031004571</v>
      </c>
      <c r="AS45" s="42">
        <f t="shared" si="70"/>
        <v>0.27560828632528811</v>
      </c>
      <c r="AT45" s="42">
        <f t="shared" si="70"/>
        <v>0.8214579810107141</v>
      </c>
      <c r="AU45" s="42">
        <f t="shared" si="70"/>
        <v>0.9470741340522385</v>
      </c>
      <c r="AV45" s="42">
        <f t="shared" si="70"/>
        <v>0.95087515307664694</v>
      </c>
      <c r="AW45" s="42">
        <f t="shared" si="70"/>
        <v>0.95108838141154617</v>
      </c>
      <c r="AX45" s="42">
        <f t="shared" si="70"/>
        <v>0.9511105019166084</v>
      </c>
      <c r="AY45" s="42">
        <f t="shared" si="70"/>
        <v>0.95111417839527468</v>
      </c>
      <c r="AZ45" s="42">
        <f t="shared" si="70"/>
        <v>0.95111505337657642</v>
      </c>
      <c r="BA45" s="42">
        <f t="shared" si="70"/>
        <v>0.95111532722605718</v>
      </c>
      <c r="BC45" s="56">
        <v>2</v>
      </c>
      <c r="BD45" s="50">
        <f t="shared" si="59"/>
        <v>0</v>
      </c>
      <c r="BE45" s="50">
        <f t="shared" si="60"/>
        <v>0</v>
      </c>
      <c r="BF45" s="50">
        <f t="shared" si="61"/>
        <v>1.5900306781756519</v>
      </c>
      <c r="BG45" s="50">
        <f t="shared" si="62"/>
        <v>-0.77982275228143516</v>
      </c>
      <c r="BH45" s="50">
        <f t="shared" si="63"/>
        <v>-0.37787015946358427</v>
      </c>
      <c r="BI45" s="50">
        <f t="shared" si="64"/>
        <v>-0.94598063424817969</v>
      </c>
      <c r="BJ45" s="50">
        <f t="shared" si="65"/>
        <v>-0.79237740958069292</v>
      </c>
      <c r="BK45" s="50">
        <f t="shared" si="66"/>
        <v>-0.7914922601440133</v>
      </c>
      <c r="BL45" s="50">
        <f t="shared" si="67"/>
        <v>-0.78638832512477164</v>
      </c>
      <c r="BM45" s="50">
        <f t="shared" si="68"/>
        <v>-0.80239333139310665</v>
      </c>
      <c r="BN45" s="50">
        <f t="shared" si="69"/>
        <v>-0.58959672231396065</v>
      </c>
    </row>
    <row r="46" spans="1:105">
      <c r="K46" s="81">
        <f t="shared" si="56"/>
        <v>2.7725596041513243</v>
      </c>
      <c r="L46" s="82">
        <f t="shared" si="57"/>
        <v>3.0085745819036496</v>
      </c>
      <c r="AP46" s="47">
        <v>3</v>
      </c>
      <c r="AQ46" s="42">
        <f t="shared" ref="AQ46:BA46" si="71">AQ22+M</f>
        <v>0.25000001346985401</v>
      </c>
      <c r="AR46" s="42">
        <f t="shared" si="71"/>
        <v>0.25004012810893633</v>
      </c>
      <c r="AS46" s="42">
        <f t="shared" si="71"/>
        <v>0.26845226041100922</v>
      </c>
      <c r="AT46" s="42">
        <f t="shared" si="71"/>
        <v>0.66176872773194595</v>
      </c>
      <c r="AU46" s="42">
        <f t="shared" si="71"/>
        <v>0.75228247544268123</v>
      </c>
      <c r="AV46" s="42">
        <f t="shared" si="71"/>
        <v>0.75502133082623435</v>
      </c>
      <c r="AW46" s="42">
        <f t="shared" si="71"/>
        <v>0.75517497424901503</v>
      </c>
      <c r="AX46" s="42">
        <f t="shared" si="71"/>
        <v>0.75519091336007649</v>
      </c>
      <c r="AY46" s="42">
        <f t="shared" si="71"/>
        <v>0.75519356247688518</v>
      </c>
      <c r="AZ46" s="42">
        <f t="shared" si="71"/>
        <v>0.7551941929518271</v>
      </c>
      <c r="BA46" s="42">
        <f t="shared" si="71"/>
        <v>0.75519439027631297</v>
      </c>
      <c r="BC46" s="56">
        <v>3</v>
      </c>
      <c r="BD46" s="50">
        <f t="shared" si="59"/>
        <v>0</v>
      </c>
      <c r="BE46" s="50">
        <f t="shared" si="60"/>
        <v>0</v>
      </c>
      <c r="BF46" s="50">
        <f t="shared" si="61"/>
        <v>-0.99664625395102902</v>
      </c>
      <c r="BG46" s="50">
        <f t="shared" si="62"/>
        <v>-0.6715384857716451</v>
      </c>
      <c r="BH46" s="50">
        <f t="shared" si="63"/>
        <v>-0.65764855061537486</v>
      </c>
      <c r="BI46" s="50">
        <f t="shared" si="64"/>
        <v>-0.91474967531730655</v>
      </c>
      <c r="BJ46" s="50">
        <f t="shared" si="65"/>
        <v>-0.42250045097371669</v>
      </c>
      <c r="BK46" s="50">
        <f t="shared" si="66"/>
        <v>-5.5570762032101428E-2</v>
      </c>
      <c r="BL46" s="50">
        <f t="shared" si="67"/>
        <v>-8.4433371057657913E-2</v>
      </c>
      <c r="BM46" s="50">
        <f t="shared" si="68"/>
        <v>-0.11657443394389566</v>
      </c>
      <c r="BN46" s="50">
        <f t="shared" si="69"/>
        <v>-0.51727284582152344</v>
      </c>
    </row>
    <row r="47" spans="1:105">
      <c r="K47" s="81">
        <f t="shared" si="56"/>
        <v>2.4188304791866564</v>
      </c>
      <c r="L47" s="82">
        <f t="shared" si="57"/>
        <v>3.2622273117142022</v>
      </c>
      <c r="AP47" s="47">
        <v>4</v>
      </c>
      <c r="AQ47" s="42">
        <f t="shared" ref="AQ47:BA47" si="72">AQ23+M</f>
        <v>0.25000001741870442</v>
      </c>
      <c r="AR47" s="42">
        <f t="shared" si="72"/>
        <v>0.25005189214868512</v>
      </c>
      <c r="AS47" s="42">
        <f t="shared" si="72"/>
        <v>0.27386176339243579</v>
      </c>
      <c r="AT47" s="42">
        <f t="shared" si="72"/>
        <v>0.78248370306337911</v>
      </c>
      <c r="AU47" s="42">
        <f t="shared" si="72"/>
        <v>0.89953264902056751</v>
      </c>
      <c r="AV47" s="42">
        <f t="shared" si="72"/>
        <v>0.9030744329360737</v>
      </c>
      <c r="AW47" s="42">
        <f t="shared" si="72"/>
        <v>0.90327311878374417</v>
      </c>
      <c r="AX47" s="42">
        <f t="shared" si="72"/>
        <v>0.90329373063770468</v>
      </c>
      <c r="AY47" s="42">
        <f t="shared" si="72"/>
        <v>0.90329715637509833</v>
      </c>
      <c r="AZ47" s="42">
        <f t="shared" si="72"/>
        <v>0.90329797168138359</v>
      </c>
      <c r="BA47" s="42">
        <f t="shared" si="72"/>
        <v>0.90329822685392547</v>
      </c>
      <c r="BC47" s="56">
        <v>4</v>
      </c>
      <c r="BD47" s="50">
        <f t="shared" si="59"/>
        <v>0</v>
      </c>
      <c r="BE47" s="50">
        <f t="shared" si="60"/>
        <v>0</v>
      </c>
      <c r="BF47" s="50">
        <f t="shared" si="61"/>
        <v>0.14981317733843325</v>
      </c>
      <c r="BG47" s="50">
        <f t="shared" si="62"/>
        <v>-0.7819875626785322</v>
      </c>
      <c r="BH47" s="50">
        <f t="shared" si="63"/>
        <v>-0.56867772191138943</v>
      </c>
      <c r="BI47" s="50">
        <f t="shared" si="64"/>
        <v>-0.78037514147339082</v>
      </c>
      <c r="BJ47" s="50">
        <f t="shared" si="65"/>
        <v>-0.97866782255037565</v>
      </c>
      <c r="BK47" s="50">
        <f t="shared" si="66"/>
        <v>-0.25996302131376126</v>
      </c>
      <c r="BL47" s="50">
        <f t="shared" si="67"/>
        <v>0.2058457155340796</v>
      </c>
      <c r="BM47" s="50">
        <f t="shared" si="68"/>
        <v>0.21466788521609481</v>
      </c>
      <c r="BN47" s="50">
        <f t="shared" si="69"/>
        <v>-0.10499404536432633</v>
      </c>
    </row>
    <row r="48" spans="1:105">
      <c r="K48" s="81">
        <f t="shared" si="56"/>
        <v>2.1312471512325777</v>
      </c>
      <c r="L48" s="82">
        <f t="shared" si="57"/>
        <v>2.9599029227491713</v>
      </c>
      <c r="AP48" s="47">
        <v>5</v>
      </c>
      <c r="AQ48" s="42">
        <f t="shared" ref="AQ48:BA48" si="73">AQ24+M</f>
        <v>0.25000001488830798</v>
      </c>
      <c r="AR48" s="42">
        <f t="shared" si="73"/>
        <v>0.25004435383215395</v>
      </c>
      <c r="AS48" s="42">
        <f t="shared" si="73"/>
        <v>0.27039539073295443</v>
      </c>
      <c r="AT48" s="42">
        <f t="shared" si="73"/>
        <v>0.70513036921449057</v>
      </c>
      <c r="AU48" s="42">
        <f t="shared" si="73"/>
        <v>0.80517574090039423</v>
      </c>
      <c r="AV48" s="42">
        <f t="shared" si="73"/>
        <v>0.80820301368239411</v>
      </c>
      <c r="AW48" s="42">
        <f t="shared" si="73"/>
        <v>0.80837283665103654</v>
      </c>
      <c r="AX48" s="42">
        <f t="shared" si="73"/>
        <v>0.80839045424317935</v>
      </c>
      <c r="AY48" s="42">
        <f t="shared" si="73"/>
        <v>0.80839338232739266</v>
      </c>
      <c r="AZ48" s="42">
        <f t="shared" si="73"/>
        <v>0.80839407919501227</v>
      </c>
      <c r="BA48" s="42">
        <f t="shared" si="73"/>
        <v>0.80839429729891388</v>
      </c>
      <c r="BC48" s="56">
        <v>5</v>
      </c>
      <c r="BD48" s="50">
        <f t="shared" si="59"/>
        <v>0</v>
      </c>
      <c r="BE48" s="50">
        <f t="shared" si="60"/>
        <v>0</v>
      </c>
      <c r="BF48" s="50">
        <f t="shared" si="61"/>
        <v>-0.62752309912234994</v>
      </c>
      <c r="BG48" s="50">
        <f t="shared" si="62"/>
        <v>-1.0021038960089423</v>
      </c>
      <c r="BH48" s="50">
        <f t="shared" si="63"/>
        <v>-0.71760510902368901</v>
      </c>
      <c r="BI48" s="50">
        <f t="shared" si="64"/>
        <v>-0.87969448479541179</v>
      </c>
      <c r="BJ48" s="50">
        <f t="shared" si="65"/>
        <v>-0.9829854990418867</v>
      </c>
      <c r="BK48" s="50">
        <f t="shared" si="66"/>
        <v>-0.99013562333230931</v>
      </c>
      <c r="BL48" s="50">
        <f t="shared" si="67"/>
        <v>0.35087388197709113</v>
      </c>
      <c r="BM48" s="50">
        <f t="shared" si="68"/>
        <v>0.97390725850636195</v>
      </c>
      <c r="BN48" s="50">
        <f t="shared" si="69"/>
        <v>-0.3152539494489025</v>
      </c>
    </row>
    <row r="49" spans="11:66">
      <c r="K49" s="81">
        <f t="shared" si="56"/>
        <v>1.9182557013463497</v>
      </c>
      <c r="L49" s="82">
        <f t="shared" si="57"/>
        <v>3.3862134539550457</v>
      </c>
      <c r="AP49" s="47">
        <v>6</v>
      </c>
      <c r="AQ49" s="42">
        <f t="shared" ref="AQ49:BA49" si="74">AQ25+M</f>
        <v>0.25000001614354028</v>
      </c>
      <c r="AR49" s="42">
        <f t="shared" si="74"/>
        <v>0.25004809330089478</v>
      </c>
      <c r="AS49" s="42">
        <f t="shared" si="74"/>
        <v>0.27211492481599964</v>
      </c>
      <c r="AT49" s="42">
        <f t="shared" si="74"/>
        <v>0.74350238141765601</v>
      </c>
      <c r="AU49" s="42">
        <f t="shared" si="74"/>
        <v>0.85198257196617999</v>
      </c>
      <c r="AV49" s="42">
        <f t="shared" si="74"/>
        <v>0.85526507392203988</v>
      </c>
      <c r="AW49" s="42">
        <f t="shared" si="74"/>
        <v>0.85544921465426371</v>
      </c>
      <c r="AX49" s="42">
        <f t="shared" si="74"/>
        <v>0.85546831758446884</v>
      </c>
      <c r="AY49" s="42">
        <f t="shared" si="74"/>
        <v>0.8554714925352741</v>
      </c>
      <c r="AZ49" s="42">
        <f t="shared" si="74"/>
        <v>0.85547224815575806</v>
      </c>
      <c r="BA49" s="42">
        <f t="shared" si="74"/>
        <v>0.85547248464798564</v>
      </c>
      <c r="BC49" s="56">
        <v>6</v>
      </c>
      <c r="BD49" s="50">
        <f t="shared" si="59"/>
        <v>0</v>
      </c>
      <c r="BE49" s="50">
        <f t="shared" si="60"/>
        <v>0</v>
      </c>
      <c r="BF49" s="50">
        <f t="shared" si="61"/>
        <v>-0.14116358667118278</v>
      </c>
      <c r="BG49" s="50">
        <f t="shared" si="62"/>
        <v>-1.0053817437944934</v>
      </c>
      <c r="BH49" s="50">
        <f t="shared" si="63"/>
        <v>-0.99703081621447276</v>
      </c>
      <c r="BI49" s="50">
        <f t="shared" si="64"/>
        <v>-0.90537713617969384</v>
      </c>
      <c r="BJ49" s="50">
        <f t="shared" si="65"/>
        <v>-0.98808534046064134</v>
      </c>
      <c r="BK49" s="50">
        <f t="shared" si="66"/>
        <v>-1.0081752319886705</v>
      </c>
      <c r="BL49" s="50">
        <f t="shared" si="67"/>
        <v>-0.87481363396488621</v>
      </c>
      <c r="BM49" s="50">
        <f t="shared" si="68"/>
        <v>1.0304035049166733</v>
      </c>
      <c r="BN49" s="50">
        <f t="shared" si="69"/>
        <v>-0.33521027094755873</v>
      </c>
    </row>
    <row r="50" spans="11:66">
      <c r="K50" s="81">
        <f t="shared" si="56"/>
        <v>1.7099561109378223</v>
      </c>
      <c r="L50" s="82">
        <f t="shared" si="57"/>
        <v>2.909322965248081</v>
      </c>
      <c r="AP50" s="47">
        <v>7</v>
      </c>
      <c r="AQ50" s="42">
        <f t="shared" ref="AQ50:BA50" si="75">AQ26+M</f>
        <v>0.2500000146474502</v>
      </c>
      <c r="AR50" s="42">
        <f t="shared" si="75"/>
        <v>0.25004363629149073</v>
      </c>
      <c r="AS50" s="42">
        <f t="shared" si="75"/>
        <v>0.27006544129043514</v>
      </c>
      <c r="AT50" s="42">
        <f t="shared" si="75"/>
        <v>0.69776743052103019</v>
      </c>
      <c r="AU50" s="42">
        <f t="shared" si="75"/>
        <v>0.79619430344676745</v>
      </c>
      <c r="AV50" s="42">
        <f t="shared" si="75"/>
        <v>0.79917260207672225</v>
      </c>
      <c r="AW50" s="42">
        <f t="shared" si="75"/>
        <v>0.79933967770923542</v>
      </c>
      <c r="AX50" s="42">
        <f t="shared" si="75"/>
        <v>0.79935701029018225</v>
      </c>
      <c r="AY50" s="42">
        <f t="shared" si="75"/>
        <v>0.79935989100488125</v>
      </c>
      <c r="AZ50" s="42">
        <f t="shared" si="75"/>
        <v>0.79936057659882209</v>
      </c>
      <c r="BA50" s="42">
        <f t="shared" si="75"/>
        <v>0.79936079117431569</v>
      </c>
      <c r="BC50" s="56">
        <v>7</v>
      </c>
      <c r="BD50" s="50">
        <f t="shared" si="59"/>
        <v>0</v>
      </c>
      <c r="BE50" s="50">
        <f t="shared" si="60"/>
        <v>0</v>
      </c>
      <c r="BF50" s="50">
        <f t="shared" si="61"/>
        <v>-0.59686017904425026</v>
      </c>
      <c r="BG50" s="50">
        <f t="shared" si="62"/>
        <v>-1.0082745550054548</v>
      </c>
      <c r="BH50" s="50">
        <f t="shared" si="63"/>
        <v>-0.99607843675923524</v>
      </c>
      <c r="BI50" s="50">
        <f t="shared" si="64"/>
        <v>-0.99082949905925222</v>
      </c>
      <c r="BJ50" s="50">
        <f t="shared" si="65"/>
        <v>-1.0095677461757429</v>
      </c>
      <c r="BK50" s="50">
        <f t="shared" si="66"/>
        <v>-0.99018337193793016</v>
      </c>
      <c r="BL50" s="50">
        <f t="shared" si="67"/>
        <v>-0.93843602273144511</v>
      </c>
      <c r="BM50" s="50">
        <f t="shared" si="68"/>
        <v>-0.80924321509293962</v>
      </c>
      <c r="BN50" s="50">
        <f t="shared" si="69"/>
        <v>-0.55439232896892876</v>
      </c>
    </row>
    <row r="51" spans="11:66">
      <c r="K51" s="81">
        <f t="shared" si="56"/>
        <v>1.5388425648533572</v>
      </c>
      <c r="L51" s="82">
        <f t="shared" si="57"/>
        <v>1.7086364100024294</v>
      </c>
      <c r="AP51" s="47">
        <v>8</v>
      </c>
      <c r="AQ51" s="42">
        <f t="shared" ref="AQ51:BA51" si="76">AQ27+M</f>
        <v>0.25000001675710121</v>
      </c>
      <c r="AR51" s="42">
        <f t="shared" si="76"/>
        <v>0.25004992116335673</v>
      </c>
      <c r="AS51" s="42">
        <f t="shared" si="76"/>
        <v>0.27295543773919051</v>
      </c>
      <c r="AT51" s="42">
        <f t="shared" si="76"/>
        <v>0.76225872504795078</v>
      </c>
      <c r="AU51" s="42">
        <f t="shared" si="76"/>
        <v>0.8748618779318601</v>
      </c>
      <c r="AV51" s="42">
        <f t="shared" si="76"/>
        <v>0.87826913660008754</v>
      </c>
      <c r="AW51" s="42">
        <f t="shared" si="76"/>
        <v>0.8784602758939799</v>
      </c>
      <c r="AX51" s="42">
        <f t="shared" si="76"/>
        <v>0.87848010486145811</v>
      </c>
      <c r="AY51" s="42">
        <f t="shared" si="76"/>
        <v>0.87848340048132312</v>
      </c>
      <c r="AZ51" s="42">
        <f t="shared" si="76"/>
        <v>0.87848418482036639</v>
      </c>
      <c r="BA51" s="42">
        <f t="shared" si="76"/>
        <v>0.87848443030085754</v>
      </c>
      <c r="BC51" s="56">
        <v>8</v>
      </c>
      <c r="BD51" s="50">
        <f t="shared" si="59"/>
        <v>0</v>
      </c>
      <c r="BE51" s="50">
        <f t="shared" si="60"/>
        <v>0</v>
      </c>
      <c r="BF51" s="50">
        <f t="shared" si="61"/>
        <v>0.24011546443819443</v>
      </c>
      <c r="BG51" s="50">
        <f t="shared" si="62"/>
        <v>-0.98761467454533092</v>
      </c>
      <c r="BH51" s="50">
        <f t="shared" si="63"/>
        <v>-0.98010536656389335</v>
      </c>
      <c r="BI51" s="50">
        <f t="shared" si="64"/>
        <v>-1.0110771653461874</v>
      </c>
      <c r="BJ51" s="50">
        <f t="shared" si="65"/>
        <v>-0.926116031626951</v>
      </c>
      <c r="BK51" s="50">
        <f t="shared" si="66"/>
        <v>-1.0052367578723467</v>
      </c>
      <c r="BL51" s="50">
        <f t="shared" si="67"/>
        <v>-0.96668519624237959</v>
      </c>
      <c r="BM51" s="50">
        <f t="shared" si="68"/>
        <v>-0.84601200815356958</v>
      </c>
      <c r="BN51" s="50">
        <f t="shared" si="69"/>
        <v>0.16287691508208013</v>
      </c>
    </row>
    <row r="52" spans="11:66">
      <c r="K52" s="81">
        <f t="shared" si="56"/>
        <v>1.4484517525033158</v>
      </c>
      <c r="L52" s="82">
        <f t="shared" si="57"/>
        <v>3.2693908447714004</v>
      </c>
      <c r="AP52" s="47">
        <v>9</v>
      </c>
      <c r="AQ52" s="42">
        <f t="shared" ref="AQ52:BA52" si="77">AQ28+M</f>
        <v>0.25000001439714892</v>
      </c>
      <c r="AR52" s="42">
        <f t="shared" si="77"/>
        <v>0.25004289061778906</v>
      </c>
      <c r="AS52" s="42">
        <f t="shared" si="77"/>
        <v>0.26972255532619949</v>
      </c>
      <c r="AT52" s="42">
        <f t="shared" si="77"/>
        <v>0.69011580876274281</v>
      </c>
      <c r="AU52" s="42">
        <f t="shared" si="77"/>
        <v>0.78686072549617181</v>
      </c>
      <c r="AV52" s="42">
        <f t="shared" si="77"/>
        <v>0.78978812981571833</v>
      </c>
      <c r="AW52" s="42">
        <f t="shared" si="77"/>
        <v>0.78995235039568001</v>
      </c>
      <c r="AX52" s="42">
        <f t="shared" si="77"/>
        <v>0.78996938679082929</v>
      </c>
      <c r="AY52" s="42">
        <f t="shared" si="77"/>
        <v>0.78997221827876962</v>
      </c>
      <c r="AZ52" s="42">
        <f t="shared" si="77"/>
        <v>0.78997289215701805</v>
      </c>
      <c r="BA52" s="42">
        <f t="shared" si="77"/>
        <v>0.78997310306576318</v>
      </c>
      <c r="BC52" s="56">
        <v>9</v>
      </c>
      <c r="BD52" s="50">
        <f t="shared" si="59"/>
        <v>0</v>
      </c>
      <c r="BE52" s="50">
        <f t="shared" si="60"/>
        <v>0</v>
      </c>
      <c r="BF52" s="50">
        <f t="shared" si="61"/>
        <v>-0.58251652595229864</v>
      </c>
      <c r="BG52" s="50">
        <f t="shared" si="62"/>
        <v>-0.94462203613086637</v>
      </c>
      <c r="BH52" s="50">
        <f t="shared" si="63"/>
        <v>-0.90153271194243789</v>
      </c>
      <c r="BI52" s="50">
        <f t="shared" si="64"/>
        <v>-1.0104925968574665</v>
      </c>
      <c r="BJ52" s="50">
        <f t="shared" si="65"/>
        <v>-0.96599411214256892</v>
      </c>
      <c r="BK52" s="50">
        <f t="shared" si="66"/>
        <v>-0.7623499863269203</v>
      </c>
      <c r="BL52" s="50">
        <f t="shared" si="67"/>
        <v>-0.94818383341667023</v>
      </c>
      <c r="BM52" s="50">
        <f t="shared" si="68"/>
        <v>-0.69390853942631003</v>
      </c>
      <c r="BN52" s="50">
        <f t="shared" si="69"/>
        <v>-2.7947398065273465E-2</v>
      </c>
    </row>
    <row r="53" spans="11:66">
      <c r="K53" s="81">
        <f t="shared" si="56"/>
        <v>1.3365362667001512</v>
      </c>
      <c r="L53" s="82">
        <f t="shared" si="57"/>
        <v>3.5311232884647561</v>
      </c>
      <c r="AP53" s="47">
        <v>10</v>
      </c>
      <c r="AQ53" s="42">
        <f t="shared" ref="AQ53:BA53" si="78">AQ29+M</f>
        <v>0.25000000845540121</v>
      </c>
      <c r="AR53" s="42">
        <f t="shared" si="78"/>
        <v>0.25002518952762454</v>
      </c>
      <c r="AS53" s="42">
        <f t="shared" si="78"/>
        <v>0.26158299595169154</v>
      </c>
      <c r="AT53" s="42">
        <f t="shared" si="78"/>
        <v>0.50847865790505842</v>
      </c>
      <c r="AU53" s="42">
        <f t="shared" si="78"/>
        <v>0.56529664930303114</v>
      </c>
      <c r="AV53" s="42">
        <f t="shared" si="78"/>
        <v>0.56701590483668041</v>
      </c>
      <c r="AW53" s="42">
        <f t="shared" si="78"/>
        <v>0.56711235107711011</v>
      </c>
      <c r="AX53" s="42">
        <f t="shared" si="78"/>
        <v>0.56712235649946963</v>
      </c>
      <c r="AY53" s="42">
        <f t="shared" si="78"/>
        <v>0.56712401942360935</v>
      </c>
      <c r="AZ53" s="42">
        <f t="shared" si="78"/>
        <v>0.56712441519022749</v>
      </c>
      <c r="BA53" s="42">
        <f t="shared" si="78"/>
        <v>0.56712453905628346</v>
      </c>
      <c r="BC53" s="56">
        <v>10</v>
      </c>
      <c r="BD53" s="50">
        <f t="shared" si="59"/>
        <v>0</v>
      </c>
      <c r="BE53" s="50">
        <f t="shared" si="60"/>
        <v>0</v>
      </c>
      <c r="BF53" s="50">
        <f t="shared" si="61"/>
        <v>-1.0010999978293547</v>
      </c>
      <c r="BG53" s="50">
        <f t="shared" si="62"/>
        <v>-0.96400074647931611</v>
      </c>
      <c r="BH53" s="50">
        <f t="shared" si="63"/>
        <v>-0.92060131913479126</v>
      </c>
      <c r="BI53" s="50">
        <f t="shared" si="64"/>
        <v>-0.99482541157976856</v>
      </c>
      <c r="BJ53" s="50">
        <f t="shared" si="65"/>
        <v>-0.95008544236487213</v>
      </c>
      <c r="BK53" s="50">
        <f t="shared" si="66"/>
        <v>-0.76981390628492097</v>
      </c>
      <c r="BL53" s="50">
        <f t="shared" si="67"/>
        <v>-0.46182632020299985</v>
      </c>
      <c r="BM53" s="50">
        <f t="shared" si="68"/>
        <v>-0.76771479932945708</v>
      </c>
      <c r="BN53" s="50">
        <f t="shared" si="69"/>
        <v>-0.14066359047705679</v>
      </c>
    </row>
    <row r="54" spans="11:66">
      <c r="K54" s="81">
        <f t="shared" si="56"/>
        <v>1.2131182145143171</v>
      </c>
      <c r="L54" s="82">
        <f t="shared" si="57"/>
        <v>3.4459184858068057</v>
      </c>
      <c r="AP54" s="47">
        <v>11</v>
      </c>
      <c r="AQ54" s="42">
        <f t="shared" ref="AQ54:BA54" si="79">AQ30+M</f>
        <v>0.25000001617898993</v>
      </c>
      <c r="AR54" s="42">
        <f t="shared" si="79"/>
        <v>0.25004819890909363</v>
      </c>
      <c r="AS54" s="42">
        <f t="shared" si="79"/>
        <v>0.27216348703433679</v>
      </c>
      <c r="AT54" s="42">
        <f t="shared" si="79"/>
        <v>0.7445860645228759</v>
      </c>
      <c r="AU54" s="42">
        <f t="shared" si="79"/>
        <v>0.85330446699129114</v>
      </c>
      <c r="AV54" s="42">
        <f t="shared" si="79"/>
        <v>0.85659417700134965</v>
      </c>
      <c r="AW54" s="42">
        <f t="shared" si="79"/>
        <v>0.85677872208866479</v>
      </c>
      <c r="AX54" s="42">
        <f t="shared" si="79"/>
        <v>0.85679786696704174</v>
      </c>
      <c r="AY54" s="42">
        <f t="shared" si="79"/>
        <v>0.85680104888972941</v>
      </c>
      <c r="AZ54" s="42">
        <f t="shared" si="79"/>
        <v>0.85680180616948221</v>
      </c>
      <c r="BA54" s="42">
        <f t="shared" si="79"/>
        <v>0.85680204318102371</v>
      </c>
      <c r="BC54" s="56">
        <v>11</v>
      </c>
      <c r="BD54" s="50">
        <f t="shared" si="59"/>
        <v>0</v>
      </c>
      <c r="BE54" s="50">
        <f t="shared" si="60"/>
        <v>0</v>
      </c>
      <c r="BF54" s="50">
        <f t="shared" si="61"/>
        <v>-0.15544293265576725</v>
      </c>
      <c r="BG54" s="50">
        <f t="shared" si="62"/>
        <v>-0.99566806058184698</v>
      </c>
      <c r="BH54" s="50">
        <f t="shared" si="63"/>
        <v>-0.88087435443351003</v>
      </c>
      <c r="BI54" s="50">
        <f t="shared" si="64"/>
        <v>-0.88983879888502893</v>
      </c>
      <c r="BJ54" s="50">
        <f t="shared" si="65"/>
        <v>-0.98650646246589269</v>
      </c>
      <c r="BK54" s="50">
        <f t="shared" si="66"/>
        <v>-0.97213851401235063</v>
      </c>
      <c r="BL54" s="50">
        <f t="shared" si="67"/>
        <v>-0.8874654696491231</v>
      </c>
      <c r="BM54" s="50">
        <f t="shared" si="68"/>
        <v>-0.59470283074109276</v>
      </c>
      <c r="BN54" s="50">
        <f t="shared" si="69"/>
        <v>-0.65699639478103389</v>
      </c>
    </row>
    <row r="55" spans="11:66">
      <c r="K55" s="81">
        <f t="shared" si="56"/>
        <v>1.0875428816012591</v>
      </c>
      <c r="L55" s="82">
        <f t="shared" si="57"/>
        <v>3.5663779353604488</v>
      </c>
      <c r="AP55" s="47">
        <v>12</v>
      </c>
      <c r="AQ55" s="42">
        <f t="shared" ref="AQ55:BA55" si="80">AQ31+M</f>
        <v>0.25000001747420569</v>
      </c>
      <c r="AR55" s="42">
        <f t="shared" si="80"/>
        <v>0.25005205749280524</v>
      </c>
      <c r="AS55" s="42">
        <f t="shared" si="80"/>
        <v>0.27393779420582104</v>
      </c>
      <c r="AT55" s="42">
        <f t="shared" si="80"/>
        <v>0.78418035759776916</v>
      </c>
      <c r="AU55" s="42">
        <f t="shared" si="80"/>
        <v>0.90160225698763796</v>
      </c>
      <c r="AV55" s="42">
        <f t="shared" si="80"/>
        <v>0.90515532610061689</v>
      </c>
      <c r="AW55" s="42">
        <f t="shared" si="80"/>
        <v>0.90535464502164231</v>
      </c>
      <c r="AX55" s="42">
        <f t="shared" si="80"/>
        <v>0.90537532255121944</v>
      </c>
      <c r="AY55" s="42">
        <f t="shared" si="80"/>
        <v>0.90537875920405109</v>
      </c>
      <c r="AZ55" s="42">
        <f t="shared" si="80"/>
        <v>0.90537957710814942</v>
      </c>
      <c r="BA55" s="42">
        <f t="shared" si="80"/>
        <v>0.90537983309374837</v>
      </c>
      <c r="BC55" s="56">
        <v>12</v>
      </c>
      <c r="BD55" s="50">
        <f t="shared" si="59"/>
        <v>0</v>
      </c>
      <c r="BE55" s="50">
        <f t="shared" si="60"/>
        <v>0</v>
      </c>
      <c r="BF55" s="50">
        <f t="shared" si="61"/>
        <v>0.58381152182445528</v>
      </c>
      <c r="BG55" s="50">
        <f t="shared" si="62"/>
        <v>-0.9983349618503895</v>
      </c>
      <c r="BH55" s="50">
        <f t="shared" si="63"/>
        <v>-0.93069752589737076</v>
      </c>
      <c r="BI55" s="50">
        <f t="shared" si="64"/>
        <v>-0.97135530530163261</v>
      </c>
      <c r="BJ55" s="50">
        <f t="shared" si="65"/>
        <v>-0.98503256816814921</v>
      </c>
      <c r="BK55" s="50">
        <f t="shared" si="66"/>
        <v>-1.0102925352214187</v>
      </c>
      <c r="BL55" s="50">
        <f t="shared" si="67"/>
        <v>-0.90021879188729648</v>
      </c>
      <c r="BM55" s="50">
        <f t="shared" si="68"/>
        <v>-0.69693424939981663</v>
      </c>
      <c r="BN55" s="50">
        <f t="shared" si="69"/>
        <v>-0.81720169418748578</v>
      </c>
    </row>
    <row r="56" spans="11:66">
      <c r="K56" s="81">
        <f t="shared" si="56"/>
        <v>0.96022622349116327</v>
      </c>
      <c r="L56" s="82">
        <f t="shared" si="57"/>
        <v>3.4517892584398639</v>
      </c>
      <c r="AP56" s="47">
        <v>13</v>
      </c>
      <c r="AQ56" s="42">
        <f t="shared" ref="AQ56:BA56" si="81">AQ32+M</f>
        <v>0.25000001705255903</v>
      </c>
      <c r="AR56" s="42">
        <f t="shared" si="81"/>
        <v>0.2500508013632286</v>
      </c>
      <c r="AS56" s="42">
        <f t="shared" si="81"/>
        <v>0.27336018338208218</v>
      </c>
      <c r="AT56" s="42">
        <f t="shared" si="81"/>
        <v>0.77129076744906044</v>
      </c>
      <c r="AU56" s="42">
        <f t="shared" si="81"/>
        <v>0.88587931638698703</v>
      </c>
      <c r="AV56" s="42">
        <f t="shared" si="81"/>
        <v>0.8893466511520346</v>
      </c>
      <c r="AW56" s="42">
        <f t="shared" si="81"/>
        <v>0.8895411605753607</v>
      </c>
      <c r="AX56" s="42">
        <f t="shared" si="81"/>
        <v>0.88956133916318947</v>
      </c>
      <c r="AY56" s="42">
        <f t="shared" si="81"/>
        <v>0.88956469289075846</v>
      </c>
      <c r="AZ56" s="42">
        <f t="shared" si="81"/>
        <v>0.88956549105910931</v>
      </c>
      <c r="BA56" s="42">
        <f t="shared" si="81"/>
        <v>0.889565740867863</v>
      </c>
      <c r="BC56" s="56">
        <v>13</v>
      </c>
      <c r="BD56" s="50">
        <f t="shared" si="59"/>
        <v>0</v>
      </c>
      <c r="BE56" s="50">
        <f t="shared" si="60"/>
        <v>0</v>
      </c>
      <c r="BF56" s="50">
        <f t="shared" si="61"/>
        <v>0.39724334070771161</v>
      </c>
      <c r="BG56" s="50">
        <f t="shared" si="62"/>
        <v>-1.0004741517259057</v>
      </c>
      <c r="BH56" s="50">
        <f t="shared" si="63"/>
        <v>-0.93349374297995658</v>
      </c>
      <c r="BI56" s="50">
        <f t="shared" si="64"/>
        <v>-1.0094502285296145</v>
      </c>
      <c r="BJ56" s="50">
        <f t="shared" si="65"/>
        <v>-1.0075597356753823</v>
      </c>
      <c r="BK56" s="50">
        <f t="shared" si="66"/>
        <v>-1.0081575406012973</v>
      </c>
      <c r="BL56" s="50">
        <f t="shared" si="67"/>
        <v>-0.90297776473497948</v>
      </c>
      <c r="BM56" s="50">
        <f t="shared" si="68"/>
        <v>-0.62115396340157103</v>
      </c>
      <c r="BN56" s="50">
        <f t="shared" si="69"/>
        <v>-0.86375682163165346</v>
      </c>
    </row>
    <row r="57" spans="11:66">
      <c r="K57" s="81">
        <f t="shared" si="56"/>
        <v>0.8381212931555172</v>
      </c>
      <c r="L57" s="82">
        <f t="shared" si="57"/>
        <v>3.58099452088307</v>
      </c>
      <c r="AP57" s="47">
        <v>14</v>
      </c>
      <c r="AQ57" s="42">
        <f t="shared" ref="AQ57:BA57" si="82">AQ33+M</f>
        <v>0.25000001764866775</v>
      </c>
      <c r="AR57" s="42">
        <f t="shared" si="82"/>
        <v>0.25005257723351582</v>
      </c>
      <c r="AS57" s="42">
        <f t="shared" si="82"/>
        <v>0.27417678854650152</v>
      </c>
      <c r="AT57" s="42">
        <f t="shared" si="82"/>
        <v>0.7895136009731123</v>
      </c>
      <c r="AU57" s="42">
        <f t="shared" si="82"/>
        <v>0.90810783767964587</v>
      </c>
      <c r="AV57" s="42">
        <f t="shared" si="82"/>
        <v>0.91169638054608537</v>
      </c>
      <c r="AW57" s="42">
        <f t="shared" si="82"/>
        <v>0.91189768946225014</v>
      </c>
      <c r="AX57" s="42">
        <f t="shared" si="82"/>
        <v>0.9119185734357671</v>
      </c>
      <c r="AY57" s="42">
        <f t="shared" si="82"/>
        <v>0.91192204440005498</v>
      </c>
      <c r="AZ57" s="42">
        <f t="shared" si="82"/>
        <v>0.91192287047008747</v>
      </c>
      <c r="BA57" s="42">
        <f t="shared" si="82"/>
        <v>0.91192312901144024</v>
      </c>
      <c r="BC57" s="56">
        <v>14</v>
      </c>
      <c r="BD57" s="50">
        <f t="shared" si="59"/>
        <v>0</v>
      </c>
      <c r="BE57" s="50">
        <f t="shared" si="60"/>
        <v>0</v>
      </c>
      <c r="BF57" s="50">
        <f t="shared" si="61"/>
        <v>2.4331972694691837</v>
      </c>
      <c r="BG57" s="50">
        <f t="shared" si="62"/>
        <v>-1.000143534792304</v>
      </c>
      <c r="BH57" s="50">
        <f t="shared" si="63"/>
        <v>-0.88402103671265042</v>
      </c>
      <c r="BI57" s="50">
        <f t="shared" si="64"/>
        <v>-0.99375893849041663</v>
      </c>
      <c r="BJ57" s="50">
        <f t="shared" si="65"/>
        <v>-0.99459694065536286</v>
      </c>
      <c r="BK57" s="50">
        <f t="shared" si="66"/>
        <v>-0.97532081966367212</v>
      </c>
      <c r="BL57" s="50">
        <f t="shared" si="67"/>
        <v>-0.97720634353676206</v>
      </c>
      <c r="BM57" s="50">
        <f t="shared" si="68"/>
        <v>-0.78341299545980736</v>
      </c>
      <c r="BN57" s="50">
        <f t="shared" si="69"/>
        <v>-0.7586180582718326</v>
      </c>
    </row>
    <row r="58" spans="11:66">
      <c r="K58" s="81">
        <f t="shared" si="56"/>
        <v>0.73710900524402079</v>
      </c>
      <c r="L58" s="82">
        <f t="shared" si="57"/>
        <v>3.5937934298934779</v>
      </c>
      <c r="AP58" s="47">
        <v>15</v>
      </c>
      <c r="AQ58" s="42">
        <f t="shared" ref="AQ58:BA58" si="83">AQ34+M</f>
        <v>0.25000001708161129</v>
      </c>
      <c r="AR58" s="42">
        <f t="shared" si="83"/>
        <v>0.25005088791294072</v>
      </c>
      <c r="AS58" s="42">
        <f t="shared" si="83"/>
        <v>0.27339998186421915</v>
      </c>
      <c r="AT58" s="42">
        <f t="shared" si="83"/>
        <v>0.77217888467644447</v>
      </c>
      <c r="AU58" s="42">
        <f t="shared" si="83"/>
        <v>0.88696265683858178</v>
      </c>
      <c r="AV58" s="42">
        <f t="shared" si="83"/>
        <v>0.89043589886293695</v>
      </c>
      <c r="AW58" s="42">
        <f t="shared" si="83"/>
        <v>0.89063073966978346</v>
      </c>
      <c r="AX58" s="42">
        <f t="shared" si="83"/>
        <v>0.89065095263564587</v>
      </c>
      <c r="AY58" s="42">
        <f t="shared" si="83"/>
        <v>0.89065431207692281</v>
      </c>
      <c r="AZ58" s="42">
        <f t="shared" si="83"/>
        <v>0.89065511160510413</v>
      </c>
      <c r="BA58" s="42">
        <f t="shared" si="83"/>
        <v>0.89065536183945415</v>
      </c>
      <c r="BC58" s="56">
        <v>15</v>
      </c>
      <c r="BD58" s="50">
        <f t="shared" si="59"/>
        <v>0</v>
      </c>
      <c r="BE58" s="50">
        <f t="shared" si="60"/>
        <v>0</v>
      </c>
      <c r="BF58" s="50">
        <f t="shared" si="61"/>
        <v>2.4318217336616179</v>
      </c>
      <c r="BG58" s="50">
        <f t="shared" si="62"/>
        <v>-0.97711773908979949</v>
      </c>
      <c r="BH58" s="50">
        <f t="shared" si="63"/>
        <v>-0.87867449449805313</v>
      </c>
      <c r="BI58" s="50">
        <f t="shared" si="64"/>
        <v>-1.0096627801055387</v>
      </c>
      <c r="BJ58" s="50">
        <f t="shared" si="65"/>
        <v>-0.97581503636739708</v>
      </c>
      <c r="BK58" s="50">
        <f t="shared" si="66"/>
        <v>-0.86077159547201942</v>
      </c>
      <c r="BL58" s="50">
        <f t="shared" si="67"/>
        <v>-0.82481883188118377</v>
      </c>
      <c r="BM58" s="50">
        <f t="shared" si="68"/>
        <v>-0.82913434777979311</v>
      </c>
      <c r="BN58" s="50">
        <f t="shared" si="69"/>
        <v>-0.32868034409987967</v>
      </c>
    </row>
    <row r="59" spans="11:66">
      <c r="K59" s="81">
        <f t="shared" si="56"/>
        <v>0.65549626802252459</v>
      </c>
      <c r="L59" s="82">
        <f t="shared" si="57"/>
        <v>3.5661432577786898</v>
      </c>
      <c r="AP59" s="47">
        <v>16</v>
      </c>
      <c r="AQ59" s="42">
        <f t="shared" ref="AQ59:BA59" si="84">AQ35+M</f>
        <v>0.25000001772099972</v>
      </c>
      <c r="AR59" s="42">
        <f t="shared" si="84"/>
        <v>0.25005279271814596</v>
      </c>
      <c r="AS59" s="42">
        <f t="shared" si="84"/>
        <v>0.27427587566061479</v>
      </c>
      <c r="AT59" s="42">
        <f t="shared" si="84"/>
        <v>0.79172476502587663</v>
      </c>
      <c r="AU59" s="42">
        <f t="shared" si="84"/>
        <v>0.91080505308050885</v>
      </c>
      <c r="AV59" s="42">
        <f t="shared" si="84"/>
        <v>0.91440830337410817</v>
      </c>
      <c r="AW59" s="42">
        <f t="shared" si="84"/>
        <v>0.91461043734276115</v>
      </c>
      <c r="AX59" s="42">
        <f t="shared" si="84"/>
        <v>0.91463140690798783</v>
      </c>
      <c r="AY59" s="42">
        <f t="shared" si="84"/>
        <v>0.91463489209781423</v>
      </c>
      <c r="AZ59" s="42">
        <f t="shared" si="84"/>
        <v>0.91463572155344497</v>
      </c>
      <c r="BA59" s="42">
        <f t="shared" si="84"/>
        <v>0.91463598115441402</v>
      </c>
      <c r="BC59" s="56">
        <v>16</v>
      </c>
      <c r="BD59" s="50">
        <f t="shared" si="59"/>
        <v>0</v>
      </c>
      <c r="BE59" s="50">
        <f t="shared" si="60"/>
        <v>0</v>
      </c>
      <c r="BF59" s="50">
        <f t="shared" si="61"/>
        <v>2.5502459261808266</v>
      </c>
      <c r="BG59" s="50">
        <f t="shared" si="62"/>
        <v>-0.976638177956617</v>
      </c>
      <c r="BH59" s="50">
        <f t="shared" si="63"/>
        <v>-0.68482672873111983</v>
      </c>
      <c r="BI59" s="50">
        <f t="shared" si="64"/>
        <v>-0.97859623472842805</v>
      </c>
      <c r="BJ59" s="50">
        <f t="shared" si="65"/>
        <v>-0.98468950934826593</v>
      </c>
      <c r="BK59" s="50">
        <f t="shared" si="66"/>
        <v>-0.81659810640692021</v>
      </c>
      <c r="BL59" s="50">
        <f t="shared" si="67"/>
        <v>-0.69239944561647482</v>
      </c>
      <c r="BM59" s="50">
        <f t="shared" si="68"/>
        <v>-0.42733758947363587</v>
      </c>
      <c r="BN59" s="50">
        <f t="shared" si="69"/>
        <v>-0.71790935562797564</v>
      </c>
    </row>
    <row r="60" spans="11:66">
      <c r="K60" s="81">
        <f t="shared" si="56"/>
        <v>0.58542355338455643</v>
      </c>
      <c r="L60" s="82">
        <f t="shared" si="57"/>
        <v>3.8806075842188874</v>
      </c>
      <c r="AP60" s="47">
        <v>17</v>
      </c>
      <c r="AQ60" s="42">
        <f t="shared" ref="AQ60:BA60" si="85">AQ36+M</f>
        <v>0.25000001778433673</v>
      </c>
      <c r="AR60" s="42">
        <f t="shared" si="85"/>
        <v>0.25005298140572757</v>
      </c>
      <c r="AS60" s="42">
        <f t="shared" si="85"/>
        <v>0.27436264058636833</v>
      </c>
      <c r="AT60" s="42">
        <f t="shared" si="85"/>
        <v>0.79366095508029222</v>
      </c>
      <c r="AU60" s="42">
        <f t="shared" si="85"/>
        <v>0.91316685053612434</v>
      </c>
      <c r="AV60" s="42">
        <f t="shared" si="85"/>
        <v>0.91678297928356689</v>
      </c>
      <c r="AW60" s="42">
        <f t="shared" si="85"/>
        <v>0.91698583570355496</v>
      </c>
      <c r="AX60" s="42">
        <f t="shared" si="85"/>
        <v>0.91700688021655263</v>
      </c>
      <c r="AY60" s="42">
        <f t="shared" si="85"/>
        <v>0.91701037786287043</v>
      </c>
      <c r="AZ60" s="42">
        <f t="shared" si="85"/>
        <v>0.91701121028307631</v>
      </c>
      <c r="BA60" s="42">
        <f t="shared" si="85"/>
        <v>0.91701147081189061</v>
      </c>
      <c r="BC60" s="56">
        <v>17</v>
      </c>
      <c r="BD60" s="50">
        <f t="shared" si="59"/>
        <v>0</v>
      </c>
      <c r="BE60" s="50">
        <f t="shared" si="60"/>
        <v>0</v>
      </c>
      <c r="BF60" s="50">
        <f t="shared" si="61"/>
        <v>4.6218157096610062</v>
      </c>
      <c r="BG60" s="50">
        <f t="shared" si="62"/>
        <v>-0.98146989704710119</v>
      </c>
      <c r="BH60" s="50">
        <f t="shared" si="63"/>
        <v>-0.63318624889374475</v>
      </c>
      <c r="BI60" s="50">
        <f t="shared" si="64"/>
        <v>-0.80559777493738882</v>
      </c>
      <c r="BJ60" s="50">
        <f t="shared" si="65"/>
        <v>-1.0081743715176867</v>
      </c>
      <c r="BK60" s="50">
        <f t="shared" si="66"/>
        <v>-0.97189093445204355</v>
      </c>
      <c r="BL60" s="50">
        <f t="shared" si="67"/>
        <v>-0.74875151459879463</v>
      </c>
      <c r="BM60" s="50">
        <f t="shared" si="68"/>
        <v>-3.06383762691258E-2</v>
      </c>
      <c r="BN60" s="50">
        <f t="shared" si="69"/>
        <v>1.1921667007201895</v>
      </c>
    </row>
    <row r="61" spans="11:66" ht="17" thickBot="1">
      <c r="K61" s="83">
        <f t="shared" si="56"/>
        <v>0.66513833851118531</v>
      </c>
      <c r="L61" s="84">
        <f t="shared" si="57"/>
        <v>4.2192295360451073</v>
      </c>
      <c r="AP61" s="47">
        <v>18</v>
      </c>
      <c r="AQ61" s="42">
        <f t="shared" ref="AQ61:BA61" si="86">AQ37+M</f>
        <v>0.2500000176475064</v>
      </c>
      <c r="AR61" s="42">
        <f t="shared" si="86"/>
        <v>0.2500525737737877</v>
      </c>
      <c r="AS61" s="42">
        <f t="shared" si="86"/>
        <v>0.27417519764660991</v>
      </c>
      <c r="AT61" s="42">
        <f t="shared" si="86"/>
        <v>0.78947809947845937</v>
      </c>
      <c r="AU61" s="42">
        <f t="shared" si="86"/>
        <v>0.9080645323545562</v>
      </c>
      <c r="AV61" s="42">
        <f t="shared" si="86"/>
        <v>0.91165283908489991</v>
      </c>
      <c r="AW61" s="42">
        <f t="shared" si="86"/>
        <v>0.91185413475437826</v>
      </c>
      <c r="AX61" s="42">
        <f t="shared" si="86"/>
        <v>0.91187501735367182</v>
      </c>
      <c r="AY61" s="42">
        <f t="shared" si="86"/>
        <v>0.91187848808956062</v>
      </c>
      <c r="AZ61" s="42">
        <f t="shared" si="86"/>
        <v>0.91187931410523537</v>
      </c>
      <c r="BA61" s="42">
        <f t="shared" si="86"/>
        <v>0.91187957262957542</v>
      </c>
      <c r="BC61" s="56">
        <v>18</v>
      </c>
      <c r="BD61" s="50">
        <f t="shared" si="59"/>
        <v>0</v>
      </c>
      <c r="BE61" s="50">
        <f t="shared" si="60"/>
        <v>0</v>
      </c>
      <c r="BF61" s="50">
        <f t="shared" si="61"/>
        <v>6.002457979415702</v>
      </c>
      <c r="BG61" s="50">
        <f t="shared" si="62"/>
        <v>-0.95038156195674628</v>
      </c>
      <c r="BH61" s="50">
        <f t="shared" si="63"/>
        <v>-0.63927250464579832</v>
      </c>
      <c r="BI61" s="50">
        <f t="shared" si="64"/>
        <v>-0.85110856803299884</v>
      </c>
      <c r="BJ61" s="50">
        <f t="shared" si="65"/>
        <v>-0.96580347407648914</v>
      </c>
      <c r="BK61" s="50">
        <f t="shared" si="66"/>
        <v>-0.98530482915538653</v>
      </c>
      <c r="BL61" s="50">
        <f t="shared" si="67"/>
        <v>-0.83868974892968373</v>
      </c>
      <c r="BM61" s="50">
        <f t="shared" si="68"/>
        <v>-0.73612892709224798</v>
      </c>
      <c r="BN61" s="50">
        <f t="shared" si="69"/>
        <v>-0.24337081469070532</v>
      </c>
    </row>
    <row r="62" spans="11:66">
      <c r="AP62" s="47">
        <v>19</v>
      </c>
      <c r="AQ62" s="42">
        <f t="shared" ref="AQ62:BA62" si="87">AQ38+M</f>
        <v>0.25000001920367249</v>
      </c>
      <c r="AR62" s="42">
        <f t="shared" si="87"/>
        <v>0.25005720975590273</v>
      </c>
      <c r="AS62" s="42">
        <f t="shared" si="87"/>
        <v>0.27630697887214462</v>
      </c>
      <c r="AT62" s="42">
        <f t="shared" si="87"/>
        <v>0.83704955270364545</v>
      </c>
      <c r="AU62" s="42">
        <f t="shared" si="87"/>
        <v>0.96609299755142508</v>
      </c>
      <c r="AV62" s="42">
        <f t="shared" si="87"/>
        <v>0.96999772299449349</v>
      </c>
      <c r="AW62" s="42">
        <f t="shared" si="87"/>
        <v>0.9702167690184984</v>
      </c>
      <c r="AX62" s="42">
        <f t="shared" si="87"/>
        <v>0.97023949305601986</v>
      </c>
      <c r="AY62" s="42">
        <f t="shared" si="87"/>
        <v>0.97024326984316478</v>
      </c>
      <c r="AZ62" s="42">
        <f t="shared" si="87"/>
        <v>0.97024416869732188</v>
      </c>
      <c r="BA62" s="42">
        <f t="shared" si="87"/>
        <v>0.97024445001846971</v>
      </c>
      <c r="BC62" s="56">
        <v>19</v>
      </c>
      <c r="BD62" s="50">
        <f t="shared" si="59"/>
        <v>0</v>
      </c>
      <c r="BE62" s="50">
        <f t="shared" si="60"/>
        <v>0</v>
      </c>
      <c r="BF62" s="50">
        <f t="shared" si="61"/>
        <v>3.989765027791635</v>
      </c>
      <c r="BG62" s="50">
        <f t="shared" si="62"/>
        <v>-0.91248709245928994</v>
      </c>
      <c r="BH62" s="50">
        <f t="shared" si="63"/>
        <v>-0.63498361017477722</v>
      </c>
      <c r="BI62" s="50">
        <f t="shared" si="64"/>
        <v>-0.946581006361779</v>
      </c>
      <c r="BJ62" s="50">
        <f t="shared" si="65"/>
        <v>-1.0109222481743105</v>
      </c>
      <c r="BK62" s="50">
        <f t="shared" si="66"/>
        <v>-1.0021526345847058</v>
      </c>
      <c r="BL62" s="50">
        <f t="shared" si="67"/>
        <v>-0.79034744576885008</v>
      </c>
      <c r="BM62" s="50">
        <f t="shared" si="68"/>
        <v>-0.48664229247330204</v>
      </c>
      <c r="BN62" s="50">
        <f t="shared" si="69"/>
        <v>-0.71871757244195711</v>
      </c>
    </row>
    <row r="63" spans="11:66" ht="17" thickBot="1">
      <c r="AP63" s="48">
        <v>20</v>
      </c>
      <c r="AQ63" s="42">
        <f t="shared" ref="AQ63:BA63" si="88">AQ39+M</f>
        <v>0.25000002087938561</v>
      </c>
      <c r="AR63" s="42">
        <f t="shared" si="88"/>
        <v>0.25006220188117867</v>
      </c>
      <c r="AS63" s="42">
        <f t="shared" si="88"/>
        <v>0.27860252675711061</v>
      </c>
      <c r="AT63" s="42">
        <f t="shared" si="88"/>
        <v>0.88827551694790985</v>
      </c>
      <c r="AU63" s="42">
        <f t="shared" si="88"/>
        <v>1.028579297249971</v>
      </c>
      <c r="AV63" s="42">
        <f t="shared" si="88"/>
        <v>1.032824749170062</v>
      </c>
      <c r="AW63" s="42">
        <f t="shared" si="88"/>
        <v>1.0330629091576871</v>
      </c>
      <c r="AX63" s="42">
        <f t="shared" si="88"/>
        <v>1.0330876160955074</v>
      </c>
      <c r="AY63" s="42">
        <f t="shared" si="88"/>
        <v>1.033091722445229</v>
      </c>
      <c r="AZ63" s="42">
        <f t="shared" si="88"/>
        <v>1.0330926997334309</v>
      </c>
      <c r="BA63" s="42">
        <f t="shared" si="88"/>
        <v>1.0330930056026717</v>
      </c>
      <c r="BC63" s="57">
        <v>20</v>
      </c>
      <c r="BD63" s="50">
        <f t="shared" si="59"/>
        <v>0</v>
      </c>
      <c r="BE63" s="50">
        <f t="shared" si="60"/>
        <v>0</v>
      </c>
      <c r="BF63" s="50">
        <f t="shared" si="61"/>
        <v>2.8937837980336125</v>
      </c>
      <c r="BG63" s="50">
        <f t="shared" si="62"/>
        <v>-0.81476766556102542</v>
      </c>
      <c r="BH63" s="50">
        <f t="shared" si="63"/>
        <v>-0.61106008815141588</v>
      </c>
      <c r="BI63" s="50">
        <f t="shared" si="64"/>
        <v>-0.9705510707216618</v>
      </c>
      <c r="BJ63" s="50">
        <f t="shared" si="65"/>
        <v>-0.98175561342801376</v>
      </c>
      <c r="BK63" s="50">
        <f t="shared" si="66"/>
        <v>-0.81245692750627618</v>
      </c>
      <c r="BL63" s="50">
        <f t="shared" si="67"/>
        <v>-0.48215117160135068</v>
      </c>
      <c r="BM63" s="50">
        <f t="shared" si="68"/>
        <v>-0.20647276839781536</v>
      </c>
      <c r="BN63" s="50">
        <f t="shared" si="69"/>
        <v>-0.98714561871623874</v>
      </c>
    </row>
  </sheetData>
  <mergeCells count="17">
    <mergeCell ref="A1:C1"/>
    <mergeCell ref="A2:A3"/>
    <mergeCell ref="A4:A6"/>
    <mergeCell ref="A9:A10"/>
    <mergeCell ref="A13:C13"/>
    <mergeCell ref="A40:A42"/>
    <mergeCell ref="AP41:BA41"/>
    <mergeCell ref="BC41:BN41"/>
    <mergeCell ref="AC17:AN17"/>
    <mergeCell ref="AP17:BA17"/>
    <mergeCell ref="BC17:BN17"/>
    <mergeCell ref="A27:C27"/>
    <mergeCell ref="A33:C33"/>
    <mergeCell ref="P17:AA17"/>
    <mergeCell ref="A34:A35"/>
    <mergeCell ref="A36:A39"/>
    <mergeCell ref="A14:A19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EF6-FD3C-8749-8871-370FBFA9112E}">
  <dimension ref="A1:V52"/>
  <sheetViews>
    <sheetView topLeftCell="A28" zoomScale="115" zoomScaleNormal="115" workbookViewId="0">
      <selection activeCell="AH32" sqref="AH32"/>
    </sheetView>
  </sheetViews>
  <sheetFormatPr baseColWidth="10" defaultRowHeight="16"/>
  <cols>
    <col min="10" max="10" width="10.7109375" style="94"/>
    <col min="11" max="22" width="6.7109375" customWidth="1"/>
  </cols>
  <sheetData>
    <row r="1" spans="1:22" s="96" customFormat="1"/>
    <row r="2" spans="1:22" s="96" customFormat="1">
      <c r="A2" s="165"/>
      <c r="B2" s="165"/>
      <c r="C2" s="165"/>
      <c r="D2" s="165"/>
      <c r="E2" s="165"/>
    </row>
    <row r="3" spans="1:22" ht="17" thickBot="1">
      <c r="A3" s="165"/>
      <c r="B3" s="165"/>
      <c r="C3" s="165"/>
      <c r="D3" s="165"/>
      <c r="E3" s="165"/>
    </row>
    <row r="4" spans="1:22">
      <c r="A4" s="165"/>
      <c r="B4" s="165"/>
      <c r="C4" s="165"/>
      <c r="D4" s="165"/>
      <c r="E4" s="165"/>
      <c r="K4" s="176" t="s">
        <v>39</v>
      </c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8"/>
    </row>
    <row r="5" spans="1:22" ht="17" thickBot="1">
      <c r="K5" s="21"/>
      <c r="L5" s="22" t="s">
        <v>37</v>
      </c>
      <c r="M5" s="22"/>
      <c r="N5" s="22"/>
      <c r="O5" s="22"/>
      <c r="P5" s="22"/>
      <c r="Q5" s="22"/>
      <c r="R5" s="22"/>
      <c r="S5" s="22"/>
      <c r="T5" s="22"/>
      <c r="U5" s="22"/>
      <c r="V5" s="23"/>
    </row>
    <row r="6" spans="1:22" ht="17" thickBot="1">
      <c r="A6" s="121" t="s">
        <v>38</v>
      </c>
      <c r="B6" s="121" t="s">
        <v>98</v>
      </c>
      <c r="C6" s="121" t="s">
        <v>97</v>
      </c>
      <c r="D6" s="121" t="s">
        <v>96</v>
      </c>
      <c r="E6" s="137" t="s">
        <v>85</v>
      </c>
      <c r="K6" s="125" t="s">
        <v>38</v>
      </c>
      <c r="L6" s="124">
        <v>0</v>
      </c>
      <c r="M6" s="124">
        <v>1</v>
      </c>
      <c r="N6" s="124">
        <v>2</v>
      </c>
      <c r="O6" s="124">
        <v>3</v>
      </c>
      <c r="P6" s="124">
        <v>4</v>
      </c>
      <c r="Q6" s="124">
        <v>5</v>
      </c>
      <c r="R6" s="124">
        <v>6</v>
      </c>
      <c r="S6" s="124">
        <v>7</v>
      </c>
      <c r="T6" s="124">
        <v>8</v>
      </c>
      <c r="U6" s="124">
        <v>9</v>
      </c>
      <c r="V6" s="126">
        <v>10</v>
      </c>
    </row>
    <row r="7" spans="1:22">
      <c r="A7" s="94">
        <v>1</v>
      </c>
      <c r="B7" s="105">
        <f t="shared" ref="B7:B26" si="0">Fbar*SIN(A7/PI()*scale + xpos*PI())</f>
        <v>-9.05684627026353E-2</v>
      </c>
      <c r="C7" s="105">
        <f t="shared" ref="C7:C26" ca="1" si="1">_xlfn.NORM.INV(RAND(),Fbar+B7,sigmaF)</f>
        <v>0.29314687912087517</v>
      </c>
      <c r="D7" s="105">
        <f t="shared" ref="D7:D26" ca="1" si="2">MAX(0,Fbar+C7)</f>
        <v>0.67614687912087512</v>
      </c>
      <c r="E7" s="138">
        <f t="shared" ref="E7:E26" ca="1" si="3">I31/($H$13+_xlfn.NORM.INV(RAND(),0,0.0001))</f>
        <v>424.62380212577892</v>
      </c>
      <c r="K7" s="127">
        <v>1</v>
      </c>
      <c r="L7" s="129">
        <f>Ro</f>
        <v>4000</v>
      </c>
      <c r="M7" s="130">
        <f t="shared" ref="M7:V7" si="4">Ro*EXP(-(M*M$6))</f>
        <v>3115.2031322856196</v>
      </c>
      <c r="N7" s="130">
        <f t="shared" si="4"/>
        <v>2426.1226388505338</v>
      </c>
      <c r="O7" s="130">
        <f t="shared" si="4"/>
        <v>1889.4662109640587</v>
      </c>
      <c r="P7" s="130">
        <f t="shared" si="4"/>
        <v>1471.5177646857694</v>
      </c>
      <c r="Q7" s="130">
        <f t="shared" si="4"/>
        <v>1146.0191874407603</v>
      </c>
      <c r="R7" s="130">
        <f t="shared" si="4"/>
        <v>892.52064059371924</v>
      </c>
      <c r="S7" s="130">
        <f t="shared" si="4"/>
        <v>695.09577380178052</v>
      </c>
      <c r="T7" s="130">
        <f t="shared" si="4"/>
        <v>541.34113294645078</v>
      </c>
      <c r="U7" s="130">
        <f t="shared" si="4"/>
        <v>421.59689824745732</v>
      </c>
      <c r="V7" s="131">
        <f t="shared" si="4"/>
        <v>328.33999449559519</v>
      </c>
    </row>
    <row r="8" spans="1:22" ht="17" thickBot="1">
      <c r="A8" s="94">
        <v>2</v>
      </c>
      <c r="B8" s="105">
        <f t="shared" si="0"/>
        <v>-0.17599961099924033</v>
      </c>
      <c r="C8" s="105">
        <f t="shared" ca="1" si="1"/>
        <v>8.5113306982351311E-2</v>
      </c>
      <c r="D8" s="105">
        <f t="shared" ca="1" si="2"/>
        <v>0.46811330698235132</v>
      </c>
      <c r="E8" s="138">
        <f t="shared" ca="1" si="3"/>
        <v>507.66498785154079</v>
      </c>
      <c r="K8" s="127">
        <v>2</v>
      </c>
      <c r="L8" s="132">
        <f>(bha*SUMPRODUCT(L7:V7,LH!$H$6:$R$6))/(1+bhb*SUMPRODUCT(L7:V7,LH!$H$6:$R$6))</f>
        <v>4000</v>
      </c>
      <c r="M8" s="132">
        <f ca="1">L7*EXP(-($D7*LH!H$7+M))</f>
        <v>3115.2030761250326</v>
      </c>
      <c r="N8" s="132">
        <f ca="1">M7*EXP(-($D7*LH!I$7+M))</f>
        <v>2425.9923425262846</v>
      </c>
      <c r="O8" s="132">
        <f ca="1">N7*EXP(-($D7*LH!J$7+M))</f>
        <v>1843.3748651131796</v>
      </c>
      <c r="P8" s="132">
        <f ca="1">O7*EXP(-($D7*LH!K$7+M))</f>
        <v>848.0527799274995</v>
      </c>
      <c r="Q8" s="132">
        <f ca="1">P7*EXP(-($D7*LH!L$7+M))</f>
        <v>585.11023387252703</v>
      </c>
      <c r="R8" s="132">
        <f ca="1">Q7*EXP(-($D7*LH!M$7+M))</f>
        <v>454.01698504407102</v>
      </c>
      <c r="S8" s="132">
        <f ca="1">R7*EXP(-($D7*LH!N$7+M))</f>
        <v>353.5160808396916</v>
      </c>
      <c r="T8" s="132">
        <f ca="1">S7*EXP(-($D7*LH!O$7+M))</f>
        <v>275.3127273509902</v>
      </c>
      <c r="U8" s="132">
        <f ca="1">T7*EXP(-($D7*LH!P$7+M))</f>
        <v>214.41300743730577</v>
      </c>
      <c r="V8" s="132">
        <f ca="1">U7*EXP(-($D7*LH!Q$7+M))</f>
        <v>166.98487718750107</v>
      </c>
    </row>
    <row r="9" spans="1:22">
      <c r="A9" s="94">
        <v>3</v>
      </c>
      <c r="B9" s="105">
        <f t="shared" si="0"/>
        <v>-0.25144753434025813</v>
      </c>
      <c r="C9" s="105">
        <f t="shared" ca="1" si="1"/>
        <v>4.3151095232740008E-2</v>
      </c>
      <c r="D9" s="105">
        <f t="shared" ca="1" si="2"/>
        <v>0.42615109523274003</v>
      </c>
      <c r="E9" s="138">
        <f t="shared" ca="1" si="3"/>
        <v>182.94415267867276</v>
      </c>
      <c r="G9" s="179" t="s">
        <v>101</v>
      </c>
      <c r="H9" s="180"/>
      <c r="K9" s="127">
        <v>3</v>
      </c>
      <c r="L9" s="132">
        <f ca="1">(bha*SUMPRODUCT(L8:V8,LH!$H$6:$R$6))/(1+bhb*SUMPRODUCT(L8:V8,LH!$H$6:$R$6))</f>
        <v>3846.5617248404833</v>
      </c>
      <c r="M9" s="132">
        <f ca="1">L8*EXP(-($D8*LH!H$7+M))</f>
        <v>3115.2030934042477</v>
      </c>
      <c r="N9" s="132">
        <f ca="1">M8*EXP(-($D8*LH!I$7+M))</f>
        <v>2426.032386981889</v>
      </c>
      <c r="O9" s="132">
        <f ca="1">N8*EXP(-($D8*LH!J$7+M))</f>
        <v>1857.3352303177828</v>
      </c>
      <c r="P9" s="132">
        <f ca="1">O8*EXP(-($D8*LH!K$7+M))</f>
        <v>980.25075452008537</v>
      </c>
      <c r="Q9" s="132">
        <f ca="1">P8*EXP(-($D8*LH!L$7+M))</f>
        <v>414.68861167762367</v>
      </c>
      <c r="R9" s="132">
        <f ca="1">Q8*EXP(-($D8*LH!M$7+M))</f>
        <v>285.38737584074403</v>
      </c>
      <c r="S9" s="132">
        <f ca="1">R8*EXP(-($D8*LH!N$7+M))</f>
        <v>221.41515102099262</v>
      </c>
      <c r="T9" s="132">
        <f ca="1">S8*EXP(-($D8*LH!O$7+M))</f>
        <v>172.40029112177945</v>
      </c>
      <c r="U9" s="132">
        <f ca="1">T8*EXP(-($D8*LH!P$7+M))</f>
        <v>134.26228793812845</v>
      </c>
      <c r="V9" s="132">
        <f ca="1">U8*EXP(-($D8*LH!Q$7+M))</f>
        <v>104.5631431629434</v>
      </c>
    </row>
    <row r="10" spans="1:22">
      <c r="A10" s="94">
        <v>4</v>
      </c>
      <c r="B10" s="105">
        <f t="shared" si="0"/>
        <v>-0.31263260058974829</v>
      </c>
      <c r="C10" s="105">
        <f t="shared" ca="1" si="1"/>
        <v>5.430151793536328E-3</v>
      </c>
      <c r="D10" s="105">
        <f t="shared" ca="1" si="2"/>
        <v>0.38843015179353635</v>
      </c>
      <c r="E10" s="138">
        <f t="shared" ca="1" si="3"/>
        <v>304.22000573984792</v>
      </c>
      <c r="G10" s="181"/>
      <c r="H10" s="182"/>
      <c r="K10" s="127">
        <v>4</v>
      </c>
      <c r="L10" s="132">
        <f ca="1">(bha*SUMPRODUCT(L9:V9,LH!$H$6:$R$6))/(1+bhb*SUMPRODUCT(L9:V9,LH!$H$6:$R$6))</f>
        <v>3724.4938925147017</v>
      </c>
      <c r="M10" s="132">
        <f ca="1">L9*EXP(-($D9*LH!H$7+M))</f>
        <v>2995.7052494000363</v>
      </c>
      <c r="N10" s="132">
        <f ca="1">M9*EXP(-($D9*LH!I$7+M))</f>
        <v>2426.04048666156</v>
      </c>
      <c r="O10" s="132">
        <f ca="1">N9*EXP(-($D9*LH!J$7+M))</f>
        <v>1860.2148040121197</v>
      </c>
      <c r="P10" s="132">
        <f ca="1">O9*EXP(-($D9*LH!K$7+M))</f>
        <v>1022.0393420597429</v>
      </c>
      <c r="Q10" s="132">
        <f ca="1">P9*EXP(-($D9*LH!L$7+M))</f>
        <v>499.75289761647349</v>
      </c>
      <c r="R10" s="132">
        <f ca="1">Q9*EXP(-($D9*LH!M$7+M))</f>
        <v>210.92928513003193</v>
      </c>
      <c r="S10" s="132">
        <f ca="1">R9*EXP(-($D9*LH!N$7+M))</f>
        <v>145.14204696808994</v>
      </c>
      <c r="T10" s="132">
        <f ca="1">S9*EXP(-($D9*LH!O$7+M))</f>
        <v>112.605598168947</v>
      </c>
      <c r="U10" s="132">
        <f ca="1">T9*EXP(-($D9*LH!P$7+M))</f>
        <v>87.677805404698859</v>
      </c>
      <c r="V10" s="132">
        <f ca="1">U9*EXP(-($D9*LH!Q$7+M))</f>
        <v>68.281882923895708</v>
      </c>
    </row>
    <row r="11" spans="1:22">
      <c r="A11" s="94">
        <v>5</v>
      </c>
      <c r="B11" s="105">
        <f t="shared" si="0"/>
        <v>-0.3560842095752268</v>
      </c>
      <c r="C11" s="105">
        <f t="shared" ca="1" si="1"/>
        <v>-1.0386461358043546E-2</v>
      </c>
      <c r="D11" s="105">
        <f t="shared" ca="1" si="2"/>
        <v>0.37261353864195645</v>
      </c>
      <c r="E11" s="138">
        <f t="shared" ca="1" si="3"/>
        <v>210.79078019832599</v>
      </c>
      <c r="G11" s="181"/>
      <c r="H11" s="182"/>
      <c r="K11" s="127">
        <v>5</v>
      </c>
      <c r="L11" s="132">
        <f ca="1">(bha*SUMPRODUCT(L10:V10,LH!$H$6:$R$6))/(1+bhb*SUMPRODUCT(L10:V10,LH!$H$6:$R$6))</f>
        <v>3644.2762237516681</v>
      </c>
      <c r="M11" s="132">
        <f ca="1">L10*EXP(-($D10*LH!H$7+M))</f>
        <v>2900.6387299943626</v>
      </c>
      <c r="N11" s="132">
        <f ca="1">M10*EXP(-($D10*LH!I$7+M))</f>
        <v>2332.985612446219</v>
      </c>
      <c r="O11" s="132">
        <f ca="1">N10*EXP(-($D10*LH!J$7+M))</f>
        <v>1862.7857184104739</v>
      </c>
      <c r="P11" s="132">
        <f ca="1">O10*EXP(-($D10*LH!K$7+M))</f>
        <v>1055.5842012675334</v>
      </c>
      <c r="Q11" s="132">
        <f ca="1">P10*EXP(-($D10*LH!L$7+M))</f>
        <v>540.97016800597498</v>
      </c>
      <c r="R11" s="132">
        <f ca="1">Q10*EXP(-($D10*LH!M$7+M))</f>
        <v>263.96507718737621</v>
      </c>
      <c r="S11" s="132">
        <f ca="1">R10*EXP(-($D10*LH!N$7+M))</f>
        <v>111.39782945667497</v>
      </c>
      <c r="T11" s="132">
        <f ca="1">S10*EXP(-($D10*LH!O$7+M))</f>
        <v>76.652755159194669</v>
      </c>
      <c r="U11" s="132">
        <f ca="1">T10*EXP(-($D10*LH!P$7+M))</f>
        <v>59.469409074357053</v>
      </c>
      <c r="V11" s="132">
        <f ca="1">U10*EXP(-($D10*LH!Q$7+M))</f>
        <v>46.304489595168334</v>
      </c>
    </row>
    <row r="12" spans="1:22">
      <c r="A12" s="94">
        <v>6</v>
      </c>
      <c r="B12" s="105">
        <f t="shared" si="0"/>
        <v>-0.37933765592194024</v>
      </c>
      <c r="C12" s="105">
        <f t="shared" ca="1" si="1"/>
        <v>-6.9631267659823179E-2</v>
      </c>
      <c r="D12" s="105">
        <f t="shared" ca="1" si="2"/>
        <v>0.31336873234017681</v>
      </c>
      <c r="E12" s="138">
        <f t="shared" ca="1" si="3"/>
        <v>249.99146572516293</v>
      </c>
      <c r="G12" s="86" t="s">
        <v>16</v>
      </c>
      <c r="H12" s="2">
        <v>0.38300000000000001</v>
      </c>
      <c r="K12" s="127">
        <v>6</v>
      </c>
      <c r="L12" s="132">
        <f ca="1">(bha*SUMPRODUCT(L11:V11,LH!$H$6:$R$6))/(1+bhb*SUMPRODUCT(L11:V11,LH!$H$6:$R$6))</f>
        <v>3616.9528546307993</v>
      </c>
      <c r="M12" s="132">
        <f ca="1">L11*EXP(-($D11*LH!H$7+M))</f>
        <v>2838.1651485894563</v>
      </c>
      <c r="N12" s="132">
        <f ca="1">M11*EXP(-($D11*LH!I$7+M))</f>
        <v>2258.9528549610236</v>
      </c>
      <c r="O12" s="132">
        <f ca="1">N11*EXP(-($D11*LH!J$7+M))</f>
        <v>1792.3705890260346</v>
      </c>
      <c r="P12" s="132">
        <f ca="1">O11*EXP(-($D11*LH!K$7+M))</f>
        <v>1070.7583093228784</v>
      </c>
      <c r="Q12" s="132">
        <f ca="1">P11*EXP(-($D11*LH!L$7+M))</f>
        <v>567.58127187353648</v>
      </c>
      <c r="R12" s="132">
        <f ca="1">Q11*EXP(-($D11*LH!M$7+M))</f>
        <v>290.28940226596308</v>
      </c>
      <c r="S12" s="132">
        <f ca="1">R11*EXP(-($D11*LH!N$7+M))</f>
        <v>141.6299568135455</v>
      </c>
      <c r="T12" s="132">
        <f ca="1">S11*EXP(-($D11*LH!O$7+M))</f>
        <v>59.769589465290409</v>
      </c>
      <c r="U12" s="132">
        <f ca="1">T11*EXP(-($D11*LH!P$7+M))</f>
        <v>41.127325171671721</v>
      </c>
      <c r="V12" s="132">
        <f ca="1">U11*EXP(-($D11*LH!Q$7+M))</f>
        <v>31.907745290366375</v>
      </c>
    </row>
    <row r="13" spans="1:22">
      <c r="A13" s="94">
        <v>7</v>
      </c>
      <c r="B13" s="105">
        <f t="shared" si="0"/>
        <v>-0.38107393452212796</v>
      </c>
      <c r="C13" s="105">
        <f t="shared" ca="1" si="1"/>
        <v>-4.4050662714451481E-2</v>
      </c>
      <c r="D13" s="105">
        <f t="shared" ca="1" si="2"/>
        <v>0.33894933728554855</v>
      </c>
      <c r="E13" s="138">
        <f t="shared" ca="1" si="3"/>
        <v>245.17952869964284</v>
      </c>
      <c r="G13" s="86" t="s">
        <v>95</v>
      </c>
      <c r="H13" s="9">
        <v>1E-3</v>
      </c>
      <c r="K13" s="127">
        <v>7</v>
      </c>
      <c r="L13" s="132">
        <f ca="1">(bha*SUMPRODUCT(L12:V12,LH!$H$6:$R$6))/(1+bhb*SUMPRODUCT(L12:V12,LH!$H$6:$R$6))</f>
        <v>3617.302123539846</v>
      </c>
      <c r="M13" s="132">
        <f ca="1">L12*EXP(-($D12*LH!H$7+M))</f>
        <v>2816.8856919830118</v>
      </c>
      <c r="N13" s="132">
        <f ca="1">M12*EXP(-($D12*LH!I$7+M))</f>
        <v>2210.3102222673219</v>
      </c>
      <c r="O13" s="132">
        <f ca="1">N12*EXP(-($D12*LH!J$7+M))</f>
        <v>1739.2527316283476</v>
      </c>
      <c r="P13" s="132">
        <f ca="1">O12*EXP(-($D12*LH!K$7+M))</f>
        <v>1081.2543128437369</v>
      </c>
      <c r="Q13" s="132">
        <f ca="1">P12*EXP(-($D12*LH!L$7+M))</f>
        <v>610.672000334671</v>
      </c>
      <c r="R13" s="132">
        <f ca="1">Q12*EXP(-($D12*LH!M$7+M))</f>
        <v>323.15195778520211</v>
      </c>
      <c r="S13" s="132">
        <f ca="1">R12*EXP(-($D12*LH!N$7+M))</f>
        <v>165.26029575956761</v>
      </c>
      <c r="T13" s="132">
        <f ca="1">S12*EXP(-($D12*LH!O$7+M))</f>
        <v>80.62842445666044</v>
      </c>
      <c r="U13" s="132">
        <f ca="1">T12*EXP(-($D12*LH!P$7+M))</f>
        <v>34.026134149202441</v>
      </c>
      <c r="V13" s="132">
        <f ca="1">U12*EXP(-($D12*LH!Q$7+M))</f>
        <v>23.413300120190033</v>
      </c>
    </row>
    <row r="14" spans="1:22">
      <c r="A14" s="94">
        <v>8</v>
      </c>
      <c r="B14" s="105">
        <f t="shared" si="0"/>
        <v>-0.3611945584544109</v>
      </c>
      <c r="C14" s="105">
        <f t="shared" ca="1" si="1"/>
        <v>8.3275822932976362E-2</v>
      </c>
      <c r="D14" s="105">
        <f t="shared" ca="1" si="2"/>
        <v>0.46627582293297637</v>
      </c>
      <c r="E14" s="138">
        <f t="shared" ca="1" si="3"/>
        <v>322.765655300101</v>
      </c>
      <c r="G14" s="86" t="s">
        <v>18</v>
      </c>
      <c r="H14" s="2">
        <v>4000</v>
      </c>
      <c r="K14" s="127">
        <v>8</v>
      </c>
      <c r="L14" s="132">
        <f ca="1">(bha*SUMPRODUCT(L13:V13,LH!$H$6:$R$6))/(1+bhb*SUMPRODUCT(L13:V13,LH!$H$6:$R$6))</f>
        <v>3645.9122287754985</v>
      </c>
      <c r="M14" s="132">
        <f ca="1">L13*EXP(-($D13*LH!H$7+M))</f>
        <v>2817.1577009591697</v>
      </c>
      <c r="N14" s="132">
        <f ca="1">M13*EXP(-($D13*LH!I$7+M))</f>
        <v>2193.7337198652035</v>
      </c>
      <c r="O14" s="132">
        <f ca="1">N13*EXP(-($D13*LH!J$7+M))</f>
        <v>1700.2116336187278</v>
      </c>
      <c r="P14" s="132">
        <f ca="1">O13*EXP(-($D13*LH!K$7+M))</f>
        <v>1027.5612290280233</v>
      </c>
      <c r="Q14" s="132">
        <f ca="1">P13*EXP(-($D13*LH!L$7+M))</f>
        <v>601.17225645576434</v>
      </c>
      <c r="R14" s="132">
        <f ca="1">Q13*EXP(-($D13*LH!M$7+M))</f>
        <v>338.90738787001675</v>
      </c>
      <c r="S14" s="132">
        <f ca="1">R13*EXP(-($D13*LH!N$7+M))</f>
        <v>179.32260990563981</v>
      </c>
      <c r="T14" s="132">
        <f ca="1">S13*EXP(-($D13*LH!O$7+M))</f>
        <v>91.704815401567984</v>
      </c>
      <c r="U14" s="132">
        <f ca="1">T13*EXP(-($D13*LH!P$7+M))</f>
        <v>44.741549112345965</v>
      </c>
      <c r="V14" s="132">
        <f ca="1">U13*EXP(-($D13*LH!Q$7+M))</f>
        <v>18.881446815141217</v>
      </c>
    </row>
    <row r="15" spans="1:22">
      <c r="A15" s="94">
        <v>9</v>
      </c>
      <c r="B15" s="105">
        <f t="shared" si="0"/>
        <v>-0.3208271454568849</v>
      </c>
      <c r="C15" s="105">
        <f t="shared" ca="1" si="1"/>
        <v>0.15991808244752706</v>
      </c>
      <c r="D15" s="105">
        <f t="shared" ca="1" si="2"/>
        <v>0.54291808244752704</v>
      </c>
      <c r="E15" s="138">
        <f t="shared" ca="1" si="3"/>
        <v>188.21844666700929</v>
      </c>
      <c r="G15" s="86" t="s">
        <v>14</v>
      </c>
      <c r="H15" s="2">
        <v>0.25</v>
      </c>
      <c r="K15" s="127">
        <v>9</v>
      </c>
      <c r="L15" s="132">
        <f ca="1">(bha*SUMPRODUCT(L14:V14,LH!$H$6:$R$6))/(1+bhb*SUMPRODUCT(L14:V14,LH!$H$6:$R$6))</f>
        <v>3654.6184763500273</v>
      </c>
      <c r="M15" s="132">
        <f ca="1">L14*EXP(-($D14*LH!H$7+M))</f>
        <v>2839.4392634795627</v>
      </c>
      <c r="N15" s="132">
        <f ca="1">M14*EXP(-($D14*LH!I$7+M))</f>
        <v>2193.9233662362903</v>
      </c>
      <c r="O15" s="132">
        <f ca="1">N14*EXP(-($D14*LH!J$7+M))</f>
        <v>1679.631183647741</v>
      </c>
      <c r="P15" s="132">
        <f ca="1">O14*EXP(-($D14*LH!K$7+M))</f>
        <v>905.47599299700198</v>
      </c>
      <c r="Q15" s="132">
        <f ca="1">P14*EXP(-($D14*LH!L$7+M))</f>
        <v>503.3850872001907</v>
      </c>
      <c r="R15" s="132">
        <f ca="1">Q14*EXP(-($D14*LH!M$7+M))</f>
        <v>293.76072377206521</v>
      </c>
      <c r="S15" s="132">
        <f ca="1">R14*EXP(-($D14*LH!N$7+M))</f>
        <v>165.58242914758725</v>
      </c>
      <c r="T15" s="132">
        <f ca="1">S14*EXP(-($D14*LH!O$7+M))</f>
        <v>87.611653212989197</v>
      </c>
      <c r="U15" s="132">
        <f ca="1">T14*EXP(-($D14*LH!P$7+M))</f>
        <v>44.804115023468164</v>
      </c>
      <c r="V15" s="132">
        <f ca="1">U14*EXP(-($D14*LH!Q$7+M))</f>
        <v>21.859313902875638</v>
      </c>
    </row>
    <row r="16" spans="1:22">
      <c r="A16" s="94">
        <v>10</v>
      </c>
      <c r="B16" s="105">
        <f t="shared" si="0"/>
        <v>-0.26226145607243612</v>
      </c>
      <c r="C16" s="105">
        <f t="shared" ca="1" si="1"/>
        <v>0.12008101545300932</v>
      </c>
      <c r="D16" s="105">
        <f t="shared" ca="1" si="2"/>
        <v>0.50308101545300932</v>
      </c>
      <c r="E16" s="138">
        <f t="shared" ca="1" si="3"/>
        <v>98.459544473140014</v>
      </c>
      <c r="G16" s="86" t="s">
        <v>41</v>
      </c>
      <c r="H16" s="2">
        <v>0.85</v>
      </c>
      <c r="K16" s="127">
        <v>10</v>
      </c>
      <c r="L16" s="132">
        <f ca="1">(bha*SUMPRODUCT(L15:V15,LH!$H$6:$R$6))/(1+bhb*SUMPRODUCT(L15:V15,LH!$H$6:$R$6))</f>
        <v>3601.940157315451</v>
      </c>
      <c r="M16" s="132">
        <f ca="1">L15*EXP(-($D15*LH!H$7+M))</f>
        <v>2846.219690007702</v>
      </c>
      <c r="N16" s="132">
        <f ca="1">M15*EXP(-($D15*LH!I$7+M))</f>
        <v>2211.2621601928226</v>
      </c>
      <c r="O16" s="132">
        <f ca="1">N15*EXP(-($D15*LH!J$7+M))</f>
        <v>1675.0806581234287</v>
      </c>
      <c r="P16" s="132">
        <f ca="1">O15*EXP(-($D15*LH!K$7+M))</f>
        <v>840.34581437070131</v>
      </c>
      <c r="Q16" s="132">
        <f ca="1">P15*EXP(-($D15*LH!L$7+M))</f>
        <v>411.03247089181696</v>
      </c>
      <c r="R16" s="132">
        <f ca="1">Q15*EXP(-($D15*LH!M$7+M))</f>
        <v>227.83542322082587</v>
      </c>
      <c r="S16" s="132">
        <f ca="1">R15*EXP(-($D15*LH!N$7+M))</f>
        <v>132.93609676459837</v>
      </c>
      <c r="T16" s="132">
        <f ca="1">S15*EXP(-($D15*LH!O$7+M))</f>
        <v>74.930046794669622</v>
      </c>
      <c r="U16" s="132">
        <f ca="1">T15*EXP(-($D15*LH!P$7+M))</f>
        <v>39.646275389609187</v>
      </c>
      <c r="V16" s="132">
        <f ca="1">U15*EXP(-($D15*LH!Q$7+M))</f>
        <v>20.274872281444644</v>
      </c>
    </row>
    <row r="17" spans="1:22">
      <c r="A17" s="94">
        <v>11</v>
      </c>
      <c r="B17" s="105">
        <f t="shared" si="0"/>
        <v>-0.18881951157420593</v>
      </c>
      <c r="C17" s="105">
        <f t="shared" ca="1" si="1"/>
        <v>0.16081804050121723</v>
      </c>
      <c r="D17" s="105">
        <f t="shared" ca="1" si="2"/>
        <v>0.54381804050121718</v>
      </c>
      <c r="E17" s="138">
        <f t="shared" ca="1" si="3"/>
        <v>257.34324021839222</v>
      </c>
      <c r="G17" s="86" t="s">
        <v>20</v>
      </c>
      <c r="H17" s="133">
        <f>SUMPRODUCT(L7:V7,LH!H6:R6)</f>
        <v>21859.82135523067</v>
      </c>
      <c r="K17" s="127">
        <v>11</v>
      </c>
      <c r="L17" s="132">
        <f ca="1">(bha*SUMPRODUCT(L16:V16,LH!$H$6:$R$6))/(1+bhb*SUMPRODUCT(L16:V16,LH!$H$6:$R$6))</f>
        <v>3516.9774320600004</v>
      </c>
      <c r="M17" s="132">
        <f ca="1">L16*EXP(-($D16*LH!H$7+M))</f>
        <v>2805.1937774661424</v>
      </c>
      <c r="N17" s="132">
        <f ca="1">M16*EXP(-($D16*LH!I$7+M))</f>
        <v>2216.5495477762943</v>
      </c>
      <c r="O17" s="132">
        <f ca="1">N16*EXP(-($D16*LH!J$7+M))</f>
        <v>1690.7773653096133</v>
      </c>
      <c r="P17" s="132">
        <f ca="1">O16*EXP(-($D16*LH!K$7+M))</f>
        <v>865.72781309402455</v>
      </c>
      <c r="Q17" s="132">
        <f ca="1">P16*EXP(-($D16*LH!L$7+M))</f>
        <v>396.87936863231988</v>
      </c>
      <c r="R17" s="132">
        <f ca="1">Q16*EXP(-($D16*LH!M$7+M))</f>
        <v>193.5941011690642</v>
      </c>
      <c r="S17" s="132">
        <f ca="1">R16*EXP(-($D16*LH!N$7+M))</f>
        <v>107.29285183605374</v>
      </c>
      <c r="T17" s="132">
        <f ca="1">S16*EXP(-($D16*LH!O$7+M))</f>
        <v>62.601619818737703</v>
      </c>
      <c r="U17" s="132">
        <f ca="1">T16*EXP(-($D16*LH!P$7+M))</f>
        <v>35.285599940741072</v>
      </c>
      <c r="V17" s="132">
        <f ca="1">U16*EXP(-($D16*LH!Q$7+M))</f>
        <v>18.669970113106615</v>
      </c>
    </row>
    <row r="18" spans="1:22">
      <c r="A18" s="94">
        <v>12</v>
      </c>
      <c r="B18" s="105">
        <f t="shared" si="0"/>
        <v>-0.10466715897139436</v>
      </c>
      <c r="C18" s="105">
        <f t="shared" ca="1" si="1"/>
        <v>0.31345216056238068</v>
      </c>
      <c r="D18" s="105">
        <f t="shared" ca="1" si="2"/>
        <v>0.69645216056238068</v>
      </c>
      <c r="E18" s="138">
        <f t="shared" ca="1" si="3"/>
        <v>361.78916485551889</v>
      </c>
      <c r="G18" s="86" t="s">
        <v>9</v>
      </c>
      <c r="H18" s="134">
        <f>(4*h*Ro)/((1-h)*H17)</f>
        <v>4.1476398728652795</v>
      </c>
      <c r="K18" s="127">
        <v>12</v>
      </c>
      <c r="L18" s="132">
        <f ca="1">(bha*SUMPRODUCT(L17:V17,LH!$H$6:$R$6))/(1+bhb*SUMPRODUCT(L17:V17,LH!$H$6:$R$6))</f>
        <v>3473.2513734738991</v>
      </c>
      <c r="M18" s="132">
        <f ca="1">L17*EXP(-($D17*LH!H$7+M))</f>
        <v>2739.0247384178574</v>
      </c>
      <c r="N18" s="132">
        <f ca="1">M17*EXP(-($D17*LH!I$7+M))</f>
        <v>2184.5927428282839</v>
      </c>
      <c r="O18" s="132">
        <f ca="1">N17*EXP(-($D17*LH!J$7+M))</f>
        <v>1692.3003271723724</v>
      </c>
      <c r="P18" s="132">
        <f ca="1">O17*EXP(-($D17*LH!K$7+M))</f>
        <v>845.30214316563979</v>
      </c>
      <c r="Q18" s="132">
        <f ca="1">P17*EXP(-($D17*LH!L$7+M))</f>
        <v>392.63767363191613</v>
      </c>
      <c r="R18" s="132">
        <f ca="1">Q17*EXP(-($D17*LH!M$7+M))</f>
        <v>179.46869828847852</v>
      </c>
      <c r="S18" s="132">
        <f ca="1">R17*EXP(-($D17*LH!N$7+M))</f>
        <v>87.528700745397074</v>
      </c>
      <c r="T18" s="132">
        <f ca="1">S17*EXP(-($D17*LH!O$7+M))</f>
        <v>48.508930456565388</v>
      </c>
      <c r="U18" s="132">
        <f ca="1">T17*EXP(-($D17*LH!P$7+M))</f>
        <v>28.303180599566321</v>
      </c>
      <c r="V18" s="132">
        <f ca="1">U17*EXP(-($D17*LH!Q$7+M))</f>
        <v>15.953165953024957</v>
      </c>
    </row>
    <row r="19" spans="1:22" ht="17" thickBot="1">
      <c r="A19" s="94">
        <v>13</v>
      </c>
      <c r="B19" s="105">
        <f t="shared" si="0"/>
        <v>-1.4577771692533662E-2</v>
      </c>
      <c r="C19" s="105">
        <f t="shared" ca="1" si="1"/>
        <v>0.4172329486817295</v>
      </c>
      <c r="D19" s="105">
        <f t="shared" ca="1" si="2"/>
        <v>0.80023294868172945</v>
      </c>
      <c r="E19" s="138">
        <f t="shared" ca="1" si="3"/>
        <v>368.12206767725206</v>
      </c>
      <c r="G19" s="136" t="s">
        <v>10</v>
      </c>
      <c r="H19" s="135">
        <f>(5*H16-1)/((1-h)*H17)</f>
        <v>9.9116394020677635E-4</v>
      </c>
      <c r="K19" s="127">
        <v>13</v>
      </c>
      <c r="L19" s="132">
        <f ca="1">(bha*SUMPRODUCT(L18:V18,LH!$H$6:$R$6))/(1+bhb*SUMPRODUCT(L18:V18,LH!$H$6:$R$6))</f>
        <v>3427.6028723914364</v>
      </c>
      <c r="M19" s="132">
        <f ca="1">L18*EXP(-($D18*LH!H$7+M))</f>
        <v>2704.9708392358916</v>
      </c>
      <c r="N19" s="132">
        <f ca="1">M18*EXP(-($D18*LH!I$7+M))</f>
        <v>2133.036608514496</v>
      </c>
      <c r="O19" s="132">
        <f ca="1">N18*EXP(-($D18*LH!J$7+M))</f>
        <v>1658.6291835553948</v>
      </c>
      <c r="P19" s="132">
        <f ca="1">O18*EXP(-($D18*LH!K$7+M))</f>
        <v>747.09103066233376</v>
      </c>
      <c r="Q19" s="132">
        <f ca="1">P18*EXP(-($D18*LH!L$7+M))</f>
        <v>329.39463045799505</v>
      </c>
      <c r="R19" s="132">
        <f ca="1">Q18*EXP(-($D18*LH!M$7+M))</f>
        <v>152.42518522238657</v>
      </c>
      <c r="S19" s="132">
        <f ca="1">R18*EXP(-($D18*LH!N$7+M))</f>
        <v>69.656474270669634</v>
      </c>
      <c r="T19" s="132">
        <f ca="1">S18*EXP(-($D18*LH!O$7+M))</f>
        <v>33.971421092824052</v>
      </c>
      <c r="U19" s="132">
        <f ca="1">T18*EXP(-($D18*LH!P$7+M))</f>
        <v>18.8270963814699</v>
      </c>
      <c r="V19" s="132">
        <f ca="1">U18*EXP(-($D18*LH!Q$7+M))</f>
        <v>10.984910219373118</v>
      </c>
    </row>
    <row r="20" spans="1:22">
      <c r="A20" s="94">
        <v>14</v>
      </c>
      <c r="B20" s="105">
        <f t="shared" si="0"/>
        <v>7.6338510448943436E-2</v>
      </c>
      <c r="C20" s="105">
        <f t="shared" ca="1" si="1"/>
        <v>0.45199236514990765</v>
      </c>
      <c r="D20" s="105">
        <f t="shared" ca="1" si="2"/>
        <v>0.8349923651499076</v>
      </c>
      <c r="E20" s="138">
        <f t="shared" ca="1" si="3"/>
        <v>424.81370069776273</v>
      </c>
      <c r="K20" s="127">
        <v>14</v>
      </c>
      <c r="L20" s="132">
        <f ca="1">(bha*SUMPRODUCT(L19:V19,LH!$H$6:$R$6))/(1+bhb*SUMPRODUCT(L19:V19,LH!$H$6:$R$6))</f>
        <v>3313.8168468921263</v>
      </c>
      <c r="M20" s="132">
        <f ca="1">L19*EXP(-($D19*LH!H$7+M))</f>
        <v>2669.4197441205038</v>
      </c>
      <c r="N20" s="132">
        <f ca="1">M19*EXP(-($D19*LH!I$7+M))</f>
        <v>2106.4995074601006</v>
      </c>
      <c r="O20" s="132">
        <f ca="1">N19*EXP(-($D19*LH!J$7+M))</f>
        <v>1613.3585267976898</v>
      </c>
      <c r="P20" s="132">
        <f ca="1">O19*EXP(-($D19*LH!K$7+M))</f>
        <v>672.83571973070764</v>
      </c>
      <c r="Q20" s="132">
        <f ca="1">P19*EXP(-($D19*LH!L$7+M))</f>
        <v>262.58290493013106</v>
      </c>
      <c r="R20" s="132">
        <f ca="1">Q19*EXP(-($D19*LH!M$7+M))</f>
        <v>115.2723933021522</v>
      </c>
      <c r="S20" s="132">
        <f ca="1">R19*EXP(-($D19*LH!N$7+M))</f>
        <v>53.328556806307681</v>
      </c>
      <c r="T20" s="132">
        <f ca="1">S19*EXP(-($D19*LH!O$7+M))</f>
        <v>24.369893031255458</v>
      </c>
      <c r="U20" s="132">
        <f ca="1">T19*EXP(-($D19*LH!P$7+M))</f>
        <v>11.885132471262292</v>
      </c>
      <c r="V20" s="132">
        <f ca="1">U19*EXP(-($D19*LH!Q$7+M))</f>
        <v>6.5867810023288422</v>
      </c>
    </row>
    <row r="21" spans="1:22">
      <c r="A21" s="94">
        <v>15</v>
      </c>
      <c r="B21" s="105">
        <f t="shared" si="0"/>
        <v>0.1629246436869122</v>
      </c>
      <c r="C21" s="105">
        <f t="shared" ca="1" si="1"/>
        <v>0.57080803852935225</v>
      </c>
      <c r="D21" s="105">
        <f t="shared" ca="1" si="2"/>
        <v>0.95380803852935225</v>
      </c>
      <c r="E21" s="138">
        <f t="shared" ca="1" si="3"/>
        <v>455.48595919819064</v>
      </c>
      <c r="K21" s="127">
        <v>15</v>
      </c>
      <c r="L21" s="132">
        <f ca="1">(bha*SUMPRODUCT(L20:V20,LH!$H$6:$R$6))/(1+bhb*SUMPRODUCT(L20:V20,LH!$H$6:$R$6))</f>
        <v>3170.1795904334845</v>
      </c>
      <c r="M21" s="132">
        <f ca="1">L20*EXP(-($D20*LH!H$7+M))</f>
        <v>2580.8030978579791</v>
      </c>
      <c r="N21" s="132">
        <f ca="1">M20*EXP(-($D20*LH!I$7+M))</f>
        <v>2078.8083070343619</v>
      </c>
      <c r="O21" s="132">
        <f ca="1">N20*EXP(-($D20*LH!J$7+M))</f>
        <v>1591.2652020749583</v>
      </c>
      <c r="P21" s="132">
        <f ca="1">O20*EXP(-($D20*LH!K$7+M))</f>
        <v>636.18947415183334</v>
      </c>
      <c r="Q21" s="132">
        <f ca="1">P20*EXP(-($D20*LH!L$7+M))</f>
        <v>228.45105045464459</v>
      </c>
      <c r="R21" s="132">
        <f ca="1">Q20*EXP(-($D20*LH!M$7+M))</f>
        <v>88.753317791746611</v>
      </c>
      <c r="S21" s="132">
        <f ca="1">R20*EXP(-($D20*LH!N$7+M))</f>
        <v>38.952305888498614</v>
      </c>
      <c r="T21" s="132">
        <f ca="1">S20*EXP(-($D20*LH!O$7+M))</f>
        <v>18.020060780696582</v>
      </c>
      <c r="U21" s="132">
        <f ca="1">T20*EXP(-($D20*LH!P$7+M))</f>
        <v>8.2347068276827997</v>
      </c>
      <c r="V21" s="132">
        <f ca="1">U20*EXP(-($D20*LH!Q$7+M))</f>
        <v>4.0160405873254339</v>
      </c>
    </row>
    <row r="22" spans="1:22">
      <c r="A22" s="94">
        <v>16</v>
      </c>
      <c r="B22" s="105">
        <f t="shared" si="0"/>
        <v>0.240269203267412</v>
      </c>
      <c r="C22" s="105">
        <f t="shared" ca="1" si="1"/>
        <v>0.72892602018802499</v>
      </c>
      <c r="D22" s="105">
        <f t="shared" ca="1" si="2"/>
        <v>1.111926020188025</v>
      </c>
      <c r="E22" s="138">
        <f t="shared" ca="1" si="3"/>
        <v>423.39417889356008</v>
      </c>
      <c r="G22" t="s">
        <v>100</v>
      </c>
      <c r="H22">
        <v>0.75</v>
      </c>
      <c r="K22" s="127">
        <v>16</v>
      </c>
      <c r="L22" s="132">
        <f ca="1">(bha*SUMPRODUCT(L21:V21,LH!$H$6:$R$6))/(1+bhb*SUMPRODUCT(L21:V21,LH!$H$6:$R$6))</f>
        <v>3055.5418767104647</v>
      </c>
      <c r="M22" s="132">
        <f ca="1">L21*EXP(-($D21*LH!H$7+M))</f>
        <v>2468.938284718758</v>
      </c>
      <c r="N22" s="132">
        <f ca="1">M21*EXP(-($D21*LH!I$7+M))</f>
        <v>2009.7792030536179</v>
      </c>
      <c r="O22" s="132">
        <f ca="1">N21*EXP(-($D21*LH!J$7+M))</f>
        <v>1563.5469193930635</v>
      </c>
      <c r="P22" s="132">
        <f ca="1">O21*EXP(-($D21*LH!K$7+M))</f>
        <v>569.56036154348828</v>
      </c>
      <c r="Q22" s="132">
        <f ca="1">P21*EXP(-($D21*LH!L$7+M))</f>
        <v>191.94068959666137</v>
      </c>
      <c r="R22" s="132">
        <f ca="1">Q21*EXP(-($D21*LH!M$7+M))</f>
        <v>68.569030682630611</v>
      </c>
      <c r="S22" s="132">
        <f ca="1">R21*EXP(-($D21*LH!N$7+M))</f>
        <v>26.631367518769217</v>
      </c>
      <c r="T22" s="132">
        <f ca="1">S21*EXP(-($D21*LH!O$7+M))</f>
        <v>11.687697800642601</v>
      </c>
      <c r="U22" s="132">
        <f ca="1">T21*EXP(-($D21*LH!P$7+M))</f>
        <v>5.4069192199000584</v>
      </c>
      <c r="V22" s="132">
        <f ca="1">U21*EXP(-($D21*LH!Q$7+M))</f>
        <v>2.4708208346060232</v>
      </c>
    </row>
    <row r="23" spans="1:22">
      <c r="A23" s="94">
        <v>17</v>
      </c>
      <c r="B23" s="105">
        <f t="shared" si="0"/>
        <v>0.30398497416764209</v>
      </c>
      <c r="C23" s="105">
        <f t="shared" ca="1" si="1"/>
        <v>0.65674516642298841</v>
      </c>
      <c r="D23" s="105">
        <f t="shared" ca="1" si="2"/>
        <v>1.0397451664229884</v>
      </c>
      <c r="E23" s="138">
        <f t="shared" ca="1" si="3"/>
        <v>623.65118667029765</v>
      </c>
      <c r="G23" t="s">
        <v>99</v>
      </c>
      <c r="H23">
        <v>1</v>
      </c>
      <c r="K23" s="127">
        <v>17</v>
      </c>
      <c r="L23" s="132">
        <f ca="1">(bha*SUMPRODUCT(L22:V22,LH!$H$6:$R$6))/(1+bhb*SUMPRODUCT(L22:V22,LH!$H$6:$R$6))</f>
        <v>2910.5856022082348</v>
      </c>
      <c r="M23" s="132">
        <f ca="1">L22*EXP(-($D22*LH!H$7+M))</f>
        <v>2379.6583357399518</v>
      </c>
      <c r="N23" s="132">
        <f ca="1">M22*EXP(-($D22*LH!I$7+M))</f>
        <v>1922.6412516367348</v>
      </c>
      <c r="O23" s="132">
        <f ca="1">N22*EXP(-($D22*LH!J$7+M))</f>
        <v>1502.9227389284815</v>
      </c>
      <c r="P23" s="132">
        <f ca="1">O22*EXP(-($D22*LH!K$7+M))</f>
        <v>491.96869677978287</v>
      </c>
      <c r="Q23" s="132">
        <f ca="1">P22*EXP(-($D22*LH!L$7+M))</f>
        <v>146.84068221501545</v>
      </c>
      <c r="R23" s="132">
        <f ca="1">Q22*EXP(-($D22*LH!M$7+M))</f>
        <v>49.18760550992419</v>
      </c>
      <c r="S23" s="132">
        <f ca="1">R22*EXP(-($D22*LH!N$7+M))</f>
        <v>17.565874540963488</v>
      </c>
      <c r="T23" s="132">
        <f ca="1">S22*EXP(-($D22*LH!O$7+M))</f>
        <v>6.8221301214262979</v>
      </c>
      <c r="U23" s="132">
        <f ca="1">T22*EXP(-($D22*LH!P$7+M))</f>
        <v>2.9940081091495805</v>
      </c>
      <c r="V23" s="132">
        <f ca="1">U22*EXP(-($D22*LH!Q$7+M))</f>
        <v>1.3850749567618492</v>
      </c>
    </row>
    <row r="24" spans="1:22">
      <c r="A24" s="94">
        <v>18</v>
      </c>
      <c r="B24" s="105">
        <f t="shared" si="0"/>
        <v>0.35045780706929286</v>
      </c>
      <c r="C24" s="105">
        <f t="shared" ca="1" si="1"/>
        <v>0.55358643957880316</v>
      </c>
      <c r="D24" s="105">
        <f t="shared" ca="1" si="2"/>
        <v>0.93658643957880316</v>
      </c>
      <c r="E24" s="138">
        <f t="shared" ca="1" si="3"/>
        <v>784.30481962449301</v>
      </c>
      <c r="G24" s="123" t="s">
        <v>68</v>
      </c>
      <c r="H24">
        <v>0.1</v>
      </c>
      <c r="K24" s="127">
        <v>18</v>
      </c>
      <c r="L24" s="132">
        <f ca="1">(bha*SUMPRODUCT(L23:V23,LH!$H$6:$R$6))/(1+bhb*SUMPRODUCT(L23:V23,LH!$H$6:$R$6))</f>
        <v>2716.4286122390558</v>
      </c>
      <c r="M24" s="132">
        <f ca="1">L23*EXP(-($D23*LH!H$7+M))</f>
        <v>2266.7662833558825</v>
      </c>
      <c r="N24" s="132">
        <f ca="1">M23*EXP(-($D23*LH!I$7+M))</f>
        <v>1853.1267229706202</v>
      </c>
      <c r="O24" s="132">
        <f ca="1">N23*EXP(-($D23*LH!J$7+M))</f>
        <v>1441.556078906475</v>
      </c>
      <c r="P24" s="132">
        <f ca="1">O23*EXP(-($D23*LH!K$7+M))</f>
        <v>501.5495006882656</v>
      </c>
      <c r="Q24" s="132">
        <f ca="1">P23*EXP(-($D23*LH!L$7+M))</f>
        <v>136.27342015028535</v>
      </c>
      <c r="R24" s="132">
        <f ca="1">Q23*EXP(-($D23*LH!M$7+M))</f>
        <v>40.44566882860191</v>
      </c>
      <c r="S24" s="132">
        <f ca="1">R23*EXP(-($D23*LH!N$7+M))</f>
        <v>13.543907495681605</v>
      </c>
      <c r="T24" s="132">
        <f ca="1">S23*EXP(-($D23*LH!O$7+M))</f>
        <v>4.8366407148114865</v>
      </c>
      <c r="U24" s="132">
        <f ca="1">T23*EXP(-($D23*LH!P$7+M))</f>
        <v>1.8784155795796753</v>
      </c>
      <c r="V24" s="132">
        <f ca="1">U23*EXP(-($D23*LH!Q$7+M))</f>
        <v>0.82437363109574735</v>
      </c>
    </row>
    <row r="25" spans="1:22">
      <c r="A25" s="94">
        <v>19</v>
      </c>
      <c r="B25" s="105">
        <f t="shared" si="0"/>
        <v>0.377051623730222</v>
      </c>
      <c r="C25" s="105">
        <f t="shared" ca="1" si="1"/>
        <v>0.6181545267638473</v>
      </c>
      <c r="D25" s="105">
        <f t="shared" ca="1" si="2"/>
        <v>1.0011545267638473</v>
      </c>
      <c r="E25" s="138">
        <f t="shared" ca="1" si="3"/>
        <v>659.44144584790536</v>
      </c>
      <c r="K25" s="127">
        <v>19</v>
      </c>
      <c r="L25" s="132">
        <f ca="1">(bha*SUMPRODUCT(L24:V24,LH!$H$6:$R$6))/(1+bhb*SUMPRODUCT(L24:V24,LH!$H$6:$R$6))</f>
        <v>2657.8074910482019</v>
      </c>
      <c r="M25" s="132">
        <f ca="1">L24*EXP(-($D24*LH!H$7+M))</f>
        <v>2115.5566775398147</v>
      </c>
      <c r="N25" s="132">
        <f ca="1">M24*EXP(-($D24*LH!I$7+M))</f>
        <v>1765.228029263518</v>
      </c>
      <c r="O25" s="132">
        <f ca="1">N24*EXP(-($D24*LH!J$7+M))</f>
        <v>1394.6806430017909</v>
      </c>
      <c r="P25" s="132">
        <f ca="1">O24*EXP(-($D24*LH!K$7+M))</f>
        <v>523.26879769175014</v>
      </c>
      <c r="Q25" s="132">
        <f ca="1">P24*EXP(-($D24*LH!L$7+M))</f>
        <v>153.93256520125999</v>
      </c>
      <c r="R25" s="132">
        <f ca="1">Q24*EXP(-($D24*LH!M$7+M))</f>
        <v>41.612392617027872</v>
      </c>
      <c r="S25" s="132">
        <f ca="1">R24*EXP(-($D24*LH!N$7+M))</f>
        <v>12.346954509037758</v>
      </c>
      <c r="T25" s="132">
        <f ca="1">S24*EXP(-($D24*LH!O$7+M))</f>
        <v>4.1344616904350033</v>
      </c>
      <c r="U25" s="132">
        <f ca="1">T24*EXP(-($D24*LH!P$7+M))</f>
        <v>1.4764430090054868</v>
      </c>
      <c r="V25" s="132">
        <f ca="1">U24*EXP(-($D24*LH!Q$7+M))</f>
        <v>0.57340837832788771</v>
      </c>
    </row>
    <row r="26" spans="1:22" ht="17" thickBot="1">
      <c r="A26" s="94">
        <v>20</v>
      </c>
      <c r="B26" s="105">
        <f t="shared" si="0"/>
        <v>0.38225794323591861</v>
      </c>
      <c r="C26" s="105">
        <f t="shared" ca="1" si="1"/>
        <v>0.76318856076835362</v>
      </c>
      <c r="D26" s="105">
        <f t="shared" ca="1" si="2"/>
        <v>1.1461885607683535</v>
      </c>
      <c r="E26" s="139">
        <f t="shared" ca="1" si="3"/>
        <v>587.47647900383254</v>
      </c>
      <c r="K26" s="128">
        <v>20</v>
      </c>
      <c r="L26" s="132">
        <f ca="1">(bha*SUMPRODUCT(L25:V25,LH!$H$6:$R$6))/(1+bhb*SUMPRODUCT(L25:V25,LH!$H$6:$R$6))</f>
        <v>2690.6768308926676</v>
      </c>
      <c r="M26" s="132">
        <f ca="1">L25*EXP(-($D25*LH!H$7+M))</f>
        <v>2069.9025000284655</v>
      </c>
      <c r="N26" s="132">
        <f ca="1">M25*EXP(-($D25*LH!I$7+M))</f>
        <v>1647.4661809237589</v>
      </c>
      <c r="O26" s="132">
        <f ca="1">N25*EXP(-($D25*LH!J$7+M))</f>
        <v>1325.3978126460338</v>
      </c>
      <c r="P26" s="132">
        <f ca="1">O25*EXP(-($D25*LH!K$7+M))</f>
        <v>480.29962092827873</v>
      </c>
      <c r="Q26" s="132">
        <f ca="1">P25*EXP(-($D25*LH!L$7+M))</f>
        <v>150.61270849548828</v>
      </c>
      <c r="R26" s="132">
        <f ca="1">Q25*EXP(-($D25*LH!M$7+M))</f>
        <v>44.06665543010422</v>
      </c>
      <c r="S26" s="132">
        <f ca="1">R25*EXP(-($D25*LH!N$7+M))</f>
        <v>11.908855815776681</v>
      </c>
      <c r="T26" s="132">
        <f ca="1">S25*EXP(-($D25*LH!O$7+M))</f>
        <v>3.5334054921029607</v>
      </c>
      <c r="U26" s="132">
        <f ca="1">T25*EXP(-($D25*LH!P$7+M))</f>
        <v>1.1831786486562565</v>
      </c>
      <c r="V26" s="132">
        <f ca="1">U25*EXP(-($D25*LH!Q$7+M))</f>
        <v>0.42252021965521458</v>
      </c>
    </row>
    <row r="28" spans="1:22" ht="17" thickBot="1">
      <c r="D28" s="105"/>
      <c r="E28" s="105"/>
    </row>
    <row r="29" spans="1:22">
      <c r="D29" s="105"/>
      <c r="E29" s="105"/>
      <c r="K29" s="153" t="s">
        <v>39</v>
      </c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5"/>
    </row>
    <row r="30" spans="1:22">
      <c r="D30" s="105"/>
      <c r="E30" s="105"/>
      <c r="I30" t="s">
        <v>45</v>
      </c>
      <c r="K30" s="15"/>
      <c r="L30" s="28" t="s">
        <v>37</v>
      </c>
      <c r="M30" s="28"/>
      <c r="N30" s="28"/>
      <c r="O30" s="28"/>
      <c r="P30" s="28"/>
      <c r="Q30" s="28"/>
      <c r="R30" s="28"/>
      <c r="S30" s="28"/>
      <c r="T30" s="28"/>
      <c r="U30" s="28"/>
      <c r="V30" s="29"/>
    </row>
    <row r="31" spans="1:22">
      <c r="D31" s="105"/>
      <c r="E31" s="105"/>
      <c r="I31" s="58">
        <v>0.36887663131066306</v>
      </c>
      <c r="J31" s="58"/>
      <c r="K31" s="32" t="s">
        <v>38</v>
      </c>
      <c r="L31" s="30">
        <v>0</v>
      </c>
      <c r="M31" s="30">
        <v>1</v>
      </c>
      <c r="N31" s="30">
        <v>2</v>
      </c>
      <c r="O31" s="30">
        <v>3</v>
      </c>
      <c r="P31" s="30">
        <v>4</v>
      </c>
      <c r="Q31" s="30">
        <v>5</v>
      </c>
      <c r="R31" s="30">
        <v>6</v>
      </c>
      <c r="S31" s="30">
        <v>7</v>
      </c>
      <c r="T31" s="30">
        <v>8</v>
      </c>
      <c r="U31" s="30">
        <v>9</v>
      </c>
      <c r="V31" s="31">
        <v>10</v>
      </c>
    </row>
    <row r="32" spans="1:22">
      <c r="D32" s="105"/>
      <c r="E32" s="105"/>
      <c r="I32" s="58">
        <v>0.52056847993581967</v>
      </c>
      <c r="J32" s="58"/>
      <c r="K32" s="33">
        <v>1</v>
      </c>
      <c r="L32" s="18">
        <f ca="1">FLOOR((($D7*LH!H$7)/(($D7*LH!H$7)+M))*('CAA simulation'!L7*EXP(-(($D7*LH!H$7)+M))),1)</f>
        <v>0</v>
      </c>
      <c r="M32" s="18">
        <f ca="1">FLOOR((($D7*LH!I$7)/(($D7*LH!I$7)+M))*('CAA simulation'!M7*EXP(-(($D7*LH!I$7)+M))),1)</f>
        <v>0</v>
      </c>
      <c r="N32" s="18">
        <f ca="1">FLOOR((($D7*LH!J$7)/(($D7*LH!J$7)+M))*('CAA simulation'!N7*EXP(-(($D7*LH!J$7)+M))),1)</f>
        <v>165</v>
      </c>
      <c r="O32" s="18">
        <f ca="1">FLOOR((($D7*LH!K$7)/(($D7*LH!K$7)+M))*('CAA simulation'!O7*EXP(-(($D7*LH!K$7)+M))),1)</f>
        <v>583</v>
      </c>
      <c r="P32" s="18">
        <f ca="1">FLOOR((($D7*LH!L$7)/(($D7*LH!L$7)+M))*('CAA simulation'!P7*EXP(-(($D7*LH!L$7)+M))),1)</f>
        <v>426</v>
      </c>
      <c r="Q32" s="18">
        <f ca="1">FLOOR((($D7*LH!M$7)/(($D7*LH!M$7)+M))*('CAA simulation'!Q7*EXP(-(($D7*LH!M$7)+M))),1)</f>
        <v>331</v>
      </c>
      <c r="R32" s="18">
        <f ca="1">FLOOR((($D7*LH!N$7)/(($D7*LH!N$7)+M))*('CAA simulation'!R7*EXP(-(($D7*LH!N$7)+M))),1)</f>
        <v>258</v>
      </c>
      <c r="S32" s="18">
        <f ca="1">FLOOR((($D7*LH!O$7)/(($D7*LH!O$7)+M))*('CAA simulation'!S7*EXP(-(($D7*LH!O$7)+M))),1)</f>
        <v>200</v>
      </c>
      <c r="T32" s="18">
        <f ca="1">FLOOR((($D7*LH!P$7)/(($D7*LH!P$7)+M))*('CAA simulation'!T7*EXP(-(($D7*LH!P$7)+M))),1)</f>
        <v>156</v>
      </c>
      <c r="U32" s="18">
        <f ca="1">FLOOR((($D7*LH!Q$7)/(($D7*LH!Q$7)+M))*('CAA simulation'!U7*EXP(-(($D7*LH!Q$7)+M))),1)</f>
        <v>121</v>
      </c>
      <c r="V32" s="18">
        <f ca="1">FLOOR((($D7*LH!R$7)/(($D7*LH!R$7)+M))*('CAA simulation'!V7*EXP(-(($D7*LH!R$7)+M))),1)</f>
        <v>94</v>
      </c>
    </row>
    <row r="33" spans="4:22">
      <c r="D33" s="105"/>
      <c r="E33" s="105"/>
      <c r="I33" s="58">
        <v>0.16695997341996222</v>
      </c>
      <c r="J33" s="58"/>
      <c r="K33" s="33">
        <v>2</v>
      </c>
      <c r="L33" s="18">
        <f ca="1">FLOOR((($D8*LH!H$7)/(($D8*LH!H$7)+M))*('CAA simulation'!L8*EXP(-(($D8*LH!H$7)+M))),1)</f>
        <v>0</v>
      </c>
      <c r="M33" s="18">
        <f ca="1">FLOOR((($D8*LH!I$7)/(($D8*LH!I$7)+M))*('CAA simulation'!M8*EXP(-(($D8*LH!I$7)+M))),1)</f>
        <v>0</v>
      </c>
      <c r="N33" s="18">
        <f ca="1">FLOOR((($D8*LH!J$7)/(($D8*LH!J$7)+M))*('CAA simulation'!N8*EXP(-(($D8*LH!J$7)+M))),1)</f>
        <v>118</v>
      </c>
      <c r="O33" s="18">
        <f ca="1">FLOOR((($D8*LH!K$7)/(($D8*LH!K$7)+M))*('CAA simulation'!O8*EXP(-(($D8*LH!K$7)+M))),1)</f>
        <v>592</v>
      </c>
      <c r="P33" s="18">
        <f ca="1">FLOOR((($D8*LH!L$7)/(($D8*LH!L$7)+M))*('CAA simulation'!P8*EXP(-(($D8*LH!L$7)+M))),1)</f>
        <v>269</v>
      </c>
      <c r="Q33" s="18">
        <f ca="1">FLOOR((($D8*LH!M$7)/(($D8*LH!M$7)+M))*('CAA simulation'!Q8*EXP(-(($D8*LH!M$7)+M))),1)</f>
        <v>186</v>
      </c>
      <c r="R33" s="18">
        <f ca="1">FLOOR((($D8*LH!N$7)/(($D8*LH!N$7)+M))*('CAA simulation'!R8*EXP(-(($D8*LH!N$7)+M))),1)</f>
        <v>144</v>
      </c>
      <c r="S33" s="18">
        <f ca="1">FLOOR((($D8*LH!O$7)/(($D8*LH!O$7)+M))*('CAA simulation'!S8*EXP(-(($D8*LH!O$7)+M))),1)</f>
        <v>112</v>
      </c>
      <c r="T33" s="18">
        <f ca="1">FLOOR((($D8*LH!P$7)/(($D8*LH!P$7)+M))*('CAA simulation'!T8*EXP(-(($D8*LH!P$7)+M))),1)</f>
        <v>87</v>
      </c>
      <c r="U33" s="18">
        <f ca="1">FLOOR((($D8*LH!Q$7)/(($D8*LH!Q$7)+M))*('CAA simulation'!U8*EXP(-(($D8*LH!Q$7)+M))),1)</f>
        <v>68</v>
      </c>
      <c r="V33" s="18">
        <f ca="1">FLOOR((($D8*LH!R$7)/(($D8*LH!R$7)+M))*('CAA simulation'!V8*EXP(-(($D8*LH!R$7)+M))),1)</f>
        <v>53</v>
      </c>
    </row>
    <row r="34" spans="4:22">
      <c r="D34" s="105"/>
      <c r="E34" s="105"/>
      <c r="I34" s="58">
        <v>0.28592405855855446</v>
      </c>
      <c r="J34" s="58"/>
      <c r="K34" s="33">
        <v>3</v>
      </c>
      <c r="L34" s="18">
        <f ca="1">FLOOR((($D9*LH!H$7)/(($D9*LH!H$7)+M))*('CAA simulation'!L9*EXP(-(($D9*LH!H$7)+M))),1)</f>
        <v>0</v>
      </c>
      <c r="M34" s="18">
        <f ca="1">FLOOR((($D9*LH!I$7)/(($D9*LH!I$7)+M))*('CAA simulation'!M9*EXP(-(($D9*LH!I$7)+M))),1)</f>
        <v>0</v>
      </c>
      <c r="N34" s="18">
        <f ca="1">FLOOR((($D9*LH!J$7)/(($D9*LH!J$7)+M))*('CAA simulation'!N9*EXP(-(($D9*LH!J$7)+M))),1)</f>
        <v>109</v>
      </c>
      <c r="O34" s="18">
        <f ca="1">FLOOR((($D9*LH!K$7)/(($D9*LH!K$7)+M))*('CAA simulation'!O9*EXP(-(($D9*LH!K$7)+M))),1)</f>
        <v>594</v>
      </c>
      <c r="P34" s="18">
        <f ca="1">FLOOR((($D9*LH!L$7)/(($D9*LH!L$7)+M))*('CAA simulation'!P9*EXP(-(($D9*LH!L$7)+M))),1)</f>
        <v>314</v>
      </c>
      <c r="Q34" s="18">
        <f ca="1">FLOOR((($D9*LH!M$7)/(($D9*LH!M$7)+M))*('CAA simulation'!Q9*EXP(-(($D9*LH!M$7)+M))),1)</f>
        <v>132</v>
      </c>
      <c r="R34" s="18">
        <f ca="1">FLOOR((($D9*LH!N$7)/(($D9*LH!N$7)+M))*('CAA simulation'!R9*EXP(-(($D9*LH!N$7)+M))),1)</f>
        <v>91</v>
      </c>
      <c r="S34" s="18">
        <f ca="1">FLOOR((($D9*LH!O$7)/(($D9*LH!O$7)+M))*('CAA simulation'!S9*EXP(-(($D9*LH!O$7)+M))),1)</f>
        <v>70</v>
      </c>
      <c r="T34" s="18">
        <f ca="1">FLOOR((($D9*LH!P$7)/(($D9*LH!P$7)+M))*('CAA simulation'!T9*EXP(-(($D9*LH!P$7)+M))),1)</f>
        <v>55</v>
      </c>
      <c r="U34" s="18">
        <f ca="1">FLOOR((($D9*LH!Q$7)/(($D9*LH!Q$7)+M))*('CAA simulation'!U9*EXP(-(($D9*LH!Q$7)+M))),1)</f>
        <v>43</v>
      </c>
      <c r="V34" s="18">
        <f ca="1">FLOOR((($D9*LH!R$7)/(($D9*LH!R$7)+M))*('CAA simulation'!V9*EXP(-(($D9*LH!R$7)+M))),1)</f>
        <v>33</v>
      </c>
    </row>
    <row r="35" spans="4:22">
      <c r="D35" s="105"/>
      <c r="E35" s="105"/>
      <c r="I35" s="58">
        <v>0.19853657628797952</v>
      </c>
      <c r="J35" s="58"/>
      <c r="K35" s="33">
        <v>4</v>
      </c>
      <c r="L35" s="18">
        <f ca="1">FLOOR((($D10*LH!H$7)/(($D10*LH!H$7)+M))*('CAA simulation'!L10*EXP(-(($D10*LH!H$7)+M))),1)</f>
        <v>0</v>
      </c>
      <c r="M35" s="18">
        <f ca="1">FLOOR((($D10*LH!I$7)/(($D10*LH!I$7)+M))*('CAA simulation'!M10*EXP(-(($D10*LH!I$7)+M))),1)</f>
        <v>0</v>
      </c>
      <c r="N35" s="18">
        <f ca="1">FLOOR((($D10*LH!J$7)/(($D10*LH!J$7)+M))*('CAA simulation'!N10*EXP(-(($D10*LH!J$7)+M))),1)</f>
        <v>100</v>
      </c>
      <c r="O35" s="18">
        <f ca="1">FLOOR((($D10*LH!K$7)/(($D10*LH!K$7)+M))*('CAA simulation'!O10*EXP(-(($D10*LH!K$7)+M))),1)</f>
        <v>589</v>
      </c>
      <c r="P35" s="18">
        <f ca="1">FLOOR((($D10*LH!L$7)/(($D10*LH!L$7)+M))*('CAA simulation'!P10*EXP(-(($D10*LH!L$7)+M))),1)</f>
        <v>328</v>
      </c>
      <c r="Q35" s="18">
        <f ca="1">FLOOR((($D10*LH!M$7)/(($D10*LH!M$7)+M))*('CAA simulation'!Q10*EXP(-(($D10*LH!M$7)+M))),1)</f>
        <v>160</v>
      </c>
      <c r="R35" s="18">
        <f ca="1">FLOOR((($D10*LH!N$7)/(($D10*LH!N$7)+M))*('CAA simulation'!R10*EXP(-(($D10*LH!N$7)+M))),1)</f>
        <v>67</v>
      </c>
      <c r="S35" s="18">
        <f ca="1">FLOOR((($D10*LH!O$7)/(($D10*LH!O$7)+M))*('CAA simulation'!S10*EXP(-(($D10*LH!O$7)+M))),1)</f>
        <v>46</v>
      </c>
      <c r="T35" s="18">
        <f ca="1">FLOOR((($D10*LH!P$7)/(($D10*LH!P$7)+M))*('CAA simulation'!T10*EXP(-(($D10*LH!P$7)+M))),1)</f>
        <v>36</v>
      </c>
      <c r="U35" s="18">
        <f ca="1">FLOOR((($D10*LH!Q$7)/(($D10*LH!Q$7)+M))*('CAA simulation'!U10*EXP(-(($D10*LH!Q$7)+M))),1)</f>
        <v>28</v>
      </c>
      <c r="V35" s="18">
        <f ca="1">FLOOR((($D10*LH!R$7)/(($D10*LH!R$7)+M))*('CAA simulation'!V10*EXP(-(($D10*LH!R$7)+M))),1)</f>
        <v>21</v>
      </c>
    </row>
    <row r="36" spans="4:22">
      <c r="D36" s="105"/>
      <c r="E36" s="105"/>
      <c r="I36" s="58">
        <v>0.25001766930102509</v>
      </c>
      <c r="J36" s="58"/>
      <c r="K36" s="33">
        <v>5</v>
      </c>
      <c r="L36" s="18">
        <f ca="1">FLOOR((($D11*LH!H$7)/(($D11*LH!H$7)+M))*('CAA simulation'!L11*EXP(-(($D11*LH!H$7)+M))),1)</f>
        <v>0</v>
      </c>
      <c r="M36" s="18">
        <f ca="1">FLOOR((($D11*LH!I$7)/(($D11*LH!I$7)+M))*('CAA simulation'!M11*EXP(-(($D11*LH!I$7)+M))),1)</f>
        <v>0</v>
      </c>
      <c r="N36" s="18">
        <f ca="1">FLOOR((($D11*LH!J$7)/(($D11*LH!J$7)+M))*('CAA simulation'!N11*EXP(-(($D11*LH!J$7)+M))),1)</f>
        <v>92</v>
      </c>
      <c r="O36" s="18">
        <f ca="1">FLOOR((($D11*LH!K$7)/(($D11*LH!K$7)+M))*('CAA simulation'!O11*EXP(-(($D11*LH!K$7)+M))),1)</f>
        <v>587</v>
      </c>
      <c r="P36" s="18">
        <f ca="1">FLOOR((($D11*LH!L$7)/(($D11*LH!L$7)+M))*('CAA simulation'!P11*EXP(-(($D11*LH!L$7)+M))),1)</f>
        <v>338</v>
      </c>
      <c r="Q36" s="18">
        <f ca="1">FLOOR((($D11*LH!M$7)/(($D11*LH!M$7)+M))*('CAA simulation'!Q11*EXP(-(($D11*LH!M$7)+M))),1)</f>
        <v>173</v>
      </c>
      <c r="R36" s="18">
        <f ca="1">FLOOR((($D11*LH!N$7)/(($D11*LH!N$7)+M))*('CAA simulation'!R11*EXP(-(($D11*LH!N$7)+M))),1)</f>
        <v>84</v>
      </c>
      <c r="S36" s="18">
        <f ca="1">FLOOR((($D11*LH!O$7)/(($D11*LH!O$7)+M))*('CAA simulation'!S11*EXP(-(($D11*LH!O$7)+M))),1)</f>
        <v>35</v>
      </c>
      <c r="T36" s="18">
        <f ca="1">FLOOR((($D11*LH!P$7)/(($D11*LH!P$7)+M))*('CAA simulation'!T11*EXP(-(($D11*LH!P$7)+M))),1)</f>
        <v>24</v>
      </c>
      <c r="U36" s="18">
        <f ca="1">FLOOR((($D11*LH!Q$7)/(($D11*LH!Q$7)+M))*('CAA simulation'!U11*EXP(-(($D11*LH!Q$7)+M))),1)</f>
        <v>19</v>
      </c>
      <c r="V36" s="18">
        <f ca="1">FLOOR((($D11*LH!R$7)/(($D11*LH!R$7)+M))*('CAA simulation'!V11*EXP(-(($D11*LH!R$7)+M))),1)</f>
        <v>14</v>
      </c>
    </row>
    <row r="37" spans="4:22">
      <c r="D37" s="105"/>
      <c r="E37" s="105"/>
      <c r="I37" s="58">
        <v>0.2144488347075249</v>
      </c>
      <c r="J37" s="58"/>
      <c r="K37" s="33">
        <v>6</v>
      </c>
      <c r="L37" s="18">
        <f ca="1">FLOOR((($D12*LH!H$7)/(($D12*LH!H$7)+M))*('CAA simulation'!L12*EXP(-(($D12*LH!H$7)+M))),1)</f>
        <v>0</v>
      </c>
      <c r="M37" s="18">
        <f ca="1">FLOOR((($D12*LH!I$7)/(($D12*LH!I$7)+M))*('CAA simulation'!M12*EXP(-(($D12*LH!I$7)+M))),1)</f>
        <v>0</v>
      </c>
      <c r="N37" s="18">
        <f ca="1">FLOOR((($D12*LH!J$7)/(($D12*LH!J$7)+M))*('CAA simulation'!N12*EXP(-(($D12*LH!J$7)+M))),1)</f>
        <v>76</v>
      </c>
      <c r="O37" s="18">
        <f ca="1">FLOOR((($D12*LH!K$7)/(($D12*LH!K$7)+M))*('CAA simulation'!O12*EXP(-(($D12*LH!K$7)+M))),1)</f>
        <v>546</v>
      </c>
      <c r="P37" s="18">
        <f ca="1">FLOOR((($D12*LH!L$7)/(($D12*LH!L$7)+M))*('CAA simulation'!P12*EXP(-(($D12*LH!L$7)+M))),1)</f>
        <v>338</v>
      </c>
      <c r="Q37" s="18">
        <f ca="1">FLOOR((($D12*LH!M$7)/(($D12*LH!M$7)+M))*('CAA simulation'!Q12*EXP(-(($D12*LH!M$7)+M))),1)</f>
        <v>179</v>
      </c>
      <c r="R37" s="18">
        <f ca="1">FLOOR((($D12*LH!N$7)/(($D12*LH!N$7)+M))*('CAA simulation'!R12*EXP(-(($D12*LH!N$7)+M))),1)</f>
        <v>91</v>
      </c>
      <c r="S37" s="18">
        <f ca="1">FLOOR((($D12*LH!O$7)/(($D12*LH!O$7)+M))*('CAA simulation'!S12*EXP(-(($D12*LH!O$7)+M))),1)</f>
        <v>44</v>
      </c>
      <c r="T37" s="18">
        <f ca="1">FLOOR((($D12*LH!P$7)/(($D12*LH!P$7)+M))*('CAA simulation'!T12*EXP(-(($D12*LH!P$7)+M))),1)</f>
        <v>18</v>
      </c>
      <c r="U37" s="18">
        <f ca="1">FLOOR((($D12*LH!Q$7)/(($D12*LH!Q$7)+M))*('CAA simulation'!U12*EXP(-(($D12*LH!Q$7)+M))),1)</f>
        <v>13</v>
      </c>
      <c r="V37" s="18">
        <f ca="1">FLOOR((($D12*LH!R$7)/(($D12*LH!R$7)+M))*('CAA simulation'!V12*EXP(-(($D12*LH!R$7)+M))),1)</f>
        <v>10</v>
      </c>
    </row>
    <row r="38" spans="4:22">
      <c r="D38" s="105"/>
      <c r="E38" s="105"/>
      <c r="I38" s="58">
        <v>0.32192173489319875</v>
      </c>
      <c r="J38" s="58"/>
      <c r="K38" s="33">
        <v>7</v>
      </c>
      <c r="L38" s="18">
        <f ca="1">FLOOR((($D13*LH!H$7)/(($D13*LH!H$7)+M))*('CAA simulation'!L13*EXP(-(($D13*LH!H$7)+M))),1)</f>
        <v>0</v>
      </c>
      <c r="M38" s="18">
        <f ca="1">FLOOR((($D13*LH!I$7)/(($D13*LH!I$7)+M))*('CAA simulation'!M13*EXP(-(($D13*LH!I$7)+M))),1)</f>
        <v>0</v>
      </c>
      <c r="N38" s="18">
        <f ca="1">FLOOR((($D13*LH!J$7)/(($D13*LH!J$7)+M))*('CAA simulation'!N13*EXP(-(($D13*LH!J$7)+M))),1)</f>
        <v>80</v>
      </c>
      <c r="O38" s="18">
        <f ca="1">FLOOR((($D13*LH!K$7)/(($D13*LH!K$7)+M))*('CAA simulation'!O13*EXP(-(($D13*LH!K$7)+M))),1)</f>
        <v>539</v>
      </c>
      <c r="P38" s="18">
        <f ca="1">FLOOR((($D13*LH!L$7)/(($D13*LH!L$7)+M))*('CAA simulation'!P13*EXP(-(($D13*LH!L$7)+M))),1)</f>
        <v>345</v>
      </c>
      <c r="Q38" s="18">
        <f ca="1">FLOOR((($D13*LH!M$7)/(($D13*LH!M$7)+M))*('CAA simulation'!Q13*EXP(-(($D13*LH!M$7)+M))),1)</f>
        <v>195</v>
      </c>
      <c r="R38" s="18">
        <f ca="1">FLOOR((($D13*LH!N$7)/(($D13*LH!N$7)+M))*('CAA simulation'!R13*EXP(-(($D13*LH!N$7)+M))),1)</f>
        <v>103</v>
      </c>
      <c r="S38" s="18">
        <f ca="1">FLOOR((($D13*LH!O$7)/(($D13*LH!O$7)+M))*('CAA simulation'!S13*EXP(-(($D13*LH!O$7)+M))),1)</f>
        <v>52</v>
      </c>
      <c r="T38" s="18">
        <f ca="1">FLOOR((($D13*LH!P$7)/(($D13*LH!P$7)+M))*('CAA simulation'!T13*EXP(-(($D13*LH!P$7)+M))),1)</f>
        <v>25</v>
      </c>
      <c r="U38" s="18">
        <f ca="1">FLOOR((($D13*LH!Q$7)/(($D13*LH!Q$7)+M))*('CAA simulation'!U13*EXP(-(($D13*LH!Q$7)+M))),1)</f>
        <v>10</v>
      </c>
      <c r="V38" s="18">
        <f ca="1">FLOOR((($D13*LH!R$7)/(($D13*LH!R$7)+M))*('CAA simulation'!V13*EXP(-(($D13*LH!R$7)+M))),1)</f>
        <v>7</v>
      </c>
    </row>
    <row r="39" spans="4:22">
      <c r="D39" s="105"/>
      <c r="E39" s="105"/>
      <c r="I39" s="58">
        <v>0.20813609256082199</v>
      </c>
      <c r="J39" s="58"/>
      <c r="K39" s="33">
        <v>8</v>
      </c>
      <c r="L39" s="18">
        <f ca="1">FLOOR((($D14*LH!H$7)/(($D14*LH!H$7)+M))*('CAA simulation'!L14*EXP(-(($D14*LH!H$7)+M))),1)</f>
        <v>0</v>
      </c>
      <c r="M39" s="18">
        <f ca="1">FLOOR((($D14*LH!I$7)/(($D14*LH!I$7)+M))*('CAA simulation'!M14*EXP(-(($D14*LH!I$7)+M))),1)</f>
        <v>0</v>
      </c>
      <c r="N39" s="18">
        <f ca="1">FLOOR((($D14*LH!J$7)/(($D14*LH!J$7)+M))*('CAA simulation'!N14*EXP(-(($D14*LH!J$7)+M))),1)</f>
        <v>107</v>
      </c>
      <c r="O39" s="18">
        <f ca="1">FLOOR((($D14*LH!K$7)/(($D14*LH!K$7)+M))*('CAA simulation'!O14*EXP(-(($D14*LH!K$7)+M))),1)</f>
        <v>546</v>
      </c>
      <c r="P39" s="18">
        <f ca="1">FLOOR((($D14*LH!L$7)/(($D14*LH!L$7)+M))*('CAA simulation'!P14*EXP(-(($D14*LH!L$7)+M))),1)</f>
        <v>327</v>
      </c>
      <c r="Q39" s="18">
        <f ca="1">FLOOR((($D14*LH!M$7)/(($D14*LH!M$7)+M))*('CAA simulation'!Q14*EXP(-(($D14*LH!M$7)+M))),1)</f>
        <v>191</v>
      </c>
      <c r="R39" s="18">
        <f ca="1">FLOOR((($D14*LH!N$7)/(($D14*LH!N$7)+M))*('CAA simulation'!R14*EXP(-(($D14*LH!N$7)+M))),1)</f>
        <v>107</v>
      </c>
      <c r="S39" s="18">
        <f ca="1">FLOOR((($D14*LH!O$7)/(($D14*LH!O$7)+M))*('CAA simulation'!S14*EXP(-(($D14*LH!O$7)+M))),1)</f>
        <v>57</v>
      </c>
      <c r="T39" s="18">
        <f ca="1">FLOOR((($D14*LH!P$7)/(($D14*LH!P$7)+M))*('CAA simulation'!T14*EXP(-(($D14*LH!P$7)+M))),1)</f>
        <v>29</v>
      </c>
      <c r="U39" s="18">
        <f ca="1">FLOOR((($D14*LH!Q$7)/(($D14*LH!Q$7)+M))*('CAA simulation'!U14*EXP(-(($D14*LH!Q$7)+M))),1)</f>
        <v>14</v>
      </c>
      <c r="V39" s="18">
        <f ca="1">FLOOR((($D14*LH!R$7)/(($D14*LH!R$7)+M))*('CAA simulation'!V14*EXP(-(($D14*LH!R$7)+M))),1)</f>
        <v>6</v>
      </c>
    </row>
    <row r="40" spans="4:22">
      <c r="D40" s="105"/>
      <c r="E40" s="105"/>
      <c r="I40" s="58">
        <v>9.360473755724974E-2</v>
      </c>
      <c r="J40" s="58"/>
      <c r="K40" s="33">
        <v>9</v>
      </c>
      <c r="L40" s="18">
        <f ca="1">FLOOR((($D15*LH!H$7)/(($D15*LH!H$7)+M))*('CAA simulation'!L15*EXP(-(($D15*LH!H$7)+M))),1)</f>
        <v>0</v>
      </c>
      <c r="M40" s="18">
        <f ca="1">FLOOR((($D15*LH!I$7)/(($D15*LH!I$7)+M))*('CAA simulation'!M15*EXP(-(($D15*LH!I$7)+M))),1)</f>
        <v>0</v>
      </c>
      <c r="N40" s="18">
        <f ca="1">FLOOR((($D15*LH!J$7)/(($D15*LH!J$7)+M))*('CAA simulation'!N15*EXP(-(($D15*LH!J$7)+M))),1)</f>
        <v>123</v>
      </c>
      <c r="O40" s="18">
        <f ca="1">FLOOR((($D15*LH!K$7)/(($D15*LH!K$7)+M))*('CAA simulation'!O15*EXP(-(($D15*LH!K$7)+M))),1)</f>
        <v>536</v>
      </c>
      <c r="P40" s="18">
        <f ca="1">FLOOR((($D15*LH!L$7)/(($D15*LH!L$7)+M))*('CAA simulation'!P15*EXP(-(($D15*LH!L$7)+M))),1)</f>
        <v>280</v>
      </c>
      <c r="Q40" s="18">
        <f ca="1">FLOOR((($D15*LH!M$7)/(($D15*LH!M$7)+M))*('CAA simulation'!Q15*EXP(-(($D15*LH!M$7)+M))),1)</f>
        <v>155</v>
      </c>
      <c r="R40" s="18">
        <f ca="1">FLOOR((($D15*LH!N$7)/(($D15*LH!N$7)+M))*('CAA simulation'!R15*EXP(-(($D15*LH!N$7)+M))),1)</f>
        <v>91</v>
      </c>
      <c r="S40" s="18">
        <f ca="1">FLOOR((($D15*LH!O$7)/(($D15*LH!O$7)+M))*('CAA simulation'!S15*EXP(-(($D15*LH!O$7)+M))),1)</f>
        <v>51</v>
      </c>
      <c r="T40" s="18">
        <f ca="1">FLOOR((($D15*LH!P$7)/(($D15*LH!P$7)+M))*('CAA simulation'!T15*EXP(-(($D15*LH!P$7)+M))),1)</f>
        <v>27</v>
      </c>
      <c r="U40" s="18">
        <f ca="1">FLOOR((($D15*LH!Q$7)/(($D15*LH!Q$7)+M))*('CAA simulation'!U15*EXP(-(($D15*LH!Q$7)+M))),1)</f>
        <v>13</v>
      </c>
      <c r="V40" s="18">
        <f ca="1">FLOOR((($D15*LH!R$7)/(($D15*LH!R$7)+M))*('CAA simulation'!V15*EXP(-(($D15*LH!R$7)+M))),1)</f>
        <v>6</v>
      </c>
    </row>
    <row r="41" spans="4:22">
      <c r="D41" s="105"/>
      <c r="E41" s="105"/>
      <c r="I41" s="58">
        <v>0.26501636925418431</v>
      </c>
      <c r="J41" s="58"/>
      <c r="K41" s="33">
        <v>10</v>
      </c>
      <c r="L41" s="18">
        <f ca="1">FLOOR((($D16*LH!H$7)/(($D16*LH!H$7)+M))*('CAA simulation'!L16*EXP(-(($D16*LH!H$7)+M))),1)</f>
        <v>0</v>
      </c>
      <c r="M41" s="18">
        <f ca="1">FLOOR((($D16*LH!I$7)/(($D16*LH!I$7)+M))*('CAA simulation'!M16*EXP(-(($D16*LH!I$7)+M))),1)</f>
        <v>0</v>
      </c>
      <c r="N41" s="18">
        <f ca="1">FLOOR((($D16*LH!J$7)/(($D16*LH!J$7)+M))*('CAA simulation'!N16*EXP(-(($D16*LH!J$7)+M))),1)</f>
        <v>115</v>
      </c>
      <c r="O41" s="18">
        <f ca="1">FLOOR((($D16*LH!K$7)/(($D16*LH!K$7)+M))*('CAA simulation'!O16*EXP(-(($D16*LH!K$7)+M))),1)</f>
        <v>537</v>
      </c>
      <c r="P41" s="18">
        <f ca="1">FLOOR((($D16*LH!L$7)/(($D16*LH!L$7)+M))*('CAA simulation'!P16*EXP(-(($D16*LH!L$7)+M))),1)</f>
        <v>264</v>
      </c>
      <c r="Q41" s="18">
        <f ca="1">FLOOR((($D16*LH!M$7)/(($D16*LH!M$7)+M))*('CAA simulation'!Q16*EXP(-(($D16*LH!M$7)+M))),1)</f>
        <v>129</v>
      </c>
      <c r="R41" s="18">
        <f ca="1">FLOOR((($D16*LH!N$7)/(($D16*LH!N$7)+M))*('CAA simulation'!R16*EXP(-(($D16*LH!N$7)+M))),1)</f>
        <v>71</v>
      </c>
      <c r="S41" s="18">
        <f ca="1">FLOOR((($D16*LH!O$7)/(($D16*LH!O$7)+M))*('CAA simulation'!S16*EXP(-(($D16*LH!O$7)+M))),1)</f>
        <v>41</v>
      </c>
      <c r="T41" s="18">
        <f ca="1">FLOOR((($D16*LH!P$7)/(($D16*LH!P$7)+M))*('CAA simulation'!T16*EXP(-(($D16*LH!P$7)+M))),1)</f>
        <v>23</v>
      </c>
      <c r="U41" s="18">
        <f ca="1">FLOOR((($D16*LH!Q$7)/(($D16*LH!Q$7)+M))*('CAA simulation'!U16*EXP(-(($D16*LH!Q$7)+M))),1)</f>
        <v>12</v>
      </c>
      <c r="V41" s="18">
        <f ca="1">FLOOR((($D16*LH!R$7)/(($D16*LH!R$7)+M))*('CAA simulation'!V16*EXP(-(($D16*LH!R$7)+M))),1)</f>
        <v>6</v>
      </c>
    </row>
    <row r="42" spans="4:22">
      <c r="D42" s="105"/>
      <c r="E42" s="105"/>
      <c r="I42" s="58">
        <v>0.34281117516973453</v>
      </c>
      <c r="J42" s="58"/>
      <c r="K42" s="33">
        <v>11</v>
      </c>
      <c r="L42" s="18">
        <f ca="1">FLOOR((($D17*LH!H$7)/(($D17*LH!H$7)+M))*('CAA simulation'!L17*EXP(-(($D17*LH!H$7)+M))),1)</f>
        <v>0</v>
      </c>
      <c r="M42" s="18">
        <f ca="1">FLOOR((($D17*LH!I$7)/(($D17*LH!I$7)+M))*('CAA simulation'!M17*EXP(-(($D17*LH!I$7)+M))),1)</f>
        <v>0</v>
      </c>
      <c r="N42" s="18">
        <f ca="1">FLOOR((($D17*LH!J$7)/(($D17*LH!J$7)+M))*('CAA simulation'!N17*EXP(-(($D17*LH!J$7)+M))),1)</f>
        <v>124</v>
      </c>
      <c r="O42" s="18">
        <f ca="1">FLOOR((($D17*LH!K$7)/(($D17*LH!K$7)+M))*('CAA simulation'!O17*EXP(-(($D17*LH!K$7)+M))),1)</f>
        <v>540</v>
      </c>
      <c r="P42" s="18">
        <f ca="1">FLOOR((($D17*LH!L$7)/(($D17*LH!L$7)+M))*('CAA simulation'!P17*EXP(-(($D17*LH!L$7)+M))),1)</f>
        <v>268</v>
      </c>
      <c r="Q42" s="18">
        <f ca="1">FLOOR((($D17*LH!M$7)/(($D17*LH!M$7)+M))*('CAA simulation'!Q17*EXP(-(($D17*LH!M$7)+M))),1)</f>
        <v>122</v>
      </c>
      <c r="R42" s="18">
        <f ca="1">FLOOR((($D17*LH!N$7)/(($D17*LH!N$7)+M))*('CAA simulation'!R17*EXP(-(($D17*LH!N$7)+M))),1)</f>
        <v>59</v>
      </c>
      <c r="S42" s="18">
        <f ca="1">FLOOR((($D17*LH!O$7)/(($D17*LH!O$7)+M))*('CAA simulation'!S17*EXP(-(($D17*LH!O$7)+M))),1)</f>
        <v>33</v>
      </c>
      <c r="T42" s="18">
        <f ca="1">FLOOR((($D17*LH!P$7)/(($D17*LH!P$7)+M))*('CAA simulation'!T17*EXP(-(($D17*LH!P$7)+M))),1)</f>
        <v>19</v>
      </c>
      <c r="U42" s="18">
        <f ca="1">FLOOR((($D17*LH!Q$7)/(($D17*LH!Q$7)+M))*('CAA simulation'!U17*EXP(-(($D17*LH!Q$7)+M))),1)</f>
        <v>10</v>
      </c>
      <c r="V42" s="18">
        <f ca="1">FLOOR((($D17*LH!R$7)/(($D17*LH!R$7)+M))*('CAA simulation'!V17*EXP(-(($D17*LH!R$7)+M))),1)</f>
        <v>5</v>
      </c>
    </row>
    <row r="43" spans="4:22">
      <c r="D43" s="105"/>
      <c r="E43" s="105"/>
      <c r="I43" s="58">
        <v>0.32377766725935186</v>
      </c>
      <c r="J43" s="58"/>
      <c r="K43" s="33">
        <v>12</v>
      </c>
      <c r="L43" s="18">
        <f ca="1">FLOOR((($D18*LH!H$7)/(($D18*LH!H$7)+M))*('CAA simulation'!L18*EXP(-(($D18*LH!H$7)+M))),1)</f>
        <v>0</v>
      </c>
      <c r="M43" s="18">
        <f ca="1">FLOOR((($D18*LH!I$7)/(($D18*LH!I$7)+M))*('CAA simulation'!M18*EXP(-(($D18*LH!I$7)+M))),1)</f>
        <v>0</v>
      </c>
      <c r="N43" s="18">
        <f ca="1">FLOOR((($D18*LH!J$7)/(($D18*LH!J$7)+M))*('CAA simulation'!N18*EXP(-(($D18*LH!J$7)+M))),1)</f>
        <v>153</v>
      </c>
      <c r="O43" s="18">
        <f ca="1">FLOOR((($D18*LH!K$7)/(($D18*LH!K$7)+M))*('CAA simulation'!O18*EXP(-(($D18*LH!K$7)+M))),1)</f>
        <v>518</v>
      </c>
      <c r="P43" s="18">
        <f ca="1">FLOOR((($D18*LH!L$7)/(($D18*LH!L$7)+M))*('CAA simulation'!P18*EXP(-(($D18*LH!L$7)+M))),1)</f>
        <v>242</v>
      </c>
      <c r="Q43" s="18">
        <f ca="1">FLOOR((($D18*LH!M$7)/(($D18*LH!M$7)+M))*('CAA simulation'!Q18*EXP(-(($D18*LH!M$7)+M))),1)</f>
        <v>112</v>
      </c>
      <c r="R43" s="18">
        <f ca="1">FLOOR((($D18*LH!N$7)/(($D18*LH!N$7)+M))*('CAA simulation'!R18*EXP(-(($D18*LH!N$7)+M))),1)</f>
        <v>51</v>
      </c>
      <c r="S43" s="18">
        <f ca="1">FLOOR((($D18*LH!O$7)/(($D18*LH!O$7)+M))*('CAA simulation'!S18*EXP(-(($D18*LH!O$7)+M))),1)</f>
        <v>24</v>
      </c>
      <c r="T43" s="18">
        <f ca="1">FLOOR((($D18*LH!P$7)/(($D18*LH!P$7)+M))*('CAA simulation'!T18*EXP(-(($D18*LH!P$7)+M))),1)</f>
        <v>13</v>
      </c>
      <c r="U43" s="18">
        <f ca="1">FLOOR((($D18*LH!Q$7)/(($D18*LH!Q$7)+M))*('CAA simulation'!U18*EXP(-(($D18*LH!Q$7)+M))),1)</f>
        <v>8</v>
      </c>
      <c r="V43" s="18">
        <f ca="1">FLOOR((($D18*LH!R$7)/(($D18*LH!R$7)+M))*('CAA simulation'!V18*EXP(-(($D18*LH!R$7)+M))),1)</f>
        <v>4</v>
      </c>
    </row>
    <row r="44" spans="4:22">
      <c r="D44" s="105"/>
      <c r="E44" s="105"/>
      <c r="I44" s="58">
        <v>0.50291917840509071</v>
      </c>
      <c r="J44" s="58"/>
      <c r="K44" s="33">
        <v>13</v>
      </c>
      <c r="L44" s="18">
        <f ca="1">FLOOR((($D19*LH!H$7)/(($D19*LH!H$7)+M))*('CAA simulation'!L19*EXP(-(($D19*LH!H$7)+M))),1)</f>
        <v>0</v>
      </c>
      <c r="M44" s="18">
        <f ca="1">FLOOR((($D19*LH!I$7)/(($D19*LH!I$7)+M))*('CAA simulation'!M19*EXP(-(($D19*LH!I$7)+M))),1)</f>
        <v>0</v>
      </c>
      <c r="N44" s="18">
        <f ca="1">FLOOR((($D19*LH!J$7)/(($D19*LH!J$7)+M))*('CAA simulation'!N19*EXP(-(($D19*LH!J$7)+M))),1)</f>
        <v>168</v>
      </c>
      <c r="O44" s="18">
        <f ca="1">FLOOR((($D19*LH!K$7)/(($D19*LH!K$7)+M))*('CAA simulation'!O19*EXP(-(($D19*LH!K$7)+M))),1)</f>
        <v>486</v>
      </c>
      <c r="P44" s="18">
        <f ca="1">FLOOR((($D19*LH!L$7)/(($D19*LH!L$7)+M))*('CAA simulation'!P19*EXP(-(($D19*LH!L$7)+M))),1)</f>
        <v>199</v>
      </c>
      <c r="Q44" s="18">
        <f ca="1">FLOOR((($D19*LH!M$7)/(($D19*LH!M$7)+M))*('CAA simulation'!Q19*EXP(-(($D19*LH!M$7)+M))),1)</f>
        <v>87</v>
      </c>
      <c r="R44" s="18">
        <f ca="1">FLOOR((($D19*LH!N$7)/(($D19*LH!N$7)+M))*('CAA simulation'!R19*EXP(-(($D19*LH!N$7)+M))),1)</f>
        <v>40</v>
      </c>
      <c r="S44" s="18">
        <f ca="1">FLOOR((($D19*LH!O$7)/(($D19*LH!O$7)+M))*('CAA simulation'!S19*EXP(-(($D19*LH!O$7)+M))),1)</f>
        <v>18</v>
      </c>
      <c r="T44" s="18">
        <f ca="1">FLOOR((($D19*LH!P$7)/(($D19*LH!P$7)+M))*('CAA simulation'!T19*EXP(-(($D19*LH!P$7)+M))),1)</f>
        <v>9</v>
      </c>
      <c r="U44" s="18">
        <f ca="1">FLOOR((($D19*LH!Q$7)/(($D19*LH!Q$7)+M))*('CAA simulation'!U19*EXP(-(($D19*LH!Q$7)+M))),1)</f>
        <v>5</v>
      </c>
      <c r="V44" s="18">
        <f ca="1">FLOOR((($D19*LH!R$7)/(($D19*LH!R$7)+M))*('CAA simulation'!V19*EXP(-(($D19*LH!R$7)+M))),1)</f>
        <v>2</v>
      </c>
    </row>
    <row r="45" spans="4:22">
      <c r="D45" s="105"/>
      <c r="E45" s="105"/>
      <c r="I45" s="58">
        <v>0.47902343725939273</v>
      </c>
      <c r="J45" s="58"/>
      <c r="K45" s="33">
        <v>14</v>
      </c>
      <c r="L45" s="18">
        <f ca="1">FLOOR((($D20*LH!H$7)/(($D20*LH!H$7)+M))*('CAA simulation'!L20*EXP(-(($D20*LH!H$7)+M))),1)</f>
        <v>0</v>
      </c>
      <c r="M45" s="18">
        <f ca="1">FLOOR((($D20*LH!I$7)/(($D20*LH!I$7)+M))*('CAA simulation'!M20*EXP(-(($D20*LH!I$7)+M))),1)</f>
        <v>0</v>
      </c>
      <c r="N45" s="18">
        <f ca="1">FLOOR((($D20*LH!J$7)/(($D20*LH!J$7)+M))*('CAA simulation'!N20*EXP(-(($D20*LH!J$7)+M))),1)</f>
        <v>173</v>
      </c>
      <c r="O45" s="18">
        <f ca="1">FLOOR((($D20*LH!K$7)/(($D20*LH!K$7)+M))*('CAA simulation'!O20*EXP(-(($D20*LH!K$7)+M))),1)</f>
        <v>465</v>
      </c>
      <c r="P45" s="18">
        <f ca="1">FLOOR((($D20*LH!L$7)/(($D20*LH!L$7)+M))*('CAA simulation'!P20*EXP(-(($D20*LH!L$7)+M))),1)</f>
        <v>175</v>
      </c>
      <c r="Q45" s="18">
        <f ca="1">FLOOR((($D20*LH!M$7)/(($D20*LH!M$7)+M))*('CAA simulation'!Q20*EXP(-(($D20*LH!M$7)+M))),1)</f>
        <v>68</v>
      </c>
      <c r="R45" s="18">
        <f ca="1">FLOOR((($D20*LH!N$7)/(($D20*LH!N$7)+M))*('CAA simulation'!R20*EXP(-(($D20*LH!N$7)+M))),1)</f>
        <v>29</v>
      </c>
      <c r="S45" s="18">
        <f ca="1">FLOOR((($D20*LH!O$7)/(($D20*LH!O$7)+M))*('CAA simulation'!S20*EXP(-(($D20*LH!O$7)+M))),1)</f>
        <v>13</v>
      </c>
      <c r="T45" s="18">
        <f ca="1">FLOOR((($D20*LH!P$7)/(($D20*LH!P$7)+M))*('CAA simulation'!T20*EXP(-(($D20*LH!P$7)+M))),1)</f>
        <v>6</v>
      </c>
      <c r="U45" s="18">
        <f ca="1">FLOOR((($D20*LH!Q$7)/(($D20*LH!Q$7)+M))*('CAA simulation'!U20*EXP(-(($D20*LH!Q$7)+M))),1)</f>
        <v>3</v>
      </c>
      <c r="V45" s="18">
        <f ca="1">FLOOR((($D20*LH!R$7)/(($D20*LH!R$7)+M))*('CAA simulation'!V20*EXP(-(($D20*LH!R$7)+M))),1)</f>
        <v>1</v>
      </c>
    </row>
    <row r="46" spans="4:22">
      <c r="D46" s="105"/>
      <c r="E46" s="105"/>
      <c r="I46" s="58">
        <v>0.48984989965341036</v>
      </c>
      <c r="J46" s="58"/>
      <c r="K46" s="33">
        <v>15</v>
      </c>
      <c r="L46" s="18">
        <f ca="1">FLOOR((($D21*LH!H$7)/(($D21*LH!H$7)+M))*('CAA simulation'!L21*EXP(-(($D21*LH!H$7)+M))),1)</f>
        <v>0</v>
      </c>
      <c r="M46" s="18">
        <f ca="1">FLOOR((($D21*LH!I$7)/(($D21*LH!I$7)+M))*('CAA simulation'!M21*EXP(-(($D21*LH!I$7)+M))),1)</f>
        <v>0</v>
      </c>
      <c r="N46" s="18">
        <f ca="1">FLOOR((($D21*LH!J$7)/(($D21*LH!J$7)+M))*('CAA simulation'!N21*EXP(-(($D21*LH!J$7)+M))),1)</f>
        <v>191</v>
      </c>
      <c r="O46" s="18">
        <f ca="1">FLOOR((($D21*LH!K$7)/(($D21*LH!K$7)+M))*('CAA simulation'!O21*EXP(-(($D21*LH!K$7)+M))),1)</f>
        <v>430</v>
      </c>
      <c r="P46" s="18">
        <f ca="1">FLOOR((($D21*LH!L$7)/(($D21*LH!L$7)+M))*('CAA simulation'!P21*EXP(-(($D21*LH!L$7)+M))),1)</f>
        <v>151</v>
      </c>
      <c r="Q46" s="18">
        <f ca="1">FLOOR((($D21*LH!M$7)/(($D21*LH!M$7)+M))*('CAA simulation'!Q21*EXP(-(($D21*LH!M$7)+M))),1)</f>
        <v>54</v>
      </c>
      <c r="R46" s="18">
        <f ca="1">FLOOR((($D21*LH!N$7)/(($D21*LH!N$7)+M))*('CAA simulation'!R21*EXP(-(($D21*LH!N$7)+M))),1)</f>
        <v>21</v>
      </c>
      <c r="S46" s="18">
        <f ca="1">FLOOR((($D21*LH!O$7)/(($D21*LH!O$7)+M))*('CAA simulation'!S21*EXP(-(($D21*LH!O$7)+M))),1)</f>
        <v>9</v>
      </c>
      <c r="T46" s="18">
        <f ca="1">FLOOR((($D21*LH!P$7)/(($D21*LH!P$7)+M))*('CAA simulation'!T21*EXP(-(($D21*LH!P$7)+M))),1)</f>
        <v>4</v>
      </c>
      <c r="U46" s="18">
        <f ca="1">FLOOR((($D21*LH!Q$7)/(($D21*LH!Q$7)+M))*('CAA simulation'!U21*EXP(-(($D21*LH!Q$7)+M))),1)</f>
        <v>1</v>
      </c>
      <c r="V46" s="18">
        <f ca="1">FLOOR((($D21*LH!R$7)/(($D21*LH!R$7)+M))*('CAA simulation'!V21*EXP(-(($D21*LH!R$7)+M))),1)</f>
        <v>0</v>
      </c>
    </row>
    <row r="47" spans="4:22">
      <c r="D47" s="105"/>
      <c r="E47" s="105"/>
      <c r="I47" s="58">
        <v>0.62815628888919506</v>
      </c>
      <c r="J47" s="58"/>
      <c r="K47" s="33">
        <v>16</v>
      </c>
      <c r="L47" s="18">
        <f ca="1">FLOOR((($D22*LH!H$7)/(($D22*LH!H$7)+M))*('CAA simulation'!L22*EXP(-(($D22*LH!H$7)+M))),1)</f>
        <v>0</v>
      </c>
      <c r="M47" s="18">
        <f ca="1">FLOOR((($D22*LH!I$7)/(($D22*LH!I$7)+M))*('CAA simulation'!M22*EXP(-(($D22*LH!I$7)+M))),1)</f>
        <v>0</v>
      </c>
      <c r="N47" s="18">
        <f ca="1">FLOOR((($D22*LH!J$7)/(($D22*LH!J$7)+M))*('CAA simulation'!N22*EXP(-(($D22*LH!J$7)+M))),1)</f>
        <v>210</v>
      </c>
      <c r="O47" s="18">
        <f ca="1">FLOOR((($D22*LH!K$7)/(($D22*LH!K$7)+M))*('CAA simulation'!O22*EXP(-(($D22*LH!K$7)+M))),1)</f>
        <v>385</v>
      </c>
      <c r="P47" s="18">
        <f ca="1">FLOOR((($D22*LH!L$7)/(($D22*LH!L$7)+M))*('CAA simulation'!P22*EXP(-(($D22*LH!L$7)+M))),1)</f>
        <v>119</v>
      </c>
      <c r="Q47" s="18">
        <f ca="1">FLOOR((($D22*LH!M$7)/(($D22*LH!M$7)+M))*('CAA simulation'!Q22*EXP(-(($D22*LH!M$7)+M))),1)</f>
        <v>40</v>
      </c>
      <c r="R47" s="18">
        <f ca="1">FLOOR((($D22*LH!N$7)/(($D22*LH!N$7)+M))*('CAA simulation'!R22*EXP(-(($D22*LH!N$7)+M))),1)</f>
        <v>14</v>
      </c>
      <c r="S47" s="18">
        <f ca="1">FLOOR((($D22*LH!O$7)/(($D22*LH!O$7)+M))*('CAA simulation'!S22*EXP(-(($D22*LH!O$7)+M))),1)</f>
        <v>5</v>
      </c>
      <c r="T47" s="18">
        <f ca="1">FLOOR((($D22*LH!P$7)/(($D22*LH!P$7)+M))*('CAA simulation'!T22*EXP(-(($D22*LH!P$7)+M))),1)</f>
        <v>2</v>
      </c>
      <c r="U47" s="18">
        <f ca="1">FLOOR((($D22*LH!Q$7)/(($D22*LH!Q$7)+M))*('CAA simulation'!U22*EXP(-(($D22*LH!Q$7)+M))),1)</f>
        <v>1</v>
      </c>
      <c r="V47" s="18">
        <f ca="1">FLOOR((($D22*LH!R$7)/(($D22*LH!R$7)+M))*('CAA simulation'!V22*EXP(-(($D22*LH!R$7)+M))),1)</f>
        <v>0</v>
      </c>
    </row>
    <row r="48" spans="4:22">
      <c r="I48" s="58">
        <v>0.7360423126625375</v>
      </c>
      <c r="J48" s="58"/>
      <c r="K48" s="33">
        <v>17</v>
      </c>
      <c r="L48" s="18">
        <f ca="1">FLOOR((($D23*LH!H$7)/(($D23*LH!H$7)+M))*('CAA simulation'!L23*EXP(-(($D23*LH!H$7)+M))),1)</f>
        <v>0</v>
      </c>
      <c r="M48" s="18">
        <f ca="1">FLOOR((($D23*LH!I$7)/(($D23*LH!I$7)+M))*('CAA simulation'!M23*EXP(-(($D23*LH!I$7)+M))),1)</f>
        <v>0</v>
      </c>
      <c r="N48" s="18">
        <f ca="1">FLOOR((($D23*LH!J$7)/(($D23*LH!J$7)+M))*('CAA simulation'!N23*EXP(-(($D23*LH!J$7)+M))),1)</f>
        <v>190</v>
      </c>
      <c r="O48" s="18">
        <f ca="1">FLOOR((($D23*LH!K$7)/(($D23*LH!K$7)+M))*('CAA simulation'!O23*EXP(-(($D23*LH!K$7)+M))),1)</f>
        <v>387</v>
      </c>
      <c r="P48" s="18">
        <f ca="1">FLOOR((($D23*LH!L$7)/(($D23*LH!L$7)+M))*('CAA simulation'!P23*EXP(-(($D23*LH!L$7)+M))),1)</f>
        <v>109</v>
      </c>
      <c r="Q48" s="18">
        <f ca="1">FLOOR((($D23*LH!M$7)/(($D23*LH!M$7)+M))*('CAA simulation'!Q23*EXP(-(($D23*LH!M$7)+M))),1)</f>
        <v>32</v>
      </c>
      <c r="R48" s="18">
        <f ca="1">FLOOR((($D23*LH!N$7)/(($D23*LH!N$7)+M))*('CAA simulation'!R23*EXP(-(($D23*LH!N$7)+M))),1)</f>
        <v>10</v>
      </c>
      <c r="S48" s="18">
        <f ca="1">FLOOR((($D23*LH!O$7)/(($D23*LH!O$7)+M))*('CAA simulation'!S23*EXP(-(($D23*LH!O$7)+M))),1)</f>
        <v>3</v>
      </c>
      <c r="T48" s="18">
        <f ca="1">FLOOR((($D23*LH!P$7)/(($D23*LH!P$7)+M))*('CAA simulation'!T23*EXP(-(($D23*LH!P$7)+M))),1)</f>
        <v>1</v>
      </c>
      <c r="U48" s="18">
        <f ca="1">FLOOR((($D23*LH!Q$7)/(($D23*LH!Q$7)+M))*('CAA simulation'!U23*EXP(-(($D23*LH!Q$7)+M))),1)</f>
        <v>0</v>
      </c>
      <c r="V48" s="18">
        <f ca="1">FLOOR((($D23*LH!R$7)/(($D23*LH!R$7)+M))*('CAA simulation'!V23*EXP(-(($D23*LH!R$7)+M))),1)</f>
        <v>0</v>
      </c>
    </row>
    <row r="49" spans="9:22">
      <c r="I49" s="58">
        <v>0.65354090693868594</v>
      </c>
      <c r="J49" s="58"/>
      <c r="K49" s="33">
        <v>18</v>
      </c>
      <c r="L49" s="18">
        <f ca="1">FLOOR((($D24*LH!H$7)/(($D24*LH!H$7)+M))*('CAA simulation'!L24*EXP(-(($D24*LH!H$7)+M))),1)</f>
        <v>0</v>
      </c>
      <c r="M49" s="18">
        <f ca="1">FLOOR((($D24*LH!I$7)/(($D24*LH!I$7)+M))*('CAA simulation'!M24*EXP(-(($D24*LH!I$7)+M))),1)</f>
        <v>0</v>
      </c>
      <c r="N49" s="18">
        <f ca="1">FLOOR((($D24*LH!J$7)/(($D24*LH!J$7)+M))*('CAA simulation'!N24*EXP(-(($D24*LH!J$7)+M))),1)</f>
        <v>167</v>
      </c>
      <c r="O49" s="18">
        <f ca="1">FLOOR((($D24*LH!K$7)/(($D24*LH!K$7)+M))*('CAA simulation'!O24*EXP(-(($D24*LH!K$7)+M))),1)</f>
        <v>394</v>
      </c>
      <c r="P49" s="18">
        <f ca="1">FLOOR((($D24*LH!L$7)/(($D24*LH!L$7)+M))*('CAA simulation'!P24*EXP(-(($D24*LH!L$7)+M))),1)</f>
        <v>121</v>
      </c>
      <c r="Q49" s="18">
        <f ca="1">FLOOR((($D24*LH!M$7)/(($D24*LH!M$7)+M))*('CAA simulation'!Q24*EXP(-(($D24*LH!M$7)+M))),1)</f>
        <v>32</v>
      </c>
      <c r="R49" s="18">
        <f ca="1">FLOOR((($D24*LH!N$7)/(($D24*LH!N$7)+M))*('CAA simulation'!R24*EXP(-(($D24*LH!N$7)+M))),1)</f>
        <v>9</v>
      </c>
      <c r="S49" s="18">
        <f ca="1">FLOOR((($D24*LH!O$7)/(($D24*LH!O$7)+M))*('CAA simulation'!S24*EXP(-(($D24*LH!O$7)+M))),1)</f>
        <v>3</v>
      </c>
      <c r="T49" s="18">
        <f ca="1">FLOOR((($D24*LH!P$7)/(($D24*LH!P$7)+M))*('CAA simulation'!T24*EXP(-(($D24*LH!P$7)+M))),1)</f>
        <v>1</v>
      </c>
      <c r="U49" s="18">
        <f ca="1">FLOOR((($D24*LH!Q$7)/(($D24*LH!Q$7)+M))*('CAA simulation'!U24*EXP(-(($D24*LH!Q$7)+M))),1)</f>
        <v>0</v>
      </c>
      <c r="V49" s="18">
        <f ca="1">FLOOR((($D24*LH!R$7)/(($D24*LH!R$7)+M))*('CAA simulation'!V24*EXP(-(($D24*LH!R$7)+M))),1)</f>
        <v>0</v>
      </c>
    </row>
    <row r="50" spans="9:22">
      <c r="I50" s="58">
        <v>0.61160985461855777</v>
      </c>
      <c r="J50" s="58"/>
      <c r="K50" s="33">
        <v>19</v>
      </c>
      <c r="L50" s="18">
        <f ca="1">FLOOR((($D25*LH!H$7)/(($D25*LH!H$7)+M))*('CAA simulation'!L25*EXP(-(($D25*LH!H$7)+M))),1)</f>
        <v>0</v>
      </c>
      <c r="M50" s="18">
        <f ca="1">FLOOR((($D25*LH!I$7)/(($D25*LH!I$7)+M))*('CAA simulation'!M25*EXP(-(($D25*LH!I$7)+M))),1)</f>
        <v>0</v>
      </c>
      <c r="N50" s="18">
        <f ca="1">FLOOR((($D25*LH!J$7)/(($D25*LH!J$7)+M))*('CAA simulation'!N25*EXP(-(($D25*LH!J$7)+M))),1)</f>
        <v>169</v>
      </c>
      <c r="O50" s="18">
        <f ca="1">FLOOR((($D25*LH!K$7)/(($D25*LH!K$7)+M))*('CAA simulation'!O25*EXP(-(($D25*LH!K$7)+M))),1)</f>
        <v>367</v>
      </c>
      <c r="P50" s="18">
        <f ca="1">FLOOR((($D25*LH!L$7)/(($D25*LH!L$7)+M))*('CAA simulation'!P25*EXP(-(($D25*LH!L$7)+M))),1)</f>
        <v>120</v>
      </c>
      <c r="Q50" s="18">
        <f ca="1">FLOOR((($D25*LH!M$7)/(($D25*LH!M$7)+M))*('CAA simulation'!Q25*EXP(-(($D25*LH!M$7)+M))),1)</f>
        <v>35</v>
      </c>
      <c r="R50" s="18">
        <f ca="1">FLOOR((($D25*LH!N$7)/(($D25*LH!N$7)+M))*('CAA simulation'!R25*EXP(-(($D25*LH!N$7)+M))),1)</f>
        <v>9</v>
      </c>
      <c r="S50" s="18">
        <f ca="1">FLOOR((($D25*LH!O$7)/(($D25*LH!O$7)+M))*('CAA simulation'!S25*EXP(-(($D25*LH!O$7)+M))),1)</f>
        <v>2</v>
      </c>
      <c r="T50" s="18">
        <f ca="1">FLOOR((($D25*LH!P$7)/(($D25*LH!P$7)+M))*('CAA simulation'!T25*EXP(-(($D25*LH!P$7)+M))),1)</f>
        <v>0</v>
      </c>
      <c r="U50" s="18">
        <f ca="1">FLOOR((($D25*LH!Q$7)/(($D25*LH!Q$7)+M))*('CAA simulation'!U25*EXP(-(($D25*LH!Q$7)+M))),1)</f>
        <v>0</v>
      </c>
      <c r="V50" s="18">
        <f ca="1">FLOOR((($D25*LH!R$7)/(($D25*LH!R$7)+M))*('CAA simulation'!V25*EXP(-(($D25*LH!R$7)+M))),1)</f>
        <v>0</v>
      </c>
    </row>
    <row r="51" spans="9:22" ht="17" thickBot="1">
      <c r="K51" s="34">
        <v>20</v>
      </c>
      <c r="L51" s="18">
        <f ca="1">FLOOR((($D26*LH!H$7)/(($D26*LH!H$7)+M))*('CAA simulation'!L26*EXP(-(($D26*LH!H$7)+M))),1)</f>
        <v>0</v>
      </c>
      <c r="M51" s="18">
        <f ca="1">FLOOR((($D26*LH!I$7)/(($D26*LH!I$7)+M))*('CAA simulation'!M26*EXP(-(($D26*LH!I$7)+M))),1)</f>
        <v>0</v>
      </c>
      <c r="N51" s="18">
        <f ca="1">FLOOR((($D26*LH!J$7)/(($D26*LH!J$7)+M))*('CAA simulation'!N26*EXP(-(($D26*LH!J$7)+M))),1)</f>
        <v>176</v>
      </c>
      <c r="O51" s="18">
        <f ca="1">FLOOR((($D26*LH!K$7)/(($D26*LH!K$7)+M))*('CAA simulation'!O26*EXP(-(($D26*LH!K$7)+M))),1)</f>
        <v>319</v>
      </c>
      <c r="P51" s="18">
        <f ca="1">FLOOR((($D26*LH!L$7)/(($D26*LH!L$7)+M))*('CAA simulation'!P26*EXP(-(($D26*LH!L$7)+M))),1)</f>
        <v>98</v>
      </c>
      <c r="Q51" s="18">
        <f ca="1">FLOOR((($D26*LH!M$7)/(($D26*LH!M$7)+M))*('CAA simulation'!Q26*EXP(-(($D26*LH!M$7)+M))),1)</f>
        <v>30</v>
      </c>
      <c r="R51" s="18">
        <f ca="1">FLOOR((($D26*LH!N$7)/(($D26*LH!N$7)+M))*('CAA simulation'!R26*EXP(-(($D26*LH!N$7)+M))),1)</f>
        <v>8</v>
      </c>
      <c r="S51" s="18">
        <f ca="1">FLOOR((($D26*LH!O$7)/(($D26*LH!O$7)+M))*('CAA simulation'!S26*EXP(-(($D26*LH!O$7)+M))),1)</f>
        <v>2</v>
      </c>
      <c r="T51" s="18">
        <f ca="1">FLOOR((($D26*LH!P$7)/(($D26*LH!P$7)+M))*('CAA simulation'!T26*EXP(-(($D26*LH!P$7)+M))),1)</f>
        <v>0</v>
      </c>
      <c r="U51" s="18">
        <f ca="1">FLOOR((($D26*LH!Q$7)/(($D26*LH!Q$7)+M))*('CAA simulation'!U26*EXP(-(($D26*LH!Q$7)+M))),1)</f>
        <v>0</v>
      </c>
      <c r="V51" s="18">
        <f ca="1">FLOOR((($D26*LH!R$7)/(($D26*LH!R$7)+M))*('CAA simulation'!V26*EXP(-(($D26*LH!R$7)+M))),1)</f>
        <v>0</v>
      </c>
    </row>
    <row r="52" spans="9:22">
      <c r="I52" s="58">
        <f>AVERAGE(I31:I50)</f>
        <v>0.38308709393214702</v>
      </c>
    </row>
  </sheetData>
  <mergeCells count="4">
    <mergeCell ref="K4:V4"/>
    <mergeCell ref="K29:V29"/>
    <mergeCell ref="G9:H11"/>
    <mergeCell ref="A2:E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152</vt:i4>
      </vt:variant>
    </vt:vector>
  </HeadingPairs>
  <TitlesOfParts>
    <vt:vector size="161" baseType="lpstr">
      <vt:lpstr>LH</vt:lpstr>
      <vt:lpstr>Data</vt:lpstr>
      <vt:lpstr>Mortality</vt:lpstr>
      <vt:lpstr>Abundance</vt:lpstr>
      <vt:lpstr>CC Likelihood</vt:lpstr>
      <vt:lpstr>F Likelihood</vt:lpstr>
      <vt:lpstr>CPUE Likelihood</vt:lpstr>
      <vt:lpstr>Full</vt:lpstr>
      <vt:lpstr>CAA simulation</vt:lpstr>
      <vt:lpstr>Abundance!bha</vt:lpstr>
      <vt:lpstr>'CAA simulation'!bha</vt:lpstr>
      <vt:lpstr>'CC Likelihood'!bha</vt:lpstr>
      <vt:lpstr>'CPUE Likelihood'!bha</vt:lpstr>
      <vt:lpstr>Data!bha</vt:lpstr>
      <vt:lpstr>'F Likelihood'!bha</vt:lpstr>
      <vt:lpstr>Full!bha</vt:lpstr>
      <vt:lpstr>Mortality!bha</vt:lpstr>
      <vt:lpstr>bha</vt:lpstr>
      <vt:lpstr>Abundance!bhb</vt:lpstr>
      <vt:lpstr>'CAA simulation'!bhb</vt:lpstr>
      <vt:lpstr>'CC Likelihood'!bhb</vt:lpstr>
      <vt:lpstr>'CPUE Likelihood'!bhb</vt:lpstr>
      <vt:lpstr>Data!bhb</vt:lpstr>
      <vt:lpstr>'F Likelihood'!bhb</vt:lpstr>
      <vt:lpstr>Full!bhb</vt:lpstr>
      <vt:lpstr>Mortality!bhb</vt:lpstr>
      <vt:lpstr>bhb</vt:lpstr>
      <vt:lpstr>CR</vt:lpstr>
      <vt:lpstr>'CAA simulation'!Eo</vt:lpstr>
      <vt:lpstr>Eo</vt:lpstr>
      <vt:lpstr>Abundance!Fbar</vt:lpstr>
      <vt:lpstr>'CAA simulation'!Fbar</vt:lpstr>
      <vt:lpstr>'CC Likelihood'!Fbar</vt:lpstr>
      <vt:lpstr>'CPUE Likelihood'!Fbar</vt:lpstr>
      <vt:lpstr>Data!Fbar</vt:lpstr>
      <vt:lpstr>'F Likelihood'!Fbar</vt:lpstr>
      <vt:lpstr>Full!Fbar</vt:lpstr>
      <vt:lpstr>Mortality!Fbar</vt:lpstr>
      <vt:lpstr>Fbar</vt:lpstr>
      <vt:lpstr>Abundance!h</vt:lpstr>
      <vt:lpstr>'CAA simulation'!h</vt:lpstr>
      <vt:lpstr>'CC Likelihood'!h</vt:lpstr>
      <vt:lpstr>'CPUE Likelihood'!h</vt:lpstr>
      <vt:lpstr>Data!h</vt:lpstr>
      <vt:lpstr>'F Likelihood'!h</vt:lpstr>
      <vt:lpstr>Full!h</vt:lpstr>
      <vt:lpstr>Mortality!h</vt:lpstr>
      <vt:lpstr>h</vt:lpstr>
      <vt:lpstr>Abundance!lenv50</vt:lpstr>
      <vt:lpstr>'CC Likelihood'!lenv50</vt:lpstr>
      <vt:lpstr>'CPUE Likelihood'!lenv50</vt:lpstr>
      <vt:lpstr>Data!lenv50</vt:lpstr>
      <vt:lpstr>'F Likelihood'!lenv50</vt:lpstr>
      <vt:lpstr>Full!lenv50</vt:lpstr>
      <vt:lpstr>Mortality!lenv50</vt:lpstr>
      <vt:lpstr>lenv50</vt:lpstr>
      <vt:lpstr>Abundance!Linf</vt:lpstr>
      <vt:lpstr>'CC Likelihood'!Linf</vt:lpstr>
      <vt:lpstr>'CPUE Likelihood'!Linf</vt:lpstr>
      <vt:lpstr>Data!Linf</vt:lpstr>
      <vt:lpstr>'F Likelihood'!Linf</vt:lpstr>
      <vt:lpstr>Full!Linf</vt:lpstr>
      <vt:lpstr>Mortality!Linf</vt:lpstr>
      <vt:lpstr>Linf</vt:lpstr>
      <vt:lpstr>Abundance!Lo</vt:lpstr>
      <vt:lpstr>'CC Likelihood'!Lo</vt:lpstr>
      <vt:lpstr>'CPUE Likelihood'!Lo</vt:lpstr>
      <vt:lpstr>Data!Lo</vt:lpstr>
      <vt:lpstr>'F Likelihood'!Lo</vt:lpstr>
      <vt:lpstr>Full!Lo</vt:lpstr>
      <vt:lpstr>Mortality!Lo</vt:lpstr>
      <vt:lpstr>Lo</vt:lpstr>
      <vt:lpstr>Abundance!lv50_</vt:lpstr>
      <vt:lpstr>'CC Likelihood'!lv50_</vt:lpstr>
      <vt:lpstr>'CPUE Likelihood'!lv50_</vt:lpstr>
      <vt:lpstr>Data!lv50_</vt:lpstr>
      <vt:lpstr>'F Likelihood'!lv50_</vt:lpstr>
      <vt:lpstr>Full!lv50_</vt:lpstr>
      <vt:lpstr>Mortality!lv50_</vt:lpstr>
      <vt:lpstr>lv50_</vt:lpstr>
      <vt:lpstr>Abundance!lwa</vt:lpstr>
      <vt:lpstr>'CC Likelihood'!lwa</vt:lpstr>
      <vt:lpstr>'CPUE Likelihood'!lwa</vt:lpstr>
      <vt:lpstr>Data!lwa</vt:lpstr>
      <vt:lpstr>'F Likelihood'!lwa</vt:lpstr>
      <vt:lpstr>Full!lwa</vt:lpstr>
      <vt:lpstr>Mortality!lwa</vt:lpstr>
      <vt:lpstr>lwa</vt:lpstr>
      <vt:lpstr>Abundance!lwb</vt:lpstr>
      <vt:lpstr>'CC Likelihood'!lwb</vt:lpstr>
      <vt:lpstr>'CPUE Likelihood'!lwb</vt:lpstr>
      <vt:lpstr>Data!lwb</vt:lpstr>
      <vt:lpstr>'F Likelihood'!lwb</vt:lpstr>
      <vt:lpstr>Full!lwb</vt:lpstr>
      <vt:lpstr>Mortality!lwb</vt:lpstr>
      <vt:lpstr>lwb</vt:lpstr>
      <vt:lpstr>Abundance!M</vt:lpstr>
      <vt:lpstr>'CAA simulation'!M</vt:lpstr>
      <vt:lpstr>'CC Likelihood'!M</vt:lpstr>
      <vt:lpstr>'CPUE Likelihood'!M</vt:lpstr>
      <vt:lpstr>Data!M</vt:lpstr>
      <vt:lpstr>'F Likelihood'!M</vt:lpstr>
      <vt:lpstr>Full!M</vt:lpstr>
      <vt:lpstr>Mortality!M</vt:lpstr>
      <vt:lpstr>M</vt:lpstr>
      <vt:lpstr>q</vt:lpstr>
      <vt:lpstr>Abundance!Ro</vt:lpstr>
      <vt:lpstr>'CAA simulation'!Ro</vt:lpstr>
      <vt:lpstr>'CC Likelihood'!Ro</vt:lpstr>
      <vt:lpstr>'CPUE Likelihood'!Ro</vt:lpstr>
      <vt:lpstr>Data!Ro</vt:lpstr>
      <vt:lpstr>'F Likelihood'!Ro</vt:lpstr>
      <vt:lpstr>Full!Ro</vt:lpstr>
      <vt:lpstr>Mortality!Ro</vt:lpstr>
      <vt:lpstr>Ro</vt:lpstr>
      <vt:lpstr>scale</vt:lpstr>
      <vt:lpstr>Abundance!sdv</vt:lpstr>
      <vt:lpstr>'CC Likelihood'!sdv</vt:lpstr>
      <vt:lpstr>'CPUE Likelihood'!sdv</vt:lpstr>
      <vt:lpstr>Data!sdv</vt:lpstr>
      <vt:lpstr>'F Likelihood'!sdv</vt:lpstr>
      <vt:lpstr>Full!sdv</vt:lpstr>
      <vt:lpstr>Mortality!sdv</vt:lpstr>
      <vt:lpstr>sdv</vt:lpstr>
      <vt:lpstr>Abundance!sigmaCC</vt:lpstr>
      <vt:lpstr>'CC Likelihood'!sigmaCC</vt:lpstr>
      <vt:lpstr>'CPUE Likelihood'!sigmaCC</vt:lpstr>
      <vt:lpstr>Data!sigmaCC</vt:lpstr>
      <vt:lpstr>'F Likelihood'!sigmaCC</vt:lpstr>
      <vt:lpstr>Full!sigmaCC</vt:lpstr>
      <vt:lpstr>Mortality!sigmaCC</vt:lpstr>
      <vt:lpstr>sigmaCC</vt:lpstr>
      <vt:lpstr>Full!sigmaCPUE</vt:lpstr>
      <vt:lpstr>sigmaCPUE</vt:lpstr>
      <vt:lpstr>Abundance!sigmaF</vt:lpstr>
      <vt:lpstr>'CAA simulation'!sigmaF</vt:lpstr>
      <vt:lpstr>'CC Likelihood'!sigmaF</vt:lpstr>
      <vt:lpstr>'CPUE Likelihood'!sigmaF</vt:lpstr>
      <vt:lpstr>Data!sigmaF</vt:lpstr>
      <vt:lpstr>'F Likelihood'!sigmaF</vt:lpstr>
      <vt:lpstr>Full!sigmaF</vt:lpstr>
      <vt:lpstr>Mortality!sigmaF</vt:lpstr>
      <vt:lpstr>sigmaF</vt:lpstr>
      <vt:lpstr>Abundance!vbk</vt:lpstr>
      <vt:lpstr>'CC Likelihood'!vbk</vt:lpstr>
      <vt:lpstr>'CPUE Likelihood'!vbk</vt:lpstr>
      <vt:lpstr>Data!vbk</vt:lpstr>
      <vt:lpstr>'F Likelihood'!vbk</vt:lpstr>
      <vt:lpstr>Full!vbk</vt:lpstr>
      <vt:lpstr>Mortality!vbk</vt:lpstr>
      <vt:lpstr>vbk</vt:lpstr>
      <vt:lpstr>VBo</vt:lpstr>
      <vt:lpstr>Abundance!Wmat</vt:lpstr>
      <vt:lpstr>'CC Likelihood'!Wmat</vt:lpstr>
      <vt:lpstr>'CPUE Likelihood'!Wmat</vt:lpstr>
      <vt:lpstr>Data!Wmat</vt:lpstr>
      <vt:lpstr>'F Likelihood'!Wmat</vt:lpstr>
      <vt:lpstr>Full!Wmat</vt:lpstr>
      <vt:lpstr>Mortality!Wmat</vt:lpstr>
      <vt:lpstr>Wmat</vt:lpstr>
      <vt:lpstr>xpos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Siders</dc:creator>
  <cp:lastModifiedBy>Zachary Siders</cp:lastModifiedBy>
  <dcterms:created xsi:type="dcterms:W3CDTF">2022-03-14T23:54:46Z</dcterms:created>
  <dcterms:modified xsi:type="dcterms:W3CDTF">2022-03-23T12:33:13Z</dcterms:modified>
</cp:coreProperties>
</file>