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AA\learn_forever\戴师兄-数据分析自学课-课程资料\课程2.0【优先学习这个新版】\1.Excel\"/>
    </mc:Choice>
  </mc:AlternateContent>
  <xr:revisionPtr revIDLastSave="0" documentId="13_ncr:1_{D303C069-B16D-4ED9-BEFC-97028D05D7A9}" xr6:coauthVersionLast="47" xr6:coauthVersionMax="47" xr10:uidLastSave="{00000000-0000-0000-0000-000000000000}"/>
  <bookViews>
    <workbookView xWindow="-110" yWindow="-110" windowWidth="21820" windowHeight="13900" firstSheet="1" activeTab="6" xr2:uid="{F636583F-3629-4F35-92D7-29CCA64D0F4E}"/>
  </bookViews>
  <sheets>
    <sheet name="数据透视表-my" sheetId="31" state="hidden" r:id="rId1"/>
    <sheet name="拌客源数据1-8月" sheetId="2" r:id="rId2"/>
    <sheet name="数据透视图表-完成版" sheetId="28" state="hidden" r:id="rId3"/>
    <sheet name="常用函数-完成版" sheetId="4" state="hidden" r:id="rId4"/>
    <sheet name="常用函数-练习版" sheetId="18" r:id="rId5"/>
    <sheet name="大厂周报-完成版" sheetId="3" state="hidden" r:id="rId6"/>
    <sheet name="大厂周报-练习版" sheetId="16" r:id="rId7"/>
    <sheet name="数据备份" sheetId="30" state="hidden" r:id="rId8"/>
    <sheet name="源数据备份" sheetId="29" state="hidden" r:id="rId9"/>
  </sheets>
  <definedNames>
    <definedName name="_xlnm._FilterDatabase" localSheetId="1" hidden="1">'拌客源数据1-8月'!$A$1:$X$562</definedName>
    <definedName name="_xlnm._FilterDatabase" localSheetId="7" hidden="1">数据备份!$A$1:$X$562</definedName>
    <definedName name="_xlnm._FilterDatabase" localSheetId="8" hidden="1">源数据备份!$A$1:$X$562</definedName>
    <definedName name="切片器_平台i">#N/A</definedName>
    <definedName name="切片器_平台i1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6" l="1"/>
  <c r="A26" i="16" s="1"/>
  <c r="D26" i="16" s="1"/>
  <c r="G13" i="16"/>
  <c r="F13" i="16"/>
  <c r="D13" i="16"/>
  <c r="C13" i="16"/>
  <c r="A25" i="16"/>
  <c r="B14" i="16"/>
  <c r="B26" i="16" s="1"/>
  <c r="B13" i="16"/>
  <c r="B25" i="16" s="1"/>
  <c r="B1" i="16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18"/>
  <c r="P99" i="18"/>
  <c r="P101" i="18"/>
  <c r="P97" i="18"/>
  <c r="P98" i="18"/>
  <c r="P100" i="18"/>
  <c r="P102" i="18"/>
  <c r="P103" i="18"/>
  <c r="P96" i="18"/>
  <c r="J99" i="18"/>
  <c r="J96" i="18"/>
  <c r="C97" i="18"/>
  <c r="C98" i="18"/>
  <c r="C99" i="18"/>
  <c r="C100" i="18"/>
  <c r="C101" i="18"/>
  <c r="C102" i="18"/>
  <c r="C103" i="18"/>
  <c r="C96" i="18"/>
  <c r="E81" i="18"/>
  <c r="E82" i="18"/>
  <c r="E83" i="18"/>
  <c r="E84" i="18"/>
  <c r="E85" i="18"/>
  <c r="E86" i="18"/>
  <c r="E87" i="18"/>
  <c r="E80" i="18"/>
  <c r="K81" i="18"/>
  <c r="K82" i="18"/>
  <c r="K83" i="18"/>
  <c r="K80" i="18"/>
  <c r="D64" i="18"/>
  <c r="D65" i="18"/>
  <c r="D66" i="18"/>
  <c r="D67" i="18"/>
  <c r="D68" i="18"/>
  <c r="D69" i="18"/>
  <c r="D70" i="18"/>
  <c r="D71" i="18"/>
  <c r="D55" i="18"/>
  <c r="C55" i="18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G40" i="18"/>
  <c r="G41" i="18"/>
  <c r="G42" i="18"/>
  <c r="G43" i="18"/>
  <c r="G44" i="18"/>
  <c r="G45" i="18"/>
  <c r="G46" i="18"/>
  <c r="G39" i="18"/>
  <c r="E40" i="18"/>
  <c r="E41" i="18"/>
  <c r="E42" i="18"/>
  <c r="E43" i="18"/>
  <c r="E44" i="18"/>
  <c r="E45" i="18"/>
  <c r="E46" i="18"/>
  <c r="E39" i="18"/>
  <c r="J31" i="18"/>
  <c r="J32" i="18"/>
  <c r="J33" i="18"/>
  <c r="J34" i="18"/>
  <c r="J35" i="18"/>
  <c r="J36" i="18"/>
  <c r="J30" i="18"/>
  <c r="I30" i="18"/>
  <c r="I31" i="18"/>
  <c r="I32" i="18"/>
  <c r="I33" i="18"/>
  <c r="I34" i="18"/>
  <c r="I35" i="18"/>
  <c r="I36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G30" i="18"/>
  <c r="F31" i="18"/>
  <c r="F32" i="18"/>
  <c r="F33" i="18"/>
  <c r="F34" i="18"/>
  <c r="F35" i="18"/>
  <c r="F36" i="18"/>
  <c r="F30" i="18"/>
  <c r="E36" i="18"/>
  <c r="E35" i="18"/>
  <c r="E31" i="18"/>
  <c r="E32" i="18"/>
  <c r="E33" i="18"/>
  <c r="E34" i="18"/>
  <c r="E30" i="18"/>
  <c r="C30" i="18"/>
  <c r="D31" i="18"/>
  <c r="D32" i="18"/>
  <c r="D33" i="18"/>
  <c r="D34" i="18"/>
  <c r="D35" i="18"/>
  <c r="D36" i="18"/>
  <c r="D30" i="18"/>
  <c r="C31" i="18"/>
  <c r="C32" i="18"/>
  <c r="C33" i="18"/>
  <c r="C34" i="18"/>
  <c r="C35" i="18"/>
  <c r="C36" i="18"/>
  <c r="C18" i="18"/>
  <c r="C19" i="18"/>
  <c r="C20" i="18"/>
  <c r="C21" i="18"/>
  <c r="C17" i="18"/>
  <c r="C16" i="18"/>
  <c r="C15" i="18"/>
  <c r="D5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C14" i="16" l="1"/>
  <c r="H26" i="16" s="1"/>
  <c r="D14" i="16"/>
  <c r="F14" i="16"/>
  <c r="G14" i="16"/>
  <c r="A15" i="16"/>
  <c r="D25" i="16"/>
  <c r="F25" i="16"/>
  <c r="C25" i="16"/>
  <c r="F26" i="16"/>
  <c r="C26" i="16"/>
  <c r="H25" i="16"/>
  <c r="H13" i="16"/>
  <c r="E13" i="16"/>
  <c r="D18" i="3"/>
  <c r="D17" i="3"/>
  <c r="D16" i="3"/>
  <c r="D15" i="3"/>
  <c r="D14" i="3"/>
  <c r="C13" i="3"/>
  <c r="G25" i="16" l="1"/>
  <c r="E14" i="16"/>
  <c r="H14" i="16"/>
  <c r="A16" i="16"/>
  <c r="B15" i="16"/>
  <c r="B27" i="16" s="1"/>
  <c r="C15" i="16"/>
  <c r="A27" i="16"/>
  <c r="G15" i="16"/>
  <c r="F15" i="16"/>
  <c r="D15" i="16"/>
  <c r="E25" i="16"/>
  <c r="G26" i="16"/>
  <c r="E26" i="16"/>
  <c r="D20" i="3"/>
  <c r="D1" i="3"/>
  <c r="B1" i="3"/>
  <c r="E15" i="16" l="1"/>
  <c r="D27" i="16"/>
  <c r="F27" i="16"/>
  <c r="C27" i="16"/>
  <c r="H27" i="16"/>
  <c r="H15" i="16"/>
  <c r="A28" i="16"/>
  <c r="C16" i="16"/>
  <c r="B16" i="16"/>
  <c r="B28" i="16" s="1"/>
  <c r="F16" i="16"/>
  <c r="A17" i="16"/>
  <c r="G16" i="16"/>
  <c r="D16" i="16"/>
  <c r="F26" i="3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E16" i="16" l="1"/>
  <c r="E27" i="16"/>
  <c r="G27" i="16"/>
  <c r="H16" i="16"/>
  <c r="C28" i="16"/>
  <c r="H28" i="16"/>
  <c r="F28" i="16"/>
  <c r="D28" i="16"/>
  <c r="A18" i="16"/>
  <c r="A29" i="16"/>
  <c r="D17" i="16"/>
  <c r="B17" i="16"/>
  <c r="B29" i="16" s="1"/>
  <c r="F17" i="16"/>
  <c r="G17" i="16"/>
  <c r="C17" i="16"/>
  <c r="G20" i="3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E28" i="16" l="1"/>
  <c r="E17" i="16"/>
  <c r="H17" i="16"/>
  <c r="H29" i="16"/>
  <c r="F29" i="16"/>
  <c r="D29" i="16"/>
  <c r="C29" i="16"/>
  <c r="G28" i="16"/>
  <c r="D18" i="16"/>
  <c r="B18" i="16"/>
  <c r="B30" i="16" s="1"/>
  <c r="G18" i="16"/>
  <c r="F18" i="16"/>
  <c r="C18" i="16"/>
  <c r="A19" i="16"/>
  <c r="A30" i="16"/>
  <c r="H20" i="3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29" i="16" l="1"/>
  <c r="H18" i="16"/>
  <c r="F30" i="16"/>
  <c r="C30" i="16"/>
  <c r="H30" i="16"/>
  <c r="D30" i="16"/>
  <c r="E18" i="16"/>
  <c r="G29" i="16"/>
  <c r="F19" i="16"/>
  <c r="F20" i="16" s="1"/>
  <c r="C19" i="16"/>
  <c r="D1" i="16"/>
  <c r="B19" i="16"/>
  <c r="B31" i="16" s="1"/>
  <c r="D19" i="16"/>
  <c r="G19" i="16"/>
  <c r="G20" i="16" s="1"/>
  <c r="G7" i="16"/>
  <c r="A31" i="16"/>
  <c r="E9" i="3"/>
  <c r="F9" i="3" s="1"/>
  <c r="C9" i="3"/>
  <c r="D9" i="3" s="1"/>
  <c r="H19" i="16" l="1"/>
  <c r="D20" i="16"/>
  <c r="E19" i="16"/>
  <c r="D8" i="16"/>
  <c r="B8" i="16"/>
  <c r="C31" i="16"/>
  <c r="C32" i="16" s="1"/>
  <c r="A6" i="16" s="1"/>
  <c r="D31" i="16"/>
  <c r="H31" i="16"/>
  <c r="F31" i="16"/>
  <c r="E30" i="16"/>
  <c r="G30" i="16"/>
  <c r="C20" i="16"/>
  <c r="H20" i="16" s="1"/>
  <c r="H32" i="16" l="1"/>
  <c r="G31" i="16"/>
  <c r="E31" i="16"/>
  <c r="F32" i="16"/>
  <c r="E20" i="16"/>
  <c r="F8" i="16" s="1"/>
  <c r="D32" i="16"/>
  <c r="E32" i="16" s="1"/>
  <c r="C6" i="16" s="1"/>
  <c r="G32" i="16" l="1"/>
  <c r="E6" i="16" s="1"/>
</calcChain>
</file>

<file path=xl/sharedStrings.xml><?xml version="1.0" encoding="utf-8"?>
<sst xmlns="http://schemas.openxmlformats.org/spreadsheetml/2006/main" count="12274" uniqueCount="170">
  <si>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</si>
  <si>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</si>
  <si>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</si>
  <si>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</si>
  <si>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</si>
  <si>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</si>
  <si>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</si>
  <si>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</si>
  <si>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</si>
  <si>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</si>
  <si>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</si>
  <si>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</si>
  <si>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</si>
  <si>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</si>
  <si>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</si>
  <si>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</si>
  <si>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</si>
  <si>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</si>
  <si>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</si>
  <si>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</si>
  <si>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</si>
  <si>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</si>
  <si>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</si>
  <si>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</si>
  <si>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</si>
  <si>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</si>
  <si>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</si>
  <si>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</si>
  <si>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</si>
  <si>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</si>
  <si>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</si>
  <si>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</si>
  <si>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</si>
  <si>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</si>
  <si>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</si>
  <si>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</si>
  <si>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</si>
  <si>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</si>
  <si>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</si>
  <si>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</si>
  <si>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</si>
  <si>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</si>
  <si>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</si>
  <si>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</si>
  <si>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</si>
  <si>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</si>
  <si>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</si>
  <si>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</si>
  <si>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</si>
  <si>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</si>
  <si>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</si>
  <si>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</si>
  <si>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</si>
  <si>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</si>
  <si>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</si>
  <si>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</si>
  <si>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</si>
  <si>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</si>
  <si>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</si>
  <si>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</si>
  <si>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</si>
  <si>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</si>
  <si>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</si>
  <si>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</si>
  <si>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</si>
  <si>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</si>
  <si>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</si>
  <si>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</si>
  <si>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</si>
  <si>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</si>
  <si>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</si>
  <si>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</si>
  <si>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</si>
  <si>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</si>
  <si>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</si>
  <si>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</si>
  <si>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</si>
  <si>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</si>
  <si>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</si>
  <si>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</si>
  <si>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</si>
  <si>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</si>
  <si>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</si>
  <si>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</si>
  <si>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</si>
  <si>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</si>
  <si>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</si>
  <si>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</si>
  <si>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</si>
  <si>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</si>
  <si>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</si>
  <si>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</si>
  <si>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</si>
  <si>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</si>
  <si>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</si>
  <si>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</si>
  <si>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</si>
  <si>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</si>
  <si>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</si>
  <si>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</si>
  <si>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</si>
  <si>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</si>
  <si>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</si>
  <si>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</si>
  <si>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</si>
  <si>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</si>
  <si>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</si>
  <si>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</si>
  <si>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</si>
  <si>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</si>
  <si>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</si>
  <si>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</si>
  <si>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</si>
  <si>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</si>
  <si>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</si>
  <si>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</si>
  <si>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</si>
  <si>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</si>
  <si>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</si>
  <si>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</si>
  <si>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</si>
  <si>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</si>
  <si>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</si>
  <si>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</si>
  <si>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</si>
  <si>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</si>
  <si>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</si>
  <si>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</si>
  <si>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</si>
  <si>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</si>
  <si>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</si>
  <si>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</si>
  <si>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</si>
  <si>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</si>
  <si>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</si>
  <si>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</si>
  <si>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</si>
  <si>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</si>
  <si>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</si>
  <si>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</si>
  <si>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</si>
  <si>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</si>
  <si>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</si>
  <si>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</si>
  <si>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</si>
  <si>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</si>
  <si>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</si>
  <si>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</si>
  <si>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</si>
  <si>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</si>
  <si>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</si>
  <si>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</si>
  <si>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</si>
  <si>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</si>
  <si>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</si>
  <si>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</si>
  <si>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</si>
  <si>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</si>
  <si>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</si>
  <si>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</si>
  <si>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</si>
  <si>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</si>
  <si>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GMV总和</t>
  </si>
  <si>
    <t>求和项:cpc单次点击费用</t>
  </si>
  <si>
    <t>求和项:单均实收</t>
  </si>
  <si>
    <t>(全部)</t>
  </si>
  <si>
    <t>这日/昨日-1</t>
    <phoneticPr fontId="18" type="noConversion"/>
  </si>
  <si>
    <t>这日/上月这日-1</t>
    <phoneticPr fontId="18" type="noConversion"/>
  </si>
  <si>
    <t>这月/上月-1</t>
    <phoneticPr fontId="18" type="noConversion"/>
  </si>
  <si>
    <t>2000507076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</si>
</sst>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  <numFmt numFmtId="184" formatCode="0.000%"/>
    <numFmt numFmtId="185" formatCode="0.0%"/>
  </numFmts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42" applyFont="1" applyFill="1">
      <alignment vertical="center"/>
    </xf>
    <xf numFmtId="180" fontId="0" fillId="0" borderId="24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24" xfId="0" applyNumberFormat="1" applyBorder="1" applyAlignment="1">
      <alignment horizontal="center" vertical="center"/>
    </xf>
    <xf numFmtId="184" fontId="0" fillId="0" borderId="24" xfId="43" applyNumberFormat="1" applyFont="1" applyFill="1" applyBorder="1" applyAlignment="1">
      <alignment horizontal="center" vertical="center"/>
    </xf>
    <xf numFmtId="184" fontId="0" fillId="0" borderId="24" xfId="43" applyNumberFormat="1" applyFont="1" applyFill="1" applyBorder="1">
      <alignment vertical="center"/>
    </xf>
    <xf numFmtId="14" fontId="19" fillId="0" borderId="0" xfId="0" applyNumberFormat="1" applyFont="1">
      <alignment vertical="center"/>
    </xf>
    <xf numFmtId="178" fontId="19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1" fontId="19" fillId="0" borderId="0" xfId="0" applyNumberFormat="1" applyFont="1">
      <alignment vertical="center"/>
    </xf>
    <xf numFmtId="10" fontId="19" fillId="0" borderId="0" xfId="43" applyNumberFormat="1" applyFont="1">
      <alignment vertical="center"/>
    </xf>
    <xf numFmtId="10" fontId="19" fillId="0" borderId="0" xfId="0" applyNumberFormat="1" applyFont="1">
      <alignment vertical="center"/>
    </xf>
    <xf numFmtId="185" fontId="19" fillId="0" borderId="0" xfId="43" applyNumberFormat="1" applyFont="1">
      <alignment vertical="center"/>
    </xf>
    <xf numFmtId="0" fontId="21" fillId="0" borderId="0" xfId="0" applyFont="1">
      <alignment vertical="center"/>
    </xf>
    <xf numFmtId="0" fontId="19" fillId="0" borderId="16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3" xfId="0" applyFont="1" applyBorder="1">
      <alignment vertical="center"/>
    </xf>
    <xf numFmtId="0" fontId="22" fillId="0" borderId="0" xfId="0" applyFont="1" applyAlignment="1">
      <alignment horizontal="center" vertical="center"/>
    </xf>
    <xf numFmtId="0" fontId="26" fillId="34" borderId="27" xfId="0" applyFont="1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9" fontId="19" fillId="0" borderId="19" xfId="43" applyFont="1" applyBorder="1" applyAlignment="1">
      <alignment horizontal="center" vertical="center"/>
    </xf>
    <xf numFmtId="9" fontId="19" fillId="0" borderId="20" xfId="43" applyFont="1" applyBorder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u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u/>
        <color auto="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8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[戴师兄数据分析启蒙课_Excel练习.xlsx]数据透视表-my!数据透视表1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'数据透视表-my'!$B$3</c:f>
              <c:strCache>
                <c:ptCount val="1"/>
                <c:pt idx="0">
                  <c:v>GMV总和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'数据透视表-my'!$A$4:$A$12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'数据透视表-my'!$B$4:$B$12</c:f>
              <c:numCache>
                <c:formatCode>General</c:formatCode>
                <c:ptCount val="8"/>
                <c:pt idx="0">
                  <c:v>64233.369999999995</c:v>
                </c:pt>
                <c:pt idx="1">
                  <c:v>32755.710000000006</c:v>
                </c:pt>
                <c:pt idx="2">
                  <c:v>78895.689999999988</c:v>
                </c:pt>
                <c:pt idx="3">
                  <c:v>108307.06999999999</c:v>
                </c:pt>
                <c:pt idx="4">
                  <c:v>194276.97</c:v>
                </c:pt>
                <c:pt idx="5">
                  <c:v>255727.79000000007</c:v>
                </c:pt>
                <c:pt idx="6">
                  <c:v>255891.73</c:v>
                </c:pt>
                <c:pt idx="7">
                  <c:v>81384.920000000013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3-44A1-A1C2-0F7EAF1201A1}"/>
            </c:ext>
          </c:extLst>
        </c:ser>
        <c:ser>
          <c:idx val="1"/>
          <c:order val="1"/>
          <c:tx>
            <c:strRef>
              <c:f>'数据透视表-my'!$C$3</c:f>
              <c:strCache>
                <c:ptCount val="1"/>
                <c:pt idx="0">
                  <c:v>求和项:单均实收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'数据透视表-my'!$A$4:$A$12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'数据透视表-my'!$C$4:$C$12</c:f>
              <c:numCache>
                <c:formatCode>General</c:formatCode>
                <c:ptCount val="8"/>
                <c:pt idx="0">
                  <c:v>24.587028571428572</c:v>
                </c:pt>
                <c:pt idx="1">
                  <c:v>30.978824833702877</c:v>
                </c:pt>
                <c:pt idx="2">
                  <c:v>24.18958401305056</c:v>
                </c:pt>
                <c:pt idx="3">
                  <c:v>23.190236650485438</c:v>
                </c:pt>
                <c:pt idx="4">
                  <c:v>18.489923056513661</c:v>
                </c:pt>
                <c:pt idx="5">
                  <c:v>17.114251274010197</c:v>
                </c:pt>
                <c:pt idx="6">
                  <c:v>16.921521955096363</c:v>
                </c:pt>
                <c:pt idx="7">
                  <c:v>19.62947477539737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3-44A1-A1C2-0F7EAF1201A1}"/>
            </c:ext>
          </c:extLst>
        </c:ser>
        <c:ser>
          <c:idx val="2"/>
          <c:order val="2"/>
          <c:tx>
            <c:strRef>
              <c:f>'数据透视表-my'!$D$3</c:f>
              <c:strCache>
                <c:ptCount val="1"/>
                <c:pt idx="0">
                  <c:v>求和项:cpc单次点击费用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'数据透视表-my'!$A$4:$A$12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'数据透视表-my'!$D$4:$D$12</c:f>
              <c:numCache>
                <c:formatCode>General</c:formatCode>
                <c:ptCount val="8"/>
                <c:pt idx="0">
                  <c:v>1.2156452199200289</c:v>
                </c:pt>
                <c:pt idx="1">
                  <c:v>0.66928836174944406</c:v>
                </c:pt>
                <c:pt idx="2">
                  <c:v>0.99597891566265084</c:v>
                </c:pt>
                <c:pt idx="3">
                  <c:v>1.3285604945540181</c:v>
                </c:pt>
                <c:pt idx="4">
                  <c:v>1.6073529411764704</c:v>
                </c:pt>
                <c:pt idx="5">
                  <c:v>1.6321073324159623</c:v>
                </c:pt>
                <c:pt idx="6">
                  <c:v>1.924025717111771</c:v>
                </c:pt>
                <c:pt idx="7">
                  <c:v>1.5607760814249361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3-44A1-A1C2-0F7EAF1201A1}"/>
            </c:ext>
          </c:extLst>
        </c:ser>
        <c:ser>
          <c:idx val="3"/>
          <c:order val="3"/>
          <c:tx>
            <c:strRef>
              <c:f>'数据透视表-my'!$E$3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'数据透视表-my'!$A$4:$A$12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'数据透视表-my'!$E$4:$E$12</c:f>
              <c:numCache>
                <c:formatCode>General</c:formatCode>
                <c:ptCount val="8"/>
                <c:pt idx="0">
                  <c:v>25816.38</c:v>
                </c:pt>
                <c:pt idx="1">
                  <c:v>13971.449999999997</c:v>
                </c:pt>
                <c:pt idx="2">
                  <c:v>29656.429999999986</c:v>
                </c:pt>
                <c:pt idx="3">
                  <c:v>38217.51</c:v>
                </c:pt>
                <c:pt idx="4">
                  <c:v>69688.51999999999</c:v>
                </c:pt>
                <c:pt idx="5">
                  <c:v>87316.910000000033</c:v>
                </c:pt>
                <c:pt idx="6">
                  <c:v>85166.01999999999</c:v>
                </c:pt>
                <c:pt idx="7">
                  <c:v>28403.849999999991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3-44A1-A1C2-0F7EAF12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286063"/>
        <c:axId val="1890489471"/>
      </c:lineChart>
      <c:catAx>
        <c:axId val="18892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489471"/>
        <c:crosses val="autoZero"/>
        <c:auto val="1"/>
        <c:lblAlgn val="ctr"/>
        <c:lblOffset val="100"/>
        <c:noMultiLvlLbl val="0"/>
      </c:catAx>
      <c:valAx>
        <c:axId val="18904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2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0</xdr:row>
      <xdr:rowOff>133350</xdr:rowOff>
    </xdr:from>
    <xdr:to>
      <xdr:col>8</xdr:col>
      <xdr:colOff>38100</xdr:colOff>
      <xdr:row>13</xdr:row>
      <xdr:rowOff>60325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FE4CCB74-BA16-2DFD-26EC-E66D53A83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1333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14</xdr:row>
      <xdr:rowOff>146050</xdr:rowOff>
    </xdr:from>
    <xdr:to>
      <xdr:col>5</xdr:col>
      <xdr:colOff>34925</xdr:colOff>
      <xdr:row>30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FF2FA9-9C90-7AC6-128D-E56A2123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1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  <cacheField name="单均收入" numFmtId="0" formula="商家实收/有效订单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F1983-F116-442A-BB5F-F669F36D5BF7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 rowHeaderCaption="门店名称">
  <location ref="A3:E12" firstHeaderRow="0" firstDataRow="1" firstDataCol="1" rowPageCount="1" colPageCount="1"/>
  <pivotFields count="3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24"/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GMV总和" fld="9" baseField="4" baseItem="0"/>
    <dataField name="求和项:单均实收" fld="28" baseField="0" baseItem="0"/>
    <dataField name="求和项:cpc单次点击费用" fld="2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1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O109:P118" firstHeaderRow="1" firstDataRow="1" firstDataCol="1"/>
  <pivotFields count="31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B10A1-4F45-417C-95D4-4F5B2F81D99B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O108:P117" firstHeaderRow="1" firstDataRow="1" firstDataCol="1"/>
  <pivotFields count="31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DF5B455C-E449-4EA3-A682-97ABA061FD16}" sourceName="平台i">
  <pivotTables>
    <pivotTable tabId="31" name="数据透视表1"/>
  </pivotTables>
  <data>
    <tabular pivotCacheId="180757781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73FB1E87-AF3D-4062-AF3E-3F1CE72D9984}" cache="切片器_平台i" caption="平台i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1468-FD1E-461B-93FC-FA171F50D672}">
  <dimension ref="A1:E12"/>
  <sheetViews>
    <sheetView workbookViewId="0"/>
  </sheetViews>
  <sheetFormatPr defaultRowHeight="14" x14ac:dyDescent="0.3"/>
  <cols>
    <col min="1" max="1" width="10.58203125" bestFit="1" customWidth="1"/>
    <col min="2" max="2" width="11.25" bestFit="1" customWidth="1"/>
    <col min="3" max="3" width="14.75" bestFit="1" customWidth="1"/>
    <col min="4" max="4" width="21.6640625" bestFit="1" customWidth="1"/>
    <col min="5" max="5" width="14.75" bestFit="1" customWidth="1"/>
  </cols>
  <sheetData>
    <row r="1" spans="1:5" x14ac:dyDescent="0.3">
      <c r="A1" s="53" t="s">
        <v>10</v>
      </c>
      <c r="B1" t="s">
        <v>165</v>
      </c>
    </row>
    <row r="3" spans="1:5" x14ac:dyDescent="0.3">
      <c r="A3" s="53" t="s">
        <v>5</v>
      </c>
      <c r="B3" t="s">
        <v>162</v>
      </c>
      <c r="C3" t="s">
        <v>164</v>
      </c>
      <c r="D3" t="s">
        <v>163</v>
      </c>
      <c r="E3" t="s">
        <v>148</v>
      </c>
    </row>
    <row r="4" spans="1:5" x14ac:dyDescent="0.3">
      <c r="A4" s="49" t="s">
        <v>90</v>
      </c>
      <c r="B4">
        <v>64233.369999999995</v>
      </c>
      <c r="C4">
        <v>24.587028571428572</v>
      </c>
      <c r="D4">
        <v>1.2156452199200289</v>
      </c>
      <c r="E4">
        <v>25816.38</v>
      </c>
    </row>
    <row r="5" spans="1:5" x14ac:dyDescent="0.3">
      <c r="A5" s="49" t="s">
        <v>91</v>
      </c>
      <c r="B5">
        <v>32755.710000000006</v>
      </c>
      <c r="C5">
        <v>30.978824833702877</v>
      </c>
      <c r="D5">
        <v>0.66928836174944406</v>
      </c>
      <c r="E5">
        <v>13971.449999999997</v>
      </c>
    </row>
    <row r="6" spans="1:5" x14ac:dyDescent="0.3">
      <c r="A6" s="49" t="s">
        <v>92</v>
      </c>
      <c r="B6">
        <v>78895.689999999988</v>
      </c>
      <c r="C6">
        <v>24.18958401305056</v>
      </c>
      <c r="D6">
        <v>0.99597891566265084</v>
      </c>
      <c r="E6">
        <v>29656.429999999986</v>
      </c>
    </row>
    <row r="7" spans="1:5" x14ac:dyDescent="0.3">
      <c r="A7" s="49" t="s">
        <v>93</v>
      </c>
      <c r="B7">
        <v>108307.06999999999</v>
      </c>
      <c r="C7">
        <v>23.190236650485438</v>
      </c>
      <c r="D7">
        <v>1.3285604945540181</v>
      </c>
      <c r="E7">
        <v>38217.51</v>
      </c>
    </row>
    <row r="8" spans="1:5" x14ac:dyDescent="0.3">
      <c r="A8" s="49" t="s">
        <v>94</v>
      </c>
      <c r="B8">
        <v>194276.97</v>
      </c>
      <c r="C8">
        <v>18.489923056513661</v>
      </c>
      <c r="D8">
        <v>1.6073529411764704</v>
      </c>
      <c r="E8">
        <v>69688.51999999999</v>
      </c>
    </row>
    <row r="9" spans="1:5" x14ac:dyDescent="0.3">
      <c r="A9" s="49" t="s">
        <v>95</v>
      </c>
      <c r="B9">
        <v>255727.79000000007</v>
      </c>
      <c r="C9">
        <v>17.114251274010197</v>
      </c>
      <c r="D9">
        <v>1.6321073324159623</v>
      </c>
      <c r="E9">
        <v>87316.910000000033</v>
      </c>
    </row>
    <row r="10" spans="1:5" x14ac:dyDescent="0.3">
      <c r="A10" s="49" t="s">
        <v>96</v>
      </c>
      <c r="B10">
        <v>255891.73</v>
      </c>
      <c r="C10">
        <v>16.921521955096363</v>
      </c>
      <c r="D10">
        <v>1.924025717111771</v>
      </c>
      <c r="E10">
        <v>85166.01999999999</v>
      </c>
    </row>
    <row r="11" spans="1:5" x14ac:dyDescent="0.3">
      <c r="A11" s="49" t="s">
        <v>97</v>
      </c>
      <c r="B11">
        <v>81384.920000000013</v>
      </c>
      <c r="C11">
        <v>19.62947477539737</v>
      </c>
      <c r="D11">
        <v>1.5607760814249361</v>
      </c>
      <c r="E11">
        <v>28403.849999999991</v>
      </c>
    </row>
    <row r="12" spans="1:5" x14ac:dyDescent="0.3">
      <c r="A12" s="49" t="s">
        <v>136</v>
      </c>
      <c r="B12">
        <v>1071473.25</v>
      </c>
      <c r="C12">
        <v>19.17454476325663</v>
      </c>
      <c r="D12">
        <v>1.52437989943471</v>
      </c>
      <c r="E12">
        <v>378237.06999999995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opLeftCell="J1"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49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49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49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49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49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49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49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4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defaultRowHeight="14" x14ac:dyDescent="0.3"/>
  <cols>
    <col min="1" max="1" width="23.25" bestFit="1" customWidth="1"/>
    <col min="2" max="2" width="11.25" bestFit="1" customWidth="1"/>
    <col min="3" max="3" width="14.75" bestFit="1" customWidth="1"/>
    <col min="4" max="4" width="23" bestFit="1" customWidth="1"/>
  </cols>
  <sheetData>
    <row r="1" spans="1:3" x14ac:dyDescent="0.3">
      <c r="A1" s="53" t="s">
        <v>10</v>
      </c>
      <c r="B1" t="s">
        <v>22</v>
      </c>
    </row>
    <row r="3" spans="1:3" x14ac:dyDescent="0.3">
      <c r="A3" s="53" t="s">
        <v>135</v>
      </c>
      <c r="B3" t="s">
        <v>137</v>
      </c>
      <c r="C3" t="s">
        <v>148</v>
      </c>
    </row>
    <row r="4" spans="1:3" x14ac:dyDescent="0.3">
      <c r="A4" s="49" t="s">
        <v>41</v>
      </c>
      <c r="B4">
        <v>114007.74</v>
      </c>
      <c r="C4">
        <v>36582.480000000003</v>
      </c>
    </row>
    <row r="5" spans="1:3" x14ac:dyDescent="0.3">
      <c r="A5" s="49" t="s">
        <v>28</v>
      </c>
      <c r="B5">
        <v>169975.03999999992</v>
      </c>
      <c r="C5">
        <v>63680.929999999986</v>
      </c>
    </row>
    <row r="6" spans="1:3" x14ac:dyDescent="0.3">
      <c r="A6" s="49" t="s">
        <v>24</v>
      </c>
      <c r="B6">
        <v>4313.57</v>
      </c>
      <c r="C6">
        <v>1897.6299999999999</v>
      </c>
    </row>
    <row r="7" spans="1:3" x14ac:dyDescent="0.3">
      <c r="A7" s="49" t="s">
        <v>21</v>
      </c>
      <c r="B7">
        <v>16838.82</v>
      </c>
      <c r="C7">
        <v>5992.61</v>
      </c>
    </row>
    <row r="8" spans="1:3" x14ac:dyDescent="0.3">
      <c r="A8" s="49" t="s">
        <v>136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X145"/>
  <sheetViews>
    <sheetView topLeftCell="A100" workbookViewId="0"/>
  </sheetViews>
  <sheetFormatPr defaultColWidth="9" defaultRowHeight="14" x14ac:dyDescent="0.3"/>
  <cols>
    <col min="2" max="2" width="13.33203125" customWidth="1"/>
    <col min="3" max="3" width="45.25" customWidth="1"/>
    <col min="4" max="4" width="31.33203125" customWidth="1"/>
    <col min="5" max="5" width="34.25" customWidth="1"/>
    <col min="6" max="6" width="21.33203125" bestFit="1" customWidth="1"/>
    <col min="7" max="7" width="24.5" bestFit="1" customWidth="1"/>
    <col min="8" max="8" width="14.25" customWidth="1"/>
    <col min="9" max="9" width="12.08203125" customWidth="1"/>
    <col min="10" max="10" width="19.5" bestFit="1" customWidth="1"/>
    <col min="11" max="11" width="28.08203125" customWidth="1"/>
    <col min="12" max="12" width="21.75" customWidth="1"/>
    <col min="13" max="13" width="11.58203125" bestFit="1" customWidth="1"/>
    <col min="15" max="16" width="11.25" bestFit="1" customWidth="1"/>
    <col min="19" max="19" width="9.08203125" bestFit="1" customWidth="1"/>
    <col min="20" max="20" width="10.5" bestFit="1" customWidth="1"/>
    <col min="23" max="23" width="9.08203125" bestFit="1" customWidth="1"/>
    <col min="24" max="24" width="10.5" bestFit="1" customWidth="1"/>
  </cols>
  <sheetData>
    <row r="1" spans="2:13" x14ac:dyDescent="0.3">
      <c r="M1" s="37"/>
    </row>
    <row r="2" spans="2:13" x14ac:dyDescent="0.3">
      <c r="B2" t="s">
        <v>78</v>
      </c>
      <c r="M2" s="37"/>
    </row>
    <row r="3" spans="2:13" x14ac:dyDescent="0.3">
      <c r="M3" s="37"/>
    </row>
    <row r="4" spans="2:13" x14ac:dyDescent="0.3">
      <c r="B4" s="38"/>
      <c r="C4" s="39" t="s">
        <v>83</v>
      </c>
      <c r="D4" s="39" t="s">
        <v>84</v>
      </c>
      <c r="E4" s="59"/>
      <c r="M4" s="37"/>
    </row>
    <row r="5" spans="2:13" x14ac:dyDescent="0.3">
      <c r="B5" s="39" t="s">
        <v>72</v>
      </c>
      <c r="C5" s="39">
        <f>SUM('拌客源数据1-8月'!J:J)</f>
        <v>1071473.2499999998</v>
      </c>
      <c r="D5" s="39">
        <f>SUM('拌客源数据1-8月'!J2:J25,'拌客源数据1-8月'!J496:J562)</f>
        <v>145618.28999999995</v>
      </c>
      <c r="M5" s="37"/>
    </row>
    <row r="6" spans="2:13" x14ac:dyDescent="0.3">
      <c r="B6" s="40"/>
      <c r="C6" s="40"/>
      <c r="M6" s="37"/>
    </row>
    <row r="7" spans="2:13" x14ac:dyDescent="0.3">
      <c r="B7" s="40"/>
      <c r="C7" s="40"/>
      <c r="M7" s="37"/>
    </row>
    <row r="8" spans="2:13" x14ac:dyDescent="0.3">
      <c r="B8" s="40"/>
      <c r="C8" s="40"/>
      <c r="M8" s="37"/>
    </row>
    <row r="9" spans="2:13" x14ac:dyDescent="0.3">
      <c r="B9" s="40"/>
      <c r="C9" s="40"/>
      <c r="M9" s="37"/>
    </row>
    <row r="10" spans="2:13" x14ac:dyDescent="0.3">
      <c r="C10" s="41"/>
      <c r="M10" s="37"/>
    </row>
    <row r="11" spans="2:13" x14ac:dyDescent="0.3">
      <c r="M11" s="37"/>
    </row>
    <row r="12" spans="2:13" x14ac:dyDescent="0.3">
      <c r="B12" t="s">
        <v>79</v>
      </c>
      <c r="D12" s="50">
        <f>B16</f>
        <v>44019</v>
      </c>
      <c r="M12" s="37"/>
    </row>
    <row r="13" spans="2:13" x14ac:dyDescent="0.3">
      <c r="M13" s="37"/>
    </row>
    <row r="14" spans="2:13" x14ac:dyDescent="0.3">
      <c r="B14" s="38"/>
      <c r="C14" s="39" t="s">
        <v>55</v>
      </c>
      <c r="F14" s="50"/>
      <c r="G14" s="50"/>
    </row>
    <row r="15" spans="2:13" x14ac:dyDescent="0.3">
      <c r="B15" s="42">
        <v>44013</v>
      </c>
      <c r="C15" s="39">
        <f>SUMIF('拌客源数据1-8月'!A:A,'常用函数-完成版'!B15,'拌客源数据1-8月'!J:J)</f>
        <v>6001.38</v>
      </c>
      <c r="D15" s="43" t="s">
        <v>149</v>
      </c>
      <c r="E15">
        <v>1</v>
      </c>
      <c r="F15" s="50"/>
      <c r="G15" s="50"/>
    </row>
    <row r="16" spans="2:13" x14ac:dyDescent="0.3">
      <c r="B16" s="42">
        <v>44019</v>
      </c>
      <c r="C16" s="39">
        <f>SUMIF('拌客源数据1-8月'!A:A,'常用函数-完成版'!B16,'拌客源数据1-8月'!J:J)</f>
        <v>4764.71</v>
      </c>
      <c r="D16" s="43" t="s">
        <v>149</v>
      </c>
      <c r="E16">
        <v>2</v>
      </c>
      <c r="F16" s="50"/>
      <c r="G16" s="50"/>
    </row>
    <row r="17" spans="2:12" x14ac:dyDescent="0.3">
      <c r="B17" s="42">
        <v>44028</v>
      </c>
      <c r="C17" s="39">
        <f>SUMIF('拌客源数据1-8月'!A:A,'常用函数-完成版'!B17,'拌客源数据1-8月'!J:J)</f>
        <v>11158.91</v>
      </c>
      <c r="D17" s="43" t="s">
        <v>149</v>
      </c>
      <c r="E17">
        <v>1</v>
      </c>
      <c r="F17" s="50"/>
      <c r="G17" s="50"/>
    </row>
    <row r="18" spans="2:12" x14ac:dyDescent="0.3">
      <c r="B18" s="42">
        <v>44029</v>
      </c>
      <c r="C18" s="39">
        <f>SUMIF('拌客源数据1-8月'!A:A,'常用函数-完成版'!B18,'拌客源数据1-8月'!J:J)</f>
        <v>10788.41</v>
      </c>
      <c r="D18" s="43" t="s">
        <v>149</v>
      </c>
      <c r="E18">
        <v>2</v>
      </c>
      <c r="F18" s="50"/>
    </row>
    <row r="19" spans="2:12" x14ac:dyDescent="0.3">
      <c r="B19" s="42">
        <v>44051</v>
      </c>
      <c r="C19" s="39">
        <f>SUMIF('拌客源数据1-8月'!A:A,'常用函数-完成版'!B19,'拌客源数据1-8月'!J:J)</f>
        <v>1374.4099999999999</v>
      </c>
      <c r="D19" s="43" t="s">
        <v>149</v>
      </c>
      <c r="E19">
        <v>1</v>
      </c>
      <c r="F19" s="50"/>
    </row>
    <row r="20" spans="2:12" x14ac:dyDescent="0.3">
      <c r="B20" s="42">
        <v>44062</v>
      </c>
      <c r="C20" s="39">
        <f>SUMIF('拌客源数据1-8月'!A:A,'常用函数-完成版'!B20,'拌客源数据1-8月'!J:J)</f>
        <v>2588.69</v>
      </c>
      <c r="D20" s="43" t="s">
        <v>149</v>
      </c>
      <c r="E20">
        <v>2</v>
      </c>
      <c r="F20" s="50"/>
    </row>
    <row r="21" spans="2:12" x14ac:dyDescent="0.3">
      <c r="B21" s="42">
        <v>44064</v>
      </c>
      <c r="C21" s="39">
        <f>SUMIF('拌客源数据1-8月'!A:A,'常用函数-完成版'!B21,'拌客源数据1-8月'!J:J)</f>
        <v>2118.79</v>
      </c>
      <c r="D21" s="43" t="s">
        <v>149</v>
      </c>
      <c r="E21">
        <v>1</v>
      </c>
      <c r="F21" s="50"/>
    </row>
    <row r="22" spans="2:12" x14ac:dyDescent="0.3">
      <c r="B22" s="44"/>
      <c r="C22" s="40"/>
    </row>
    <row r="23" spans="2:12" x14ac:dyDescent="0.3">
      <c r="B23" s="44"/>
      <c r="C23" s="40"/>
    </row>
    <row r="24" spans="2:12" x14ac:dyDescent="0.3">
      <c r="B24" s="44"/>
      <c r="C24" s="40"/>
    </row>
    <row r="27" spans="2:12" x14ac:dyDescent="0.3">
      <c r="B27" t="s">
        <v>80</v>
      </c>
    </row>
    <row r="29" spans="2:12" x14ac:dyDescent="0.3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3">
      <c r="B30" s="42">
        <v>44013</v>
      </c>
      <c r="C30" s="39">
        <f>SUMIFS('拌客源数据1-8月'!J:J,'拌客源数据1-8月'!A:A,'常用函数-完成版'!B30,'拌客源数据1-8月'!H:H,"美团")</f>
        <v>1008.28</v>
      </c>
      <c r="D30" s="51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1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3">
        <f>YEAR(B30)</f>
        <v>2020</v>
      </c>
      <c r="G30" s="43">
        <f>MONTH(B30)</f>
        <v>7</v>
      </c>
      <c r="H30" s="43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50"/>
    </row>
    <row r="31" spans="2:12" x14ac:dyDescent="0.3">
      <c r="B31" s="42">
        <v>44014</v>
      </c>
      <c r="C31" s="39">
        <f>SUMIFS('拌客源数据1-8月'!J:J,'拌客源数据1-8月'!A:A,'常用函数-完成版'!B31,'拌客源数据1-8月'!H:H,"美团")</f>
        <v>1023.39</v>
      </c>
      <c r="D31" s="51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1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3">
        <f t="shared" ref="F31:F36" si="0">YEAR(B31)</f>
        <v>2020</v>
      </c>
      <c r="G31" s="43">
        <f t="shared" ref="G31:G36" si="1">MONTH(B31)</f>
        <v>7</v>
      </c>
      <c r="H31" s="43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3">
      <c r="B32" s="42">
        <v>44015</v>
      </c>
      <c r="C32" s="39">
        <f>SUMIFS('拌客源数据1-8月'!J:J,'拌客源数据1-8月'!A:A,'常用函数-完成版'!B32,'拌客源数据1-8月'!H:H,"美团")</f>
        <v>999.86</v>
      </c>
      <c r="D32" s="51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1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3">
        <f t="shared" si="0"/>
        <v>2020</v>
      </c>
      <c r="G32" s="43">
        <f t="shared" si="1"/>
        <v>7</v>
      </c>
      <c r="H32" s="43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3">
      <c r="B33" s="42">
        <v>44016</v>
      </c>
      <c r="C33" s="39">
        <f>SUMIFS('拌客源数据1-8月'!J:J,'拌客源数据1-8月'!A:A,'常用函数-完成版'!B33,'拌客源数据1-8月'!H:H,"美团")</f>
        <v>1144.82</v>
      </c>
      <c r="D33" s="51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1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3">
        <f t="shared" si="0"/>
        <v>2020</v>
      </c>
      <c r="G33" s="43">
        <f t="shared" si="1"/>
        <v>7</v>
      </c>
      <c r="H33" s="43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3">
      <c r="B34" s="42">
        <v>44017</v>
      </c>
      <c r="C34" s="39">
        <f>SUMIFS('拌客源数据1-8月'!J:J,'拌客源数据1-8月'!A:A,'常用函数-完成版'!B34,'拌客源数据1-8月'!H:H,"美团")</f>
        <v>755.47</v>
      </c>
      <c r="D34" s="51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1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3">
        <f t="shared" si="0"/>
        <v>2020</v>
      </c>
      <c r="G34" s="43">
        <f t="shared" si="1"/>
        <v>7</v>
      </c>
      <c r="H34" s="43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3">
      <c r="B35" s="42">
        <v>44044</v>
      </c>
      <c r="C35" s="39">
        <f>SUMIFS('拌客源数据1-8月'!J:J,'拌客源数据1-8月'!A:A,'常用函数-完成版'!B35,'拌客源数据1-8月'!H:H,"美团")</f>
        <v>3387.1000000000004</v>
      </c>
      <c r="D35" s="51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1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3">
        <f t="shared" si="0"/>
        <v>2020</v>
      </c>
      <c r="G35" s="43">
        <f t="shared" si="1"/>
        <v>8</v>
      </c>
      <c r="H35" s="43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3">
      <c r="B36" s="42">
        <v>44048</v>
      </c>
      <c r="C36" s="39">
        <f>SUMIFS('拌客源数据1-8月'!J:J,'拌客源数据1-8月'!A:A,'常用函数-完成版'!B36,'拌客源数据1-8月'!H:H,"美团")</f>
        <v>1817.37</v>
      </c>
      <c r="D36" s="51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1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3">
        <f t="shared" si="0"/>
        <v>2020</v>
      </c>
      <c r="G36" s="43">
        <f t="shared" si="1"/>
        <v>8</v>
      </c>
      <c r="H36" s="43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3">
      <c r="F37" s="48"/>
    </row>
    <row r="38" spans="2:10" x14ac:dyDescent="0.3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 x14ac:dyDescent="0.3">
      <c r="B39" s="45">
        <v>43831</v>
      </c>
      <c r="C39" s="39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2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 x14ac:dyDescent="0.3">
      <c r="B40" s="45">
        <v>43862</v>
      </c>
      <c r="C40" s="3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2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 x14ac:dyDescent="0.3">
      <c r="B41" s="45">
        <v>43891</v>
      </c>
      <c r="C41" s="39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2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 x14ac:dyDescent="0.3">
      <c r="B42" s="45">
        <v>43922</v>
      </c>
      <c r="C42" s="3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2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 x14ac:dyDescent="0.3">
      <c r="B43" s="45">
        <v>43952</v>
      </c>
      <c r="C43" s="39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2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 x14ac:dyDescent="0.3">
      <c r="B44" s="45">
        <v>43983</v>
      </c>
      <c r="C44" s="39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2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 x14ac:dyDescent="0.3">
      <c r="B45" s="45">
        <v>44013</v>
      </c>
      <c r="C45" s="3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2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 x14ac:dyDescent="0.3">
      <c r="B46" s="45">
        <v>44044</v>
      </c>
      <c r="C46" s="39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2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 x14ac:dyDescent="0.3">
      <c r="B47" s="46"/>
    </row>
    <row r="48" spans="2:10" x14ac:dyDescent="0.3">
      <c r="B48" s="46"/>
    </row>
    <row r="49" spans="2:5" x14ac:dyDescent="0.3">
      <c r="B49" s="46"/>
    </row>
    <row r="52" spans="2:5" x14ac:dyDescent="0.3">
      <c r="B52" t="s">
        <v>81</v>
      </c>
    </row>
    <row r="54" spans="2:5" x14ac:dyDescent="0.3">
      <c r="B54" s="38"/>
      <c r="C54" s="39" t="s">
        <v>88</v>
      </c>
      <c r="D54" s="39" t="s">
        <v>89</v>
      </c>
    </row>
    <row r="55" spans="2:5" x14ac:dyDescent="0.3">
      <c r="B55" s="39" t="s">
        <v>55</v>
      </c>
      <c r="C55" s="38">
        <f>SUM('拌客源数据1-8月'!J:J)</f>
        <v>1071473.2499999998</v>
      </c>
      <c r="D55" s="38">
        <f>SUBTOTAL(9,'拌客源数据1-8月'!J:J)</f>
        <v>1071473.2499999998</v>
      </c>
    </row>
    <row r="56" spans="2:5" x14ac:dyDescent="0.3">
      <c r="B56" s="40"/>
    </row>
    <row r="57" spans="2:5" x14ac:dyDescent="0.3">
      <c r="B57" s="40"/>
    </row>
    <row r="58" spans="2:5" x14ac:dyDescent="0.3">
      <c r="B58" s="40"/>
    </row>
    <row r="61" spans="2:5" x14ac:dyDescent="0.3">
      <c r="B61" t="s">
        <v>82</v>
      </c>
    </row>
    <row r="63" spans="2:5" x14ac:dyDescent="0.3">
      <c r="B63" s="39" t="s">
        <v>98</v>
      </c>
      <c r="C63" s="39" t="s">
        <v>55</v>
      </c>
      <c r="D63" s="39" t="s">
        <v>100</v>
      </c>
      <c r="E63" s="40"/>
    </row>
    <row r="64" spans="2:5" x14ac:dyDescent="0.3">
      <c r="B64" s="39" t="s">
        <v>90</v>
      </c>
      <c r="C64" s="39">
        <v>64233.369999999995</v>
      </c>
      <c r="D64" s="39" t="str">
        <f>IF(C64&gt;100000,"达标","不达标")</f>
        <v>不达标</v>
      </c>
      <c r="E64" s="40"/>
    </row>
    <row r="65" spans="2:11" x14ac:dyDescent="0.3">
      <c r="B65" s="39" t="s">
        <v>91</v>
      </c>
      <c r="C65" s="39">
        <v>32755.710000000006</v>
      </c>
      <c r="D65" s="39" t="str">
        <f t="shared" ref="D65:D71" si="7">IF(C65&gt;100000,"达标","不达标")</f>
        <v>不达标</v>
      </c>
      <c r="E65" s="40"/>
    </row>
    <row r="66" spans="2:11" x14ac:dyDescent="0.3">
      <c r="B66" s="39" t="s">
        <v>92</v>
      </c>
      <c r="C66" s="39">
        <v>78895.689999999988</v>
      </c>
      <c r="D66" s="39" t="str">
        <f t="shared" si="7"/>
        <v>不达标</v>
      </c>
      <c r="E66" s="40"/>
    </row>
    <row r="67" spans="2:11" x14ac:dyDescent="0.3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 x14ac:dyDescent="0.3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 x14ac:dyDescent="0.3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 x14ac:dyDescent="0.3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 x14ac:dyDescent="0.3">
      <c r="B71" s="39" t="s">
        <v>97</v>
      </c>
      <c r="C71" s="39">
        <v>81384.920000000013</v>
      </c>
      <c r="D71" s="39" t="str">
        <f t="shared" si="7"/>
        <v>不达标</v>
      </c>
      <c r="E71" s="40"/>
    </row>
    <row r="72" spans="2:11" x14ac:dyDescent="0.3">
      <c r="B72" s="40"/>
      <c r="C72" s="40"/>
      <c r="D72" s="40"/>
      <c r="E72" s="40"/>
    </row>
    <row r="73" spans="2:11" x14ac:dyDescent="0.3">
      <c r="B73" s="40"/>
      <c r="C73" s="40"/>
      <c r="D73" s="40"/>
      <c r="E73" s="40"/>
    </row>
    <row r="74" spans="2:11" x14ac:dyDescent="0.3">
      <c r="B74" s="40"/>
      <c r="C74" s="40"/>
      <c r="D74" s="40"/>
      <c r="E74" s="40"/>
    </row>
    <row r="77" spans="2:11" x14ac:dyDescent="0.3">
      <c r="B77" t="s">
        <v>101</v>
      </c>
    </row>
    <row r="78" spans="2:11" x14ac:dyDescent="0.3">
      <c r="I78" t="s">
        <v>109</v>
      </c>
    </row>
    <row r="79" spans="2:11" x14ac:dyDescent="0.3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3">
      <c r="B80" s="39" t="s">
        <v>90</v>
      </c>
      <c r="C80" s="39">
        <v>64233.369999999995</v>
      </c>
      <c r="D80" s="39">
        <v>3344.24</v>
      </c>
      <c r="E80" s="39" t="str">
        <f>IF(C80&gt;100000,IF(D80&lt;5000,"达标","不达标"),"不达标")</f>
        <v>不达标</v>
      </c>
      <c r="I80" s="39">
        <v>0</v>
      </c>
      <c r="J80" s="39">
        <v>0</v>
      </c>
      <c r="K80" s="39" t="str">
        <f>IF(I80=0,IF(J80=0,"AB都等于","A等于B不等于"),IF(J80=0,"A不等于B等于","AB都不等于"))</f>
        <v>AB都等于</v>
      </c>
    </row>
    <row r="81" spans="2:24" x14ac:dyDescent="0.3">
      <c r="B81" s="39" t="s">
        <v>91</v>
      </c>
      <c r="C81" s="39">
        <v>32755.710000000006</v>
      </c>
      <c r="D81" s="39">
        <v>902.87</v>
      </c>
      <c r="E81" s="39" t="str">
        <f t="shared" ref="E81:E87" si="8">IF(C81&gt;100000,IF(D81&lt;5000,"达标","不达标"),"不达标")</f>
        <v>不达标</v>
      </c>
      <c r="I81" s="39">
        <v>1</v>
      </c>
      <c r="J81" s="39">
        <v>0</v>
      </c>
      <c r="K81" s="39" t="str">
        <f>IF(I81=0,IF(J81=0,"AB都等于","A等于B不等于"),IF(J81=0,"A不等于B等于","AB都不等于"))</f>
        <v>A不等于B等于</v>
      </c>
    </row>
    <row r="82" spans="2:24" x14ac:dyDescent="0.3">
      <c r="B82" s="39" t="s">
        <v>92</v>
      </c>
      <c r="C82" s="39">
        <v>78895.689999999988</v>
      </c>
      <c r="D82" s="39">
        <v>2645.3200000000006</v>
      </c>
      <c r="E82" s="39" t="str">
        <f t="shared" si="8"/>
        <v>不达标</v>
      </c>
      <c r="I82" s="39">
        <v>1</v>
      </c>
      <c r="J82" s="39">
        <v>1</v>
      </c>
      <c r="K82" s="39" t="str">
        <f>IF(I82=0,IF(J82=0,"AB都等于","A等于B不等于"),IF(J82=0,"A不等于B等于","AB都不等于"))</f>
        <v>AB都不等于</v>
      </c>
    </row>
    <row r="83" spans="2:24" x14ac:dyDescent="0.3">
      <c r="B83" s="39" t="s">
        <v>93</v>
      </c>
      <c r="C83" s="39">
        <v>108307.06999999999</v>
      </c>
      <c r="D83" s="39">
        <v>4513.12</v>
      </c>
      <c r="E83" s="39" t="str">
        <f t="shared" si="8"/>
        <v>达标</v>
      </c>
      <c r="I83" s="39">
        <v>0</v>
      </c>
      <c r="J83" s="39">
        <v>1</v>
      </c>
      <c r="K83" s="39" t="str">
        <f>IF(I83=0,IF(J83=0,"AB都等于","A等于B不等于"),IF(J83=0,"A不等于B等于","AB都不等于"))</f>
        <v>A等于B不等于</v>
      </c>
    </row>
    <row r="84" spans="2:24" x14ac:dyDescent="0.3">
      <c r="B84" s="39" t="s">
        <v>94</v>
      </c>
      <c r="C84" s="39">
        <v>194276.97</v>
      </c>
      <c r="D84" s="39">
        <v>11804.4</v>
      </c>
      <c r="E84" s="39" t="str">
        <f t="shared" si="8"/>
        <v>不达标</v>
      </c>
    </row>
    <row r="85" spans="2:24" x14ac:dyDescent="0.3">
      <c r="B85" s="39" t="s">
        <v>95</v>
      </c>
      <c r="C85" s="39">
        <v>255727.79000000007</v>
      </c>
      <c r="D85" s="39">
        <v>8302.5300000000007</v>
      </c>
      <c r="E85" s="39" t="str">
        <f t="shared" si="8"/>
        <v>不达标</v>
      </c>
    </row>
    <row r="86" spans="2:24" x14ac:dyDescent="0.3">
      <c r="B86" s="39" t="s">
        <v>96</v>
      </c>
      <c r="C86" s="39">
        <v>255891.73</v>
      </c>
      <c r="D86" s="39">
        <v>13616.330000000004</v>
      </c>
      <c r="E86" s="39" t="str">
        <f t="shared" si="8"/>
        <v>不达标</v>
      </c>
    </row>
    <row r="87" spans="2:24" x14ac:dyDescent="0.3">
      <c r="B87" s="39" t="s">
        <v>97</v>
      </c>
      <c r="C87" s="39">
        <v>81384.920000000013</v>
      </c>
      <c r="D87" s="39">
        <v>3680.309999999999</v>
      </c>
      <c r="E87" s="39" t="str">
        <f t="shared" si="8"/>
        <v>不达标</v>
      </c>
    </row>
    <row r="88" spans="2:24" x14ac:dyDescent="0.3">
      <c r="B88" s="40"/>
      <c r="C88" s="40"/>
      <c r="D88" s="40"/>
    </row>
    <row r="89" spans="2:24" x14ac:dyDescent="0.3">
      <c r="B89" s="40"/>
      <c r="C89" s="40"/>
      <c r="D89" s="40"/>
    </row>
    <row r="90" spans="2:24" x14ac:dyDescent="0.3">
      <c r="B90" s="40"/>
      <c r="C90" s="40"/>
      <c r="D90" s="40"/>
    </row>
    <row r="93" spans="2:24" x14ac:dyDescent="0.3">
      <c r="B93" t="s">
        <v>105</v>
      </c>
      <c r="P93">
        <f>VLOOKUP(O96,O110:P117,2,FALSE)</f>
        <v>273854.58</v>
      </c>
    </row>
    <row r="94" spans="2:24" x14ac:dyDescent="0.3">
      <c r="F94" t="s">
        <v>121</v>
      </c>
      <c r="I94" t="s">
        <v>130</v>
      </c>
      <c r="S94" t="s">
        <v>118</v>
      </c>
    </row>
    <row r="95" spans="2:24" x14ac:dyDescent="0.3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  <c r="W95" s="53" t="s">
        <v>135</v>
      </c>
      <c r="X95" t="s">
        <v>144</v>
      </c>
    </row>
    <row r="96" spans="2:24" x14ac:dyDescent="0.3">
      <c r="B96" s="47" t="s">
        <v>46</v>
      </c>
      <c r="C96" s="39" t="str">
        <f>VLOOKUP(B96,'拌客源数据1-8月'!D:E,2,FALSE)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VLOOKUP(I96&amp;"*",F96:G103,2,TRUE)</f>
        <v>1</v>
      </c>
      <c r="O96" s="47" t="s">
        <v>46</v>
      </c>
      <c r="P96" s="38">
        <f>VLOOKUP(O96,$O$109:$P$118,2,FALSE)</f>
        <v>273854.58</v>
      </c>
      <c r="S96" s="39" t="s">
        <v>106</v>
      </c>
      <c r="T96" s="39" t="s">
        <v>114</v>
      </c>
      <c r="U96" s="39">
        <v>1</v>
      </c>
      <c r="W96" s="49" t="s">
        <v>145</v>
      </c>
      <c r="X96">
        <v>19</v>
      </c>
    </row>
    <row r="97" spans="2:24" x14ac:dyDescent="0.3">
      <c r="B97" s="47" t="s">
        <v>47</v>
      </c>
      <c r="C97" s="39" t="str">
        <f>VLOOKUP(B97,'拌客源数据1-8月'!D:E,2,FALSE)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>
        <f t="shared" ref="P97:P103" si="9">VLOOKUP(O97,$O$109:$P$118,2,FALSE)</f>
        <v>16838.82</v>
      </c>
      <c r="S97" s="39" t="s">
        <v>106</v>
      </c>
      <c r="T97" s="39" t="s">
        <v>115</v>
      </c>
      <c r="U97" s="39">
        <v>2</v>
      </c>
      <c r="W97" s="54" t="s">
        <v>140</v>
      </c>
      <c r="X97">
        <v>1</v>
      </c>
    </row>
    <row r="98" spans="2:24" x14ac:dyDescent="0.3">
      <c r="B98" s="47" t="s">
        <v>44</v>
      </c>
      <c r="C98" s="39" t="str">
        <f>VLOOKUP(B98,'拌客源数据1-8月'!D:E,2,FALSE)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>
        <f t="shared" si="9"/>
        <v>6452.04</v>
      </c>
      <c r="S98" s="39" t="s">
        <v>107</v>
      </c>
      <c r="T98" s="39" t="s">
        <v>116</v>
      </c>
      <c r="U98" s="39">
        <v>3</v>
      </c>
      <c r="W98" s="54" t="s">
        <v>141</v>
      </c>
      <c r="X98">
        <v>5</v>
      </c>
    </row>
    <row r="99" spans="2:24" x14ac:dyDescent="0.3">
      <c r="B99" s="47" t="s">
        <v>45</v>
      </c>
      <c r="C99" s="39" t="str">
        <f>VLOOKUP(B99,'拌客源数据1-8月'!D:E,2,FALSE)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VLOOKUP(I99&amp;"??",F95:G103,2,FALSE)</f>
        <v>7</v>
      </c>
      <c r="O99" s="47" t="s">
        <v>45</v>
      </c>
      <c r="P99" s="38">
        <f t="shared" si="9"/>
        <v>60286.000000000022</v>
      </c>
      <c r="S99" s="39" t="s">
        <v>107</v>
      </c>
      <c r="T99" s="39" t="s">
        <v>116</v>
      </c>
      <c r="U99" s="39">
        <v>4</v>
      </c>
      <c r="W99" s="54" t="s">
        <v>142</v>
      </c>
      <c r="X99">
        <v>13</v>
      </c>
    </row>
    <row r="100" spans="2:24" x14ac:dyDescent="0.3">
      <c r="B100" s="47" t="s">
        <v>48</v>
      </c>
      <c r="C100" s="39" t="str">
        <f>VLOOKUP(B100,'拌客源数据1-8月'!D:E,2,FALSE)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>
        <f t="shared" si="9"/>
        <v>4313.57</v>
      </c>
      <c r="S100" s="39" t="s">
        <v>107</v>
      </c>
      <c r="T100" s="39" t="s">
        <v>114</v>
      </c>
      <c r="U100" s="39">
        <v>5</v>
      </c>
      <c r="W100" s="49" t="s">
        <v>146</v>
      </c>
      <c r="X100">
        <v>10</v>
      </c>
    </row>
    <row r="101" spans="2:24" x14ac:dyDescent="0.3">
      <c r="B101" s="47" t="s">
        <v>49</v>
      </c>
      <c r="C101" s="39" t="str">
        <f>VLOOKUP(B101,'拌客源数据1-8月'!D:E,2,FALSE)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>
        <f t="shared" si="9"/>
        <v>169975.03999999998</v>
      </c>
      <c r="S101" s="39" t="s">
        <v>111</v>
      </c>
      <c r="T101" s="39" t="s">
        <v>114</v>
      </c>
      <c r="U101" s="39">
        <v>6</v>
      </c>
      <c r="W101" s="54" t="s">
        <v>140</v>
      </c>
      <c r="X101">
        <v>2</v>
      </c>
    </row>
    <row r="102" spans="2:24" x14ac:dyDescent="0.3">
      <c r="B102" s="47" t="s">
        <v>50</v>
      </c>
      <c r="C102" s="39" t="str">
        <f>VLOOKUP(B102,'拌客源数据1-8月'!D:E,2,FALSE)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>
        <f t="shared" si="9"/>
        <v>425745.45999999996</v>
      </c>
      <c r="S102" s="39" t="s">
        <v>111</v>
      </c>
      <c r="T102" s="39" t="s">
        <v>114</v>
      </c>
      <c r="U102" s="39">
        <v>7</v>
      </c>
      <c r="W102" s="54" t="s">
        <v>143</v>
      </c>
      <c r="X102">
        <v>8</v>
      </c>
    </row>
    <row r="103" spans="2:24" x14ac:dyDescent="0.3">
      <c r="B103" s="47" t="s">
        <v>51</v>
      </c>
      <c r="C103" s="39" t="str">
        <f>VLOOKUP(B103,'拌客源数据1-8月'!D:E,2,FALSE)</f>
        <v>拌客干拌麻辣烫(武宁路店)</v>
      </c>
      <c r="D103" s="40"/>
      <c r="E103" s="40"/>
      <c r="F103" s="39" t="s">
        <v>123</v>
      </c>
      <c r="G103" s="39">
        <v>8</v>
      </c>
      <c r="O103" s="47" t="s">
        <v>51</v>
      </c>
      <c r="P103" s="38">
        <f t="shared" si="9"/>
        <v>114007.74</v>
      </c>
      <c r="S103" s="39" t="s">
        <v>112</v>
      </c>
      <c r="T103" s="39" t="s">
        <v>115</v>
      </c>
      <c r="U103" s="39">
        <v>8</v>
      </c>
      <c r="W103" s="49" t="s">
        <v>147</v>
      </c>
      <c r="X103">
        <v>7</v>
      </c>
    </row>
    <row r="104" spans="2:24" x14ac:dyDescent="0.3">
      <c r="B104" s="48"/>
      <c r="C104" s="40"/>
      <c r="D104" s="40"/>
      <c r="E104" s="40"/>
      <c r="F104" s="40"/>
      <c r="G104" s="40"/>
      <c r="O104" s="48"/>
      <c r="S104" s="40"/>
      <c r="T104" s="40"/>
      <c r="U104" s="40"/>
      <c r="W104" s="54" t="s">
        <v>141</v>
      </c>
      <c r="X104">
        <v>7</v>
      </c>
    </row>
    <row r="105" spans="2:24" x14ac:dyDescent="0.3">
      <c r="B105" s="48"/>
      <c r="C105" s="40"/>
      <c r="D105" s="40"/>
      <c r="E105" s="40"/>
      <c r="F105" s="40"/>
      <c r="G105" s="40"/>
      <c r="O105" s="48"/>
      <c r="S105" s="40"/>
      <c r="T105" s="40"/>
      <c r="U105" s="40"/>
      <c r="W105" s="49" t="s">
        <v>136</v>
      </c>
      <c r="X105">
        <v>36</v>
      </c>
    </row>
    <row r="106" spans="2:24" x14ac:dyDescent="0.3">
      <c r="B106" s="48"/>
      <c r="C106" s="40"/>
      <c r="D106" s="40"/>
      <c r="E106" s="40"/>
      <c r="F106" s="40"/>
      <c r="G106" s="40"/>
      <c r="O106" s="48"/>
    </row>
    <row r="109" spans="2:24" x14ac:dyDescent="0.3">
      <c r="B109" t="s">
        <v>133</v>
      </c>
      <c r="O109" s="53" t="s">
        <v>135</v>
      </c>
      <c r="P109" t="s">
        <v>137</v>
      </c>
    </row>
    <row r="110" spans="2:24" x14ac:dyDescent="0.3">
      <c r="O110" s="49" t="s">
        <v>45</v>
      </c>
      <c r="P110">
        <v>60286.000000000022</v>
      </c>
    </row>
    <row r="111" spans="2:24" x14ac:dyDescent="0.3">
      <c r="B111" s="81" t="s">
        <v>11</v>
      </c>
      <c r="C111" s="82"/>
      <c r="D111" s="39" t="s">
        <v>103</v>
      </c>
      <c r="E111" s="39" t="s">
        <v>131</v>
      </c>
      <c r="F111" s="39" t="s">
        <v>132</v>
      </c>
      <c r="G111" s="39" t="s">
        <v>104</v>
      </c>
      <c r="H111" s="39" t="s">
        <v>55</v>
      </c>
      <c r="I111" s="39" t="s">
        <v>74</v>
      </c>
      <c r="J111" s="39" t="s">
        <v>75</v>
      </c>
      <c r="K111" s="40"/>
      <c r="O111" s="49" t="s">
        <v>46</v>
      </c>
      <c r="P111">
        <v>273854.58</v>
      </c>
    </row>
    <row r="112" spans="2:24" x14ac:dyDescent="0.3">
      <c r="B112" s="60" t="s">
        <v>159</v>
      </c>
      <c r="C112" s="61"/>
      <c r="D112" s="39" t="str">
        <f>INDEX('拌客源数据1-8月'!$A:$I,MATCH($B112,'拌客源数据1-8月'!$I:$I,0),MATCH(D$111,'拌客源数据1-8月'!$A$1:$I$1,0))</f>
        <v>2001104355</v>
      </c>
      <c r="E112" s="39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39">
        <f>INDEX('拌客源数据1-8月'!$A:$I,MATCH('常用函数-完成版'!$B112,'拌客源数据1-8月'!$I:$I,0),MATCH('常用函数-完成版'!F$111,'拌客源数据1-8月'!$A$1:$I$1,0))</f>
        <v>4636</v>
      </c>
      <c r="G112" s="39" t="str">
        <f>INDEX('拌客源数据1-8月'!$A:$I,MATCH('常用函数-完成版'!$B112,'拌客源数据1-8月'!$I:$I,0),MATCH('常用函数-完成版'!G$111,'拌客源数据1-8月'!$A$1:$I$1,0))</f>
        <v>宝山店</v>
      </c>
      <c r="H112" s="39">
        <f>SUMIFS(INDEX('拌客源数据1-8月'!$A:$X,0,MATCH('常用函数-完成版'!H$111,'拌客源数据1-8月'!$A$1:$X$1,0)),'拌客源数据1-8月'!$I:$I,'常用函数-完成版'!$B112)</f>
        <v>116343.26000000004</v>
      </c>
      <c r="I112" s="39">
        <f>SUMIFS(INDEX('拌客源数据1-8月'!$A:$X,0,MATCH('常用函数-完成版'!I$111,'拌客源数据1-8月'!$A$1:$X$1,0)),'拌客源数据1-8月'!$I:$I,'常用函数-完成版'!$B112)</f>
        <v>11204</v>
      </c>
      <c r="J112" s="39">
        <f>SUMIFS(INDEX('拌客源数据1-8月'!$A:$X,0,MATCH('常用函数-完成版'!J$111,'拌客源数据1-8月'!$A$1:$X$1,0)),'拌客源数据1-8月'!$I:$I,'常用函数-完成版'!$B112)</f>
        <v>1646</v>
      </c>
      <c r="O112" s="49" t="s">
        <v>44</v>
      </c>
      <c r="P112">
        <v>6452.04</v>
      </c>
    </row>
    <row r="113" spans="2:16" x14ac:dyDescent="0.3">
      <c r="B113" s="60" t="s">
        <v>23</v>
      </c>
      <c r="C113" s="61"/>
      <c r="D113" s="39" t="str">
        <f>INDEX('拌客源数据1-8月'!$A:$I,MATCH($B113,'拌客源数据1-8月'!$I:$I,0),MATCH(D$111,'拌客源数据1-8月'!$A$1:$I$1,0))</f>
        <v>8184590</v>
      </c>
      <c r="E113" s="39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39">
        <f>INDEX('拌客源数据1-8月'!$A:$I,MATCH('常用函数-完成版'!$B113,'拌客源数据1-8月'!$I:$I,0),MATCH('常用函数-完成版'!F$111,'拌客源数据1-8月'!$A$1:$I$1,0))</f>
        <v>4636</v>
      </c>
      <c r="G113" s="39" t="str">
        <f>INDEX('拌客源数据1-8月'!$A:$I,MATCH('常用函数-完成版'!$B113,'拌客源数据1-8月'!$I:$I,0),MATCH('常用函数-完成版'!G$111,'拌客源数据1-8月'!$A$1:$I$1,0))</f>
        <v>五角场店</v>
      </c>
      <c r="H113" s="39">
        <f>SUMIFS(INDEX('拌客源数据1-8月'!$A:$X,0,MATCH('常用函数-完成版'!H$111,'拌客源数据1-8月'!$A$1:$X$1,0)),'拌客源数据1-8月'!$I:$I,'常用函数-完成版'!$B113)</f>
        <v>6787.9800000000005</v>
      </c>
      <c r="I113" s="39">
        <f>SUMIFS(INDEX('拌客源数据1-8月'!$A:$X,0,MATCH('常用函数-完成版'!I$111,'拌客源数据1-8月'!$A$1:$X$1,0)),'拌客源数据1-8月'!$I:$I,'常用函数-完成版'!$B113)</f>
        <v>775</v>
      </c>
      <c r="J113" s="39">
        <f>SUMIFS(INDEX('拌客源数据1-8月'!$A:$X,0,MATCH('常用函数-完成版'!J$111,'拌客源数据1-8月'!$A$1:$X$1,0)),'拌客源数据1-8月'!$I:$I,'常用函数-完成版'!$B113)</f>
        <v>113</v>
      </c>
      <c r="O113" s="49" t="s">
        <v>50</v>
      </c>
      <c r="P113">
        <v>425745.45999999996</v>
      </c>
    </row>
    <row r="114" spans="2:16" x14ac:dyDescent="0.3">
      <c r="B114" s="60" t="s">
        <v>32</v>
      </c>
      <c r="C114" s="61"/>
      <c r="D114" s="39" t="str">
        <f>INDEX('拌客源数据1-8月'!$A:$I,MATCH($B114,'拌客源数据1-8月'!$I:$I,0),MATCH(D$111,'拌客源数据1-8月'!$A$1:$I$1,0))</f>
        <v>305225345</v>
      </c>
      <c r="E114" s="39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39">
        <f>INDEX('拌客源数据1-8月'!$A:$I,MATCH('常用函数-完成版'!$B114,'拌客源数据1-8月'!$I:$I,0),MATCH('常用函数-完成版'!F$111,'拌客源数据1-8月'!$A$1:$I$1,0))</f>
        <v>4636</v>
      </c>
      <c r="G114" s="39" t="str">
        <f>INDEX('拌客源数据1-8月'!$A:$I,MATCH('常用函数-完成版'!$B114,'拌客源数据1-8月'!$I:$I,0),MATCH('常用函数-完成版'!G$111,'拌客源数据1-8月'!$A$1:$I$1,0))</f>
        <v>龙阳广场店</v>
      </c>
      <c r="H114" s="39">
        <f>SUMIFS(INDEX('拌客源数据1-8月'!$A:$X,0,MATCH('常用函数-完成版'!H$111,'拌客源数据1-8月'!$A$1:$X$1,0)),'拌客源数据1-8月'!$I:$I,'常用函数-完成版'!$B114)</f>
        <v>6452.04</v>
      </c>
      <c r="I114" s="39">
        <f>SUMIFS(INDEX('拌客源数据1-8月'!$A:$X,0,MATCH('常用函数-完成版'!I$111,'拌客源数据1-8月'!$A$1:$X$1,0)),'拌客源数据1-8月'!$I:$I,'常用函数-完成版'!$B114)</f>
        <v>590</v>
      </c>
      <c r="J114" s="39">
        <f>SUMIFS(INDEX('拌客源数据1-8月'!$A:$X,0,MATCH('常用函数-完成版'!J$111,'拌客源数据1-8月'!$A$1:$X$1,0)),'拌客源数据1-8月'!$I:$I,'常用函数-完成版'!$B114)</f>
        <v>108</v>
      </c>
      <c r="O114" s="49" t="s">
        <v>48</v>
      </c>
      <c r="P114">
        <v>4313.57</v>
      </c>
    </row>
    <row r="115" spans="2:16" x14ac:dyDescent="0.3">
      <c r="B115" s="60" t="s">
        <v>30</v>
      </c>
      <c r="C115" s="61"/>
      <c r="D115" s="39" t="str">
        <f>INDEX('拌客源数据1-8月'!$A:$I,MATCH($B115,'拌客源数据1-8月'!$I:$I,0),MATCH(D$111,'拌客源数据1-8月'!$A$1:$I$1,0))</f>
        <v>2000507076</v>
      </c>
      <c r="E115" s="39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39">
        <f>INDEX('拌客源数据1-8月'!$A:$I,MATCH('常用函数-完成版'!$B115,'拌客源数据1-8月'!$I:$I,0),MATCH('常用函数-完成版'!F$111,'拌客源数据1-8月'!$A$1:$I$1,0))</f>
        <v>4636</v>
      </c>
      <c r="G115" s="39" t="str">
        <f>INDEX('拌客源数据1-8月'!$A:$I,MATCH('常用函数-完成版'!$B115,'拌客源数据1-8月'!$I:$I,0),MATCH('常用函数-完成版'!G$111,'拌客源数据1-8月'!$A$1:$I$1,0))</f>
        <v>五角场店</v>
      </c>
      <c r="H115" s="39">
        <f>SUMIFS(INDEX('拌客源数据1-8月'!$A:$X,0,MATCH('常用函数-完成版'!H$111,'拌客源数据1-8月'!$A$1:$X$1,0)),'拌客源数据1-8月'!$I:$I,'常用函数-完成版'!$B115)</f>
        <v>33744.82</v>
      </c>
      <c r="I115" s="39">
        <f>SUMIFS(INDEX('拌客源数据1-8月'!$A:$X,0,MATCH('常用函数-完成版'!I$111,'拌客源数据1-8月'!$A$1:$X$1,0)),'拌客源数据1-8月'!$I:$I,'常用函数-完成版'!$B115)</f>
        <v>2490</v>
      </c>
      <c r="J115" s="39">
        <f>SUMIFS(INDEX('拌客源数据1-8月'!$A:$X,0,MATCH('常用函数-完成版'!J$111,'拌客源数据1-8月'!$A$1:$X$1,0)),'拌客源数据1-8月'!$I:$I,'常用函数-完成版'!$B115)</f>
        <v>512</v>
      </c>
      <c r="O115" s="49" t="s">
        <v>47</v>
      </c>
      <c r="P115">
        <v>16838.82</v>
      </c>
    </row>
    <row r="116" spans="2:16" x14ac:dyDescent="0.3">
      <c r="B116" s="60" t="s">
        <v>25</v>
      </c>
      <c r="C116" s="61"/>
      <c r="D116" s="39" t="str">
        <f>INDEX('拌客源数据1-8月'!$A:$I,MATCH($B116,'拌客源数据1-8月'!$I:$I,0),MATCH(D$111,'拌客源数据1-8月'!$A$1:$I$1,0))</f>
        <v>8106681</v>
      </c>
      <c r="E116" s="39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39">
        <f>INDEX('拌客源数据1-8月'!$A:$I,MATCH('常用函数-完成版'!$B116,'拌客源数据1-8月'!$I:$I,0),MATCH('常用函数-完成版'!F$111,'拌客源数据1-8月'!$A$1:$I$1,0))</f>
        <v>4636</v>
      </c>
      <c r="G116" s="39" t="str">
        <f>INDEX('拌客源数据1-8月'!$A:$I,MATCH('常用函数-完成版'!$B116,'拌客源数据1-8月'!$I:$I,0),MATCH('常用函数-完成版'!G$111,'拌客源数据1-8月'!$A$1:$I$1,0))</f>
        <v>怒江路店</v>
      </c>
      <c r="H116" s="39">
        <f>SUMIFS(INDEX('拌客源数据1-8月'!$A:$X,0,MATCH('常用函数-完成版'!H$111,'拌客源数据1-8月'!$A$1:$X$1,0)),'拌客源数据1-8月'!$I:$I,'常用函数-完成版'!$B116)</f>
        <v>4313.57</v>
      </c>
      <c r="I116" s="39">
        <f>SUMIFS(INDEX('拌客源数据1-8月'!$A:$X,0,MATCH('常用函数-完成版'!I$111,'拌客源数据1-8月'!$A$1:$X$1,0)),'拌客源数据1-8月'!$I:$I,'常用函数-完成版'!$B116)</f>
        <v>367</v>
      </c>
      <c r="J116" s="39">
        <f>SUMIFS(INDEX('拌客源数据1-8月'!$A:$X,0,MATCH('常用函数-完成版'!J$111,'拌客源数据1-8月'!$A$1:$X$1,0)),'拌客源数据1-8月'!$I:$I,'常用函数-完成版'!$B116)</f>
        <v>66</v>
      </c>
      <c r="O116" s="49" t="s">
        <v>49</v>
      </c>
      <c r="P116">
        <v>169975.03999999998</v>
      </c>
    </row>
    <row r="117" spans="2:16" x14ac:dyDescent="0.3">
      <c r="B117" s="60" t="s">
        <v>34</v>
      </c>
      <c r="C117" s="61"/>
      <c r="D117" s="39" t="str">
        <f>INDEX('拌客源数据1-8月'!$A:$I,MATCH($B117,'拌客源数据1-8月'!$I:$I,0),MATCH(D$111,'拌客源数据1-8月'!$A$1:$I$1,0))</f>
        <v>8491999</v>
      </c>
      <c r="E117" s="39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39">
        <f>INDEX('拌客源数据1-8月'!$A:$I,MATCH('常用函数-完成版'!$B117,'拌客源数据1-8月'!$I:$I,0),MATCH('常用函数-完成版'!F$111,'拌客源数据1-8月'!$A$1:$I$1,0))</f>
        <v>4636</v>
      </c>
      <c r="G117" s="39" t="str">
        <f>INDEX('拌客源数据1-8月'!$A:$I,MATCH('常用函数-完成版'!$B117,'拌客源数据1-8月'!$I:$I,0),MATCH('常用函数-完成版'!G$111,'拌客源数据1-8月'!$A$1:$I$1,0))</f>
        <v>宝山店</v>
      </c>
      <c r="H117" s="39">
        <f>SUMIFS(INDEX('拌客源数据1-8月'!$A:$X,0,MATCH('常用函数-完成版'!H$111,'拌客源数据1-8月'!$A$1:$X$1,0)),'拌客源数据1-8月'!$I:$I,'常用函数-完成版'!$B117)</f>
        <v>169975.03999999998</v>
      </c>
      <c r="I117" s="39">
        <f>SUMIFS(INDEX('拌客源数据1-8月'!$A:$X,0,MATCH('常用函数-完成版'!I$111,'拌客源数据1-8月'!$A$1:$X$1,0)),'拌客源数据1-8月'!$I:$I,'常用函数-完成版'!$B117)</f>
        <v>15813</v>
      </c>
      <c r="J117" s="39">
        <f>SUMIFS(INDEX('拌客源数据1-8月'!$A:$X,0,MATCH('常用函数-完成版'!J$111,'拌客源数据1-8月'!$A$1:$X$1,0)),'拌客源数据1-8月'!$I:$I,'常用函数-完成版'!$B117)</f>
        <v>2969</v>
      </c>
      <c r="O117" s="49" t="s">
        <v>51</v>
      </c>
      <c r="P117">
        <v>114007.74</v>
      </c>
    </row>
    <row r="118" spans="2:16" x14ac:dyDescent="0.3">
      <c r="B118" s="60" t="s">
        <v>33</v>
      </c>
      <c r="C118" s="61"/>
      <c r="D118" s="39" t="str">
        <f>INDEX('拌客源数据1-8月'!$A:$I,MATCH($B118,'拌客源数据1-8月'!$I:$I,0),MATCH(D$111,'拌客源数据1-8月'!$A$1:$I$1,0))</f>
        <v>8184590</v>
      </c>
      <c r="E118" s="39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39">
        <f>INDEX('拌客源数据1-8月'!$A:$I,MATCH('常用函数-完成版'!$B118,'拌客源数据1-8月'!$I:$I,0),MATCH('常用函数-完成版'!F$111,'拌客源数据1-8月'!$A$1:$I$1,0))</f>
        <v>4636</v>
      </c>
      <c r="G118" s="39" t="str">
        <f>INDEX('拌客源数据1-8月'!$A:$I,MATCH('常用函数-完成版'!$B118,'拌客源数据1-8月'!$I:$I,0),MATCH('常用函数-完成版'!G$111,'拌客源数据1-8月'!$A$1:$I$1,0))</f>
        <v>五角场店</v>
      </c>
      <c r="H118" s="39">
        <f>SUMIFS(INDEX('拌客源数据1-8月'!$A:$X,0,MATCH('常用函数-完成版'!H$111,'拌客源数据1-8月'!$A$1:$X$1,0)),'拌客源数据1-8月'!$I:$I,'常用函数-完成版'!$B118)</f>
        <v>9368.7099999999973</v>
      </c>
      <c r="I118" s="39">
        <f>SUMIFS(INDEX('拌客源数据1-8月'!$A:$X,0,MATCH('常用函数-完成版'!I$111,'拌客源数据1-8月'!$A$1:$X$1,0)),'拌客源数据1-8月'!$I:$I,'常用函数-完成版'!$B118)</f>
        <v>791</v>
      </c>
      <c r="J118" s="39">
        <f>SUMIFS(INDEX('拌客源数据1-8月'!$A:$X,0,MATCH('常用函数-完成版'!J$111,'拌客源数据1-8月'!$A$1:$X$1,0)),'拌客源数据1-8月'!$I:$I,'常用函数-完成版'!$B118)</f>
        <v>154</v>
      </c>
      <c r="O118" s="49" t="s">
        <v>136</v>
      </c>
      <c r="P118">
        <v>1071473.2499999998</v>
      </c>
    </row>
    <row r="119" spans="2:16" x14ac:dyDescent="0.3">
      <c r="B119" s="60" t="s">
        <v>35</v>
      </c>
      <c r="C119" s="61"/>
      <c r="D119" s="39" t="str">
        <f>INDEX('拌客源数据1-8月'!$A:$I,MATCH($B119,'拌客源数据1-8月'!$I:$I,0),MATCH(D$111,'拌客源数据1-8月'!$A$1:$I$1,0))</f>
        <v>2000507076</v>
      </c>
      <c r="E119" s="39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39">
        <f>INDEX('拌客源数据1-8月'!$A:$I,MATCH('常用函数-完成版'!$B119,'拌客源数据1-8月'!$I:$I,0),MATCH('常用函数-完成版'!F$111,'拌客源数据1-8月'!$A$1:$I$1,0))</f>
        <v>4636</v>
      </c>
      <c r="G119" s="39" t="str">
        <f>INDEX('拌客源数据1-8月'!$A:$I,MATCH('常用函数-完成版'!$B119,'拌客源数据1-8月'!$I:$I,0),MATCH('常用函数-完成版'!G$111,'拌客源数据1-8月'!$A$1:$I$1,0))</f>
        <v>五角场店</v>
      </c>
      <c r="H119" s="39">
        <f>SUMIFS(INDEX('拌客源数据1-8月'!$A:$X,0,MATCH('常用函数-完成版'!H$111,'拌客源数据1-8月'!$A$1:$X$1,0)),'拌客源数据1-8月'!$I:$I,'常用函数-完成版'!$B119)</f>
        <v>784.71</v>
      </c>
      <c r="I119" s="39">
        <f>SUMIFS(INDEX('拌客源数据1-8月'!$A:$X,0,MATCH('常用函数-完成版'!I$111,'拌客源数据1-8月'!$A$1:$X$1,0)),'拌客源数据1-8月'!$I:$I,'常用函数-完成版'!$B119)</f>
        <v>48</v>
      </c>
      <c r="J119" s="39">
        <f>SUMIFS(INDEX('拌客源数据1-8月'!$A:$X,0,MATCH('常用函数-完成版'!J$111,'拌客源数据1-8月'!$A$1:$X$1,0)),'拌客源数据1-8月'!$I:$I,'常用函数-完成版'!$B119)</f>
        <v>11</v>
      </c>
    </row>
    <row r="120" spans="2:16" x14ac:dyDescent="0.3">
      <c r="B120" s="60" t="s">
        <v>36</v>
      </c>
      <c r="C120" s="61"/>
      <c r="D120" s="39" t="str">
        <f>INDEX('拌客源数据1-8月'!$A:$I,MATCH($B120,'拌客源数据1-8月'!$I:$I,0),MATCH(D$111,'拌客源数据1-8月'!$A$1:$I$1,0))</f>
        <v>2000507076</v>
      </c>
      <c r="E120" s="39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39">
        <f>INDEX('拌客源数据1-8月'!$A:$I,MATCH('常用函数-完成版'!$B120,'拌客源数据1-8月'!$I:$I,0),MATCH('常用函数-完成版'!F$111,'拌客源数据1-8月'!$A$1:$I$1,0))</f>
        <v>4636</v>
      </c>
      <c r="G120" s="39" t="str">
        <f>INDEX('拌客源数据1-8月'!$A:$I,MATCH('常用函数-完成版'!$B120,'拌客源数据1-8月'!$I:$I,0),MATCH('常用函数-完成版'!G$111,'拌客源数据1-8月'!$A$1:$I$1,0))</f>
        <v>五角场店</v>
      </c>
      <c r="H120" s="39">
        <f>SUMIFS(INDEX('拌客源数据1-8月'!$A:$X,0,MATCH('常用函数-完成版'!H$111,'拌客源数据1-8月'!$A$1:$X$1,0)),'拌客源数据1-8月'!$I:$I,'常用函数-完成版'!$B120)</f>
        <v>11932.99</v>
      </c>
      <c r="I120" s="39">
        <f>SUMIFS(INDEX('拌客源数据1-8月'!$A:$X,0,MATCH('常用函数-完成版'!I$111,'拌客源数据1-8月'!$A$1:$X$1,0)),'拌客源数据1-8月'!$I:$I,'常用函数-完成版'!$B120)</f>
        <v>699</v>
      </c>
      <c r="J120" s="39">
        <f>SUMIFS(INDEX('拌客源数据1-8月'!$A:$X,0,MATCH('常用函数-完成版'!J$111,'拌客源数据1-8月'!$A$1:$X$1,0)),'拌客源数据1-8月'!$I:$I,'常用函数-完成版'!$B120)</f>
        <v>167</v>
      </c>
    </row>
    <row r="121" spans="2:16" x14ac:dyDescent="0.3">
      <c r="B121" s="60" t="s">
        <v>37</v>
      </c>
      <c r="C121" s="61"/>
      <c r="D121" s="39" t="str">
        <f>INDEX('拌客源数据1-8月'!$A:$I,MATCH($B121,'拌客源数据1-8月'!$I:$I,0),MATCH(D$111,'拌客源数据1-8月'!$A$1:$I$1,0))</f>
        <v>2001104355</v>
      </c>
      <c r="E121" s="39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39">
        <f>INDEX('拌客源数据1-8月'!$A:$I,MATCH('常用函数-完成版'!$B121,'拌客源数据1-8月'!$I:$I,0),MATCH('常用函数-完成版'!F$111,'拌客源数据1-8月'!$A$1:$I$1,0))</f>
        <v>4636</v>
      </c>
      <c r="G121" s="39" t="str">
        <f>INDEX('拌客源数据1-8月'!$A:$I,MATCH('常用函数-完成版'!$B121,'拌客源数据1-8月'!$I:$I,0),MATCH('常用函数-完成版'!G$111,'拌客源数据1-8月'!$A$1:$I$1,0))</f>
        <v>宝山店</v>
      </c>
      <c r="H121" s="39">
        <f>SUMIFS(INDEX('拌客源数据1-8月'!$A:$X,0,MATCH('常用函数-完成版'!H$111,'拌客源数据1-8月'!$A$1:$X$1,0)),'拌客源数据1-8月'!$I:$I,'常用函数-完成版'!$B121)</f>
        <v>157511.31999999995</v>
      </c>
      <c r="I121" s="39">
        <f>SUMIFS(INDEX('拌客源数据1-8月'!$A:$X,0,MATCH('常用函数-完成版'!I$111,'拌客源数据1-8月'!$A$1:$X$1,0)),'拌客源数据1-8月'!$I:$I,'常用函数-完成版'!$B121)</f>
        <v>10924</v>
      </c>
      <c r="J121" s="39">
        <f>SUMIFS(INDEX('拌客源数据1-8月'!$A:$X,0,MATCH('常用函数-完成版'!J$111,'拌客源数据1-8月'!$A$1:$X$1,0)),'拌客源数据1-8月'!$I:$I,'常用函数-完成版'!$B121)</f>
        <v>2362</v>
      </c>
    </row>
    <row r="122" spans="2:16" x14ac:dyDescent="0.3">
      <c r="B122" s="60" t="s">
        <v>38</v>
      </c>
      <c r="C122" s="61"/>
      <c r="D122" s="39" t="str">
        <f>INDEX('拌客源数据1-8月'!$A:$I,MATCH($B122,'拌客源数据1-8月'!$I:$I,0),MATCH(D$111,'拌客源数据1-8月'!$A$1:$I$1,0))</f>
        <v>2000507076</v>
      </c>
      <c r="E122" s="39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39">
        <f>INDEX('拌客源数据1-8月'!$A:$I,MATCH('常用函数-完成版'!$B122,'拌客源数据1-8月'!$I:$I,0),MATCH('常用函数-完成版'!F$111,'拌客源数据1-8月'!$A$1:$I$1,0))</f>
        <v>4636</v>
      </c>
      <c r="G122" s="39" t="str">
        <f>INDEX('拌客源数据1-8月'!$A:$I,MATCH('常用函数-完成版'!$B122,'拌客源数据1-8月'!$I:$I,0),MATCH('常用函数-完成版'!G$111,'拌客源数据1-8月'!$A$1:$I$1,0))</f>
        <v>五角场店</v>
      </c>
      <c r="H122" s="39">
        <f>SUMIFS(INDEX('拌客源数据1-8月'!$A:$X,0,MATCH('常用函数-完成版'!H$111,'拌客源数据1-8月'!$A$1:$X$1,0)),'拌客源数据1-8月'!$I:$I,'常用函数-完成版'!$B122)</f>
        <v>13823.480000000001</v>
      </c>
      <c r="I122" s="39">
        <f>SUMIFS(INDEX('拌客源数据1-8月'!$A:$X,0,MATCH('常用函数-完成版'!I$111,'拌客源数据1-8月'!$A$1:$X$1,0)),'拌客源数据1-8月'!$I:$I,'常用函数-完成版'!$B122)</f>
        <v>849</v>
      </c>
      <c r="J122" s="39">
        <f>SUMIFS(INDEX('拌客源数据1-8月'!$A:$X,0,MATCH('常用函数-完成版'!J$111,'拌客源数据1-8月'!$A$1:$X$1,0)),'拌客源数据1-8月'!$I:$I,'常用函数-完成版'!$B122)</f>
        <v>205</v>
      </c>
    </row>
    <row r="123" spans="2:16" x14ac:dyDescent="0.3">
      <c r="B123" s="60" t="s">
        <v>39</v>
      </c>
      <c r="C123" s="61"/>
      <c r="D123" s="39" t="str">
        <f>INDEX('拌客源数据1-8月'!$A:$I,MATCH($B123,'拌客源数据1-8月'!$I:$I,0),MATCH(D$111,'拌客源数据1-8月'!$A$1:$I$1,0))</f>
        <v>8184590</v>
      </c>
      <c r="E123" s="39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39">
        <f>INDEX('拌客源数据1-8月'!$A:$I,MATCH('常用函数-完成版'!$B123,'拌客源数据1-8月'!$I:$I,0),MATCH('常用函数-完成版'!F$111,'拌客源数据1-8月'!$A$1:$I$1,0))</f>
        <v>4636</v>
      </c>
      <c r="G123" s="39" t="str">
        <f>INDEX('拌客源数据1-8月'!$A:$I,MATCH('常用函数-完成版'!$B123,'拌客源数据1-8月'!$I:$I,0),MATCH('常用函数-完成版'!G$111,'拌客源数据1-8月'!$A$1:$I$1,0))</f>
        <v>五角场店</v>
      </c>
      <c r="H123" s="39">
        <f>SUMIFS(INDEX('拌客源数据1-8月'!$A:$X,0,MATCH('常用函数-完成版'!H$111,'拌客源数据1-8月'!$A$1:$X$1,0)),'拌客源数据1-8月'!$I:$I,'常用函数-完成版'!$B123)</f>
        <v>682.13</v>
      </c>
      <c r="I123" s="39">
        <f>SUMIFS(INDEX('拌客源数据1-8月'!$A:$X,0,MATCH('常用函数-完成版'!I$111,'拌客源数据1-8月'!$A$1:$X$1,0)),'拌客源数据1-8月'!$I:$I,'常用函数-完成版'!$B123)</f>
        <v>45</v>
      </c>
      <c r="J123" s="39">
        <f>SUMIFS(INDEX('拌客源数据1-8月'!$A:$X,0,MATCH('常用函数-完成版'!J$111,'拌客源数据1-8月'!$A$1:$X$1,0)),'拌客源数据1-8月'!$I:$I,'常用函数-完成版'!$B123)</f>
        <v>8</v>
      </c>
    </row>
    <row r="124" spans="2:16" x14ac:dyDescent="0.3">
      <c r="B124" s="60" t="s">
        <v>41</v>
      </c>
      <c r="C124" s="61"/>
      <c r="D124" s="39" t="str">
        <f>INDEX('拌客源数据1-8月'!$A:$I,MATCH($B124,'拌客源数据1-8月'!$I:$I,0),MATCH(D$111,'拌客源数据1-8月'!$A$1:$I$1,0))</f>
        <v>337460136</v>
      </c>
      <c r="E124" s="39" t="str">
        <f>INDEX('拌客源数据1-8月'!$A:$I,MATCH('常用函数-完成版'!$B124,'拌客源数据1-8月'!$I:$I,0),MATCH('常用函数-完成版'!E$111,'拌客源数据1-8月'!$A$1:$I$1,0))</f>
        <v>拌客（武宁路店）</v>
      </c>
      <c r="F124" s="39">
        <f>INDEX('拌客源数据1-8月'!$A:$I,MATCH('常用函数-完成版'!$B124,'拌客源数据1-8月'!$I:$I,0),MATCH('常用函数-完成版'!F$111,'拌客源数据1-8月'!$A$1:$I$1,0))</f>
        <v>6108</v>
      </c>
      <c r="G124" s="3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39">
        <f>SUMIFS(INDEX('拌客源数据1-8月'!$A:$X,0,MATCH('常用函数-完成版'!H$111,'拌客源数据1-8月'!$A$1:$X$1,0)),'拌客源数据1-8月'!$I:$I,'常用函数-完成版'!$B124)</f>
        <v>3913.76</v>
      </c>
      <c r="I124" s="39">
        <f>SUMIFS(INDEX('拌客源数据1-8月'!$A:$X,0,MATCH('常用函数-完成版'!I$111,'拌客源数据1-8月'!$A$1:$X$1,0)),'拌客源数据1-8月'!$I:$I,'常用函数-完成版'!$B124)</f>
        <v>441</v>
      </c>
      <c r="J124" s="39">
        <f>SUMIFS(INDEX('拌客源数据1-8月'!$A:$X,0,MATCH('常用函数-完成版'!J$111,'拌客源数据1-8月'!$A$1:$X$1,0)),'拌客源数据1-8月'!$I:$I,'常用函数-完成版'!$B124)</f>
        <v>72</v>
      </c>
    </row>
    <row r="125" spans="2:16" x14ac:dyDescent="0.3">
      <c r="B125" s="60" t="s">
        <v>42</v>
      </c>
      <c r="C125" s="61"/>
      <c r="D125" s="39" t="str">
        <f>INDEX('拌客源数据1-8月'!$A:$I,MATCH($B125,'拌客源数据1-8月'!$I:$I,0),MATCH(D$111,'拌客源数据1-8月'!$A$1:$I$1,0))</f>
        <v>337460136</v>
      </c>
      <c r="E125" s="39" t="str">
        <f>INDEX('拌客源数据1-8月'!$A:$I,MATCH('常用函数-完成版'!$B125,'拌客源数据1-8月'!$I:$I,0),MATCH('常用函数-完成版'!E$111,'拌客源数据1-8月'!$A$1:$I$1,0))</f>
        <v>拌客（武宁路店）</v>
      </c>
      <c r="F125" s="39">
        <f>INDEX('拌客源数据1-8月'!$A:$I,MATCH('常用函数-完成版'!$B125,'拌客源数据1-8月'!$I:$I,0),MATCH('常用函数-完成版'!F$111,'拌客源数据1-8月'!$A$1:$I$1,0))</f>
        <v>6108</v>
      </c>
      <c r="G125" s="3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39">
        <f>SUMIFS(INDEX('拌客源数据1-8月'!$A:$X,0,MATCH('常用函数-完成版'!H$111,'拌客源数据1-8月'!$A$1:$X$1,0)),'拌客源数据1-8月'!$I:$I,'常用函数-完成版'!$B125)</f>
        <v>421831.69999999995</v>
      </c>
      <c r="I125" s="39">
        <f>SUMIFS(INDEX('拌客源数据1-8月'!$A:$X,0,MATCH('常用函数-完成版'!I$111,'拌客源数据1-8月'!$A$1:$X$1,0)),'拌客源数据1-8月'!$I:$I,'常用函数-完成版'!$B125)</f>
        <v>31427</v>
      </c>
      <c r="J125" s="39">
        <f>SUMIFS(INDEX('拌客源数据1-8月'!$A:$X,0,MATCH('常用函数-完成版'!J$111,'拌客源数据1-8月'!$A$1:$X$1,0)),'拌客源数据1-8月'!$I:$I,'常用函数-完成版'!$B125)</f>
        <v>8314</v>
      </c>
    </row>
    <row r="126" spans="2:16" x14ac:dyDescent="0.3">
      <c r="B126" s="60" t="s">
        <v>43</v>
      </c>
      <c r="C126" s="61"/>
      <c r="D126" s="39" t="str">
        <f>INDEX('拌客源数据1-8月'!$A:$I,MATCH($B126,'拌客源数据1-8月'!$I:$I,0),MATCH(D$111,'拌客源数据1-8月'!$A$1:$I$1,0))</f>
        <v>9428110</v>
      </c>
      <c r="E126" s="39" t="str">
        <f>INDEX('拌客源数据1-8月'!$A:$I,MATCH('常用函数-完成版'!$B126,'拌客源数据1-8月'!$I:$I,0),MATCH('常用函数-完成版'!E$111,'拌客源数据1-8月'!$A$1:$I$1,0))</f>
        <v>拌客（武宁路店）</v>
      </c>
      <c r="F126" s="39">
        <f>INDEX('拌客源数据1-8月'!$A:$I,MATCH('常用函数-完成版'!$B126,'拌客源数据1-8月'!$I:$I,0),MATCH('常用函数-完成版'!F$111,'拌客源数据1-8月'!$A$1:$I$1,0))</f>
        <v>6108</v>
      </c>
      <c r="G126" s="3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39">
        <f>SUMIFS(INDEX('拌客源数据1-8月'!$A:$X,0,MATCH('常用函数-完成版'!H$111,'拌客源数据1-8月'!$A$1:$X$1,0)),'拌客源数据1-8月'!$I:$I,'常用函数-完成版'!$B126)</f>
        <v>114007.74</v>
      </c>
      <c r="I126" s="39">
        <f>SUMIFS(INDEX('拌客源数据1-8月'!$A:$X,0,MATCH('常用函数-完成版'!I$111,'拌客源数据1-8月'!$A$1:$X$1,0)),'拌客源数据1-8月'!$I:$I,'常用函数-完成版'!$B126)</f>
        <v>7867</v>
      </c>
      <c r="J126" s="39">
        <f>SUMIFS(INDEX('拌客源数据1-8月'!$A:$X,0,MATCH('常用函数-完成版'!J$111,'拌客源数据1-8月'!$A$1:$X$1,0)),'拌客源数据1-8月'!$I:$I,'常用函数-完成版'!$B126)</f>
        <v>2329</v>
      </c>
    </row>
    <row r="127" spans="2:16" x14ac:dyDescent="0.3">
      <c r="B127" s="49"/>
      <c r="C127" s="49"/>
      <c r="D127" s="40"/>
      <c r="E127" s="40"/>
      <c r="F127" s="40"/>
      <c r="G127" s="40"/>
    </row>
    <row r="128" spans="2:16" x14ac:dyDescent="0.3">
      <c r="B128" s="49"/>
      <c r="C128" s="49"/>
      <c r="D128" s="40"/>
      <c r="E128" s="40"/>
      <c r="F128" s="40"/>
      <c r="G128" s="40"/>
      <c r="H128" s="40"/>
    </row>
    <row r="129" spans="2:10" x14ac:dyDescent="0.3">
      <c r="B129" s="49"/>
      <c r="C129" s="49"/>
      <c r="D129" s="49"/>
      <c r="E129" s="40"/>
      <c r="F129" s="40"/>
      <c r="G129" s="40"/>
      <c r="H129" s="40"/>
      <c r="I129" s="40"/>
      <c r="J129" s="40"/>
    </row>
    <row r="130" spans="2:10" x14ac:dyDescent="0.3">
      <c r="B130" s="49"/>
      <c r="C130" s="49"/>
      <c r="D130" s="40"/>
      <c r="E130" s="40"/>
      <c r="F130" s="40"/>
      <c r="G130" s="40"/>
      <c r="H130" s="40"/>
      <c r="I130" s="40"/>
      <c r="J130" s="40"/>
    </row>
    <row r="131" spans="2:10" x14ac:dyDescent="0.3">
      <c r="B131" s="49"/>
      <c r="C131" s="49"/>
      <c r="D131" s="40"/>
      <c r="E131" s="40"/>
      <c r="F131" s="40"/>
      <c r="G131" s="40"/>
      <c r="H131" s="40"/>
      <c r="I131" s="40"/>
      <c r="J131" s="40"/>
    </row>
    <row r="132" spans="2:10" x14ac:dyDescent="0.3">
      <c r="D132" s="40"/>
      <c r="E132" s="40"/>
      <c r="F132" s="40"/>
      <c r="G132" s="40"/>
      <c r="H132" s="40"/>
      <c r="I132" s="40"/>
      <c r="J132" s="40"/>
    </row>
    <row r="133" spans="2:10" x14ac:dyDescent="0.3">
      <c r="D133" s="40"/>
      <c r="E133" s="40"/>
      <c r="F133" s="40"/>
      <c r="G133" s="40"/>
      <c r="H133" s="40"/>
      <c r="I133" s="40"/>
      <c r="J133" s="40"/>
    </row>
    <row r="134" spans="2:10" x14ac:dyDescent="0.3">
      <c r="D134" s="40"/>
      <c r="E134" s="40"/>
      <c r="F134" s="40"/>
      <c r="G134" s="40"/>
      <c r="H134" s="40"/>
      <c r="I134" s="40"/>
      <c r="J134" s="40"/>
    </row>
    <row r="135" spans="2:10" x14ac:dyDescent="0.3">
      <c r="D135" s="40"/>
      <c r="E135" s="40"/>
      <c r="F135" s="40"/>
      <c r="G135" s="40"/>
      <c r="H135" s="40"/>
      <c r="I135" s="40"/>
      <c r="J135" s="40"/>
    </row>
    <row r="136" spans="2:10" x14ac:dyDescent="0.3">
      <c r="D136" s="40"/>
      <c r="E136" s="40"/>
      <c r="F136" s="40"/>
      <c r="G136" s="40"/>
      <c r="H136" s="40"/>
      <c r="I136" s="40"/>
      <c r="J136" s="40"/>
    </row>
    <row r="137" spans="2:10" x14ac:dyDescent="0.3">
      <c r="D137" s="40"/>
      <c r="E137" s="40"/>
      <c r="F137" s="40"/>
      <c r="G137" s="40"/>
      <c r="H137" s="40"/>
      <c r="I137" s="40"/>
      <c r="J137" s="40"/>
    </row>
    <row r="138" spans="2:10" x14ac:dyDescent="0.3">
      <c r="D138" s="40"/>
      <c r="E138" s="40"/>
      <c r="F138" s="40"/>
      <c r="G138" s="40"/>
      <c r="H138" s="40"/>
      <c r="I138" s="40"/>
      <c r="J138" s="40"/>
    </row>
    <row r="139" spans="2:10" x14ac:dyDescent="0.3">
      <c r="D139" s="40"/>
      <c r="E139" s="40"/>
      <c r="F139" s="40"/>
      <c r="G139" s="40"/>
      <c r="H139" s="40"/>
      <c r="I139" s="40"/>
      <c r="J139" s="40"/>
    </row>
    <row r="140" spans="2:10" x14ac:dyDescent="0.3">
      <c r="D140" s="40"/>
      <c r="E140" s="40"/>
      <c r="F140" s="40"/>
      <c r="G140" s="40"/>
      <c r="H140" s="40"/>
      <c r="I140" s="40"/>
      <c r="J140" s="40"/>
    </row>
    <row r="141" spans="2:10" x14ac:dyDescent="0.3">
      <c r="D141" s="40"/>
      <c r="E141" s="40"/>
      <c r="F141" s="40"/>
      <c r="G141" s="40"/>
      <c r="H141" s="40"/>
      <c r="I141" s="40"/>
      <c r="J141" s="40"/>
    </row>
    <row r="142" spans="2:10" x14ac:dyDescent="0.3">
      <c r="D142" s="40"/>
      <c r="E142" s="40"/>
      <c r="F142" s="40"/>
      <c r="G142" s="40"/>
      <c r="H142" s="40"/>
      <c r="I142" s="40"/>
      <c r="J142" s="40"/>
    </row>
    <row r="143" spans="2:10" x14ac:dyDescent="0.3">
      <c r="D143" s="40"/>
      <c r="E143" s="40"/>
      <c r="F143" s="40"/>
      <c r="G143" s="40"/>
      <c r="H143" s="40"/>
      <c r="I143" s="40"/>
      <c r="J143" s="40"/>
    </row>
    <row r="144" spans="2:10" x14ac:dyDescent="0.3">
      <c r="E144" s="40"/>
      <c r="F144" s="40"/>
      <c r="G144" s="40"/>
      <c r="H144" s="40"/>
      <c r="I144" s="40"/>
      <c r="J144" s="40"/>
    </row>
    <row r="145" spans="5:10" x14ac:dyDescent="0.3">
      <c r="E145" s="40"/>
      <c r="F145" s="40"/>
      <c r="G145" s="40"/>
      <c r="H145" s="40"/>
      <c r="I145" s="40"/>
      <c r="J145" s="40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U131"/>
  <sheetViews>
    <sheetView workbookViewId="0">
      <selection activeCell="D118" sqref="D118"/>
    </sheetView>
  </sheetViews>
  <sheetFormatPr defaultColWidth="9" defaultRowHeight="14" x14ac:dyDescent="0.3"/>
  <cols>
    <col min="2" max="2" width="13.33203125" customWidth="1"/>
    <col min="3" max="3" width="42" customWidth="1"/>
    <col min="4" max="4" width="33" customWidth="1"/>
    <col min="5" max="5" width="34.08203125" customWidth="1"/>
    <col min="6" max="7" width="21.33203125" bestFit="1" customWidth="1"/>
    <col min="8" max="8" width="14.25" customWidth="1"/>
    <col min="9" max="9" width="12.08203125" customWidth="1"/>
    <col min="10" max="10" width="19.5" bestFit="1" customWidth="1"/>
    <col min="11" max="11" width="18" customWidth="1"/>
    <col min="12" max="13" width="11.58203125" bestFit="1" customWidth="1"/>
    <col min="15" max="16" width="11.25" bestFit="1" customWidth="1"/>
    <col min="19" max="19" width="9.08203125" bestFit="1" customWidth="1"/>
    <col min="20" max="20" width="10.5" bestFit="1" customWidth="1"/>
    <col min="23" max="23" width="9.08203125" bestFit="1" customWidth="1"/>
    <col min="24" max="24" width="10.5" bestFit="1" customWidth="1"/>
  </cols>
  <sheetData>
    <row r="1" spans="2:13" x14ac:dyDescent="0.3">
      <c r="M1" s="37"/>
    </row>
    <row r="2" spans="2:13" x14ac:dyDescent="0.3">
      <c r="B2" t="s">
        <v>78</v>
      </c>
      <c r="M2" s="37"/>
    </row>
    <row r="3" spans="2:13" x14ac:dyDescent="0.3">
      <c r="M3" s="37"/>
    </row>
    <row r="4" spans="2:13" x14ac:dyDescent="0.3">
      <c r="B4" s="38"/>
      <c r="C4" s="39" t="s">
        <v>83</v>
      </c>
      <c r="D4" s="39" t="s">
        <v>84</v>
      </c>
      <c r="M4" s="37"/>
    </row>
    <row r="5" spans="2:13" x14ac:dyDescent="0.3">
      <c r="B5" s="39" t="s">
        <v>72</v>
      </c>
      <c r="C5" s="39">
        <f>SUM('拌客源数据1-8月'!J1         : '拌客源数据1-8月'!J562)</f>
        <v>1071473.2499999998</v>
      </c>
      <c r="D5" s="39">
        <f>SUM('拌客源数据1-8月'!J2:J25)+SUM('拌客源数据1-8月'!J496:J562)</f>
        <v>145618.29</v>
      </c>
      <c r="M5" s="37"/>
    </row>
    <row r="6" spans="2:13" x14ac:dyDescent="0.3">
      <c r="B6" s="40"/>
      <c r="C6" s="40"/>
      <c r="M6" s="37"/>
    </row>
    <row r="7" spans="2:13" x14ac:dyDescent="0.3">
      <c r="B7" s="40"/>
      <c r="C7" s="40"/>
      <c r="M7" s="37"/>
    </row>
    <row r="8" spans="2:13" x14ac:dyDescent="0.3">
      <c r="B8" s="40"/>
      <c r="C8" s="40"/>
      <c r="M8" s="37"/>
    </row>
    <row r="9" spans="2:13" x14ac:dyDescent="0.3">
      <c r="B9" s="40"/>
      <c r="C9" s="40"/>
      <c r="M9" s="37"/>
    </row>
    <row r="10" spans="2:13" x14ac:dyDescent="0.3">
      <c r="C10" s="41"/>
      <c r="M10" s="37"/>
    </row>
    <row r="11" spans="2:13" x14ac:dyDescent="0.3">
      <c r="C11" s="1"/>
      <c r="D11" s="1"/>
      <c r="M11" s="37"/>
    </row>
    <row r="12" spans="2:13" x14ac:dyDescent="0.3">
      <c r="B12" t="s">
        <v>79</v>
      </c>
      <c r="D12" s="50"/>
      <c r="M12" s="37"/>
    </row>
    <row r="13" spans="2:13" x14ac:dyDescent="0.3">
      <c r="M13" s="37"/>
    </row>
    <row r="14" spans="2:13" x14ac:dyDescent="0.3">
      <c r="B14" s="38"/>
      <c r="C14" s="39" t="s">
        <v>55</v>
      </c>
      <c r="D14" t="s">
        <v>150</v>
      </c>
      <c r="E14" s="63">
        <v>1</v>
      </c>
      <c r="F14" s="50"/>
      <c r="G14" s="50"/>
    </row>
    <row r="15" spans="2:13" x14ac:dyDescent="0.3">
      <c r="B15" s="64">
        <v>44013</v>
      </c>
      <c r="C15" s="39">
        <f>SUMIF('拌客源数据1-8月'!A:A,'常用函数-练习版'!B15,'拌客源数据1-8月'!J:J)</f>
        <v>6001.38</v>
      </c>
      <c r="D15" t="s">
        <v>149</v>
      </c>
      <c r="E15" s="63">
        <v>2</v>
      </c>
      <c r="F15" s="50"/>
      <c r="G15" s="50"/>
    </row>
    <row r="16" spans="2:13" x14ac:dyDescent="0.3">
      <c r="B16" s="64">
        <v>44019</v>
      </c>
      <c r="C16" s="39">
        <f>SUMIF('拌客源数据1-8月'!A:A,'常用函数-练习版'!B16,'拌客源数据1-8月'!J:J)</f>
        <v>4764.71</v>
      </c>
      <c r="D16" t="s">
        <v>149</v>
      </c>
      <c r="E16" s="63">
        <v>1</v>
      </c>
      <c r="F16" s="50"/>
      <c r="G16" s="50"/>
    </row>
    <row r="17" spans="2:12" x14ac:dyDescent="0.3">
      <c r="B17" s="64">
        <v>44028</v>
      </c>
      <c r="C17" s="39">
        <f>SUMIF('拌客源数据1-8月'!A:A,'常用函数-练习版'!B17,'拌客源数据1-8月'!J:J)</f>
        <v>11158.91</v>
      </c>
      <c r="D17" t="s">
        <v>149</v>
      </c>
      <c r="E17" s="63">
        <v>2</v>
      </c>
      <c r="F17" s="50"/>
      <c r="G17" s="50"/>
    </row>
    <row r="18" spans="2:12" x14ac:dyDescent="0.3">
      <c r="B18" s="64">
        <v>44029</v>
      </c>
      <c r="C18" s="39">
        <f>SUMIF('拌客源数据1-8月'!A:A,'常用函数-练习版'!B18,'拌客源数据1-8月'!J:J)</f>
        <v>10788.41</v>
      </c>
      <c r="D18" t="s">
        <v>149</v>
      </c>
      <c r="E18" s="63">
        <v>1</v>
      </c>
      <c r="F18" s="50"/>
    </row>
    <row r="19" spans="2:12" x14ac:dyDescent="0.3">
      <c r="B19" s="64">
        <v>44051</v>
      </c>
      <c r="C19" s="39">
        <f>SUMIF('拌客源数据1-8月'!A:A,'常用函数-练习版'!B19,'拌客源数据1-8月'!J:J)</f>
        <v>1374.4099999999999</v>
      </c>
      <c r="D19" t="s">
        <v>149</v>
      </c>
      <c r="E19" s="63">
        <v>2</v>
      </c>
      <c r="F19" s="50"/>
    </row>
    <row r="20" spans="2:12" x14ac:dyDescent="0.3">
      <c r="B20" s="64">
        <v>44062</v>
      </c>
      <c r="C20" s="39">
        <f>SUMIF('拌客源数据1-8月'!A:A,'常用函数-练习版'!B20,'拌客源数据1-8月'!J:J)</f>
        <v>2588.69</v>
      </c>
      <c r="D20" t="s">
        <v>149</v>
      </c>
      <c r="F20" s="50"/>
    </row>
    <row r="21" spans="2:12" x14ac:dyDescent="0.3">
      <c r="B21" s="64">
        <v>44064</v>
      </c>
      <c r="C21" s="39">
        <f>SUMIF('拌客源数据1-8月'!A:A,'常用函数-练习版'!B21,'拌客源数据1-8月'!J:J)</f>
        <v>2118.79</v>
      </c>
      <c r="D21" t="s">
        <v>149</v>
      </c>
      <c r="F21" s="50"/>
    </row>
    <row r="22" spans="2:12" x14ac:dyDescent="0.3">
      <c r="B22" s="44"/>
      <c r="C22" s="40"/>
    </row>
    <row r="23" spans="2:12" x14ac:dyDescent="0.3">
      <c r="B23" s="44"/>
      <c r="C23" s="40"/>
    </row>
    <row r="24" spans="2:12" x14ac:dyDescent="0.3">
      <c r="B24" s="44"/>
      <c r="C24" s="40"/>
    </row>
    <row r="26" spans="2:12" x14ac:dyDescent="0.3">
      <c r="D26" s="50"/>
    </row>
    <row r="27" spans="2:12" x14ac:dyDescent="0.3">
      <c r="B27" t="s">
        <v>80</v>
      </c>
    </row>
    <row r="28" spans="2:12" x14ac:dyDescent="0.3">
      <c r="D28" t="s">
        <v>166</v>
      </c>
      <c r="E28" t="s">
        <v>167</v>
      </c>
    </row>
    <row r="29" spans="2:12" x14ac:dyDescent="0.3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3">
      <c r="B30" s="42">
        <v>44013</v>
      </c>
      <c r="C30" s="39">
        <f>SUMIFS('拌客源数据1-8月'!J:J,'拌客源数据1-8月'!H:H,"美团",'拌客源数据1-8月'!A:A,'常用函数-练习版'!B30)</f>
        <v>1008.28</v>
      </c>
      <c r="D30" s="65">
        <f>SUMIFS('拌客源数据1-8月'!J:J,'拌客源数据1-8月'!H:H,"美团",'拌客源数据1-8月'!A:A,'常用函数-练习版'!B30)/SUMIFS('拌客源数据1-8月'!J:J,'拌客源数据1-8月'!H:H,"美团",'拌客源数据1-8月'!A:A,'常用函数-练习版'!B30-1)-1</f>
        <v>8.2182224082600674E-2</v>
      </c>
      <c r="E30" s="65">
        <f>SUMIFS('拌客源数据1-8月'!J:J,'拌客源数据1-8月'!H:H,"美团",'拌客源数据1-8月'!A:A,'常用函数-练习版'!B30)/SUMIFS('拌客源数据1-8月'!J:J,'拌客源数据1-8月'!H:H,"美团",'拌客源数据1-8月'!A:A,'常用函数-练习版'!B30-30)-1</f>
        <v>-0.10886031198904067</v>
      </c>
      <c r="F30">
        <f>YEAR(B30)</f>
        <v>2020</v>
      </c>
      <c r="G30">
        <f>MONTH(B30)</f>
        <v>7</v>
      </c>
      <c r="H30">
        <f>DAY(B30)</f>
        <v>1</v>
      </c>
      <c r="I30" s="1">
        <f>DATE(YEAR(B30),MONTH(B30),DAY(B30))</f>
        <v>44013</v>
      </c>
      <c r="J30" s="1">
        <f>DATE(YEAR(B30),MONTH(B30)-1,DAY(B30))</f>
        <v>43983</v>
      </c>
      <c r="K30" s="1"/>
      <c r="L30" s="50"/>
    </row>
    <row r="31" spans="2:12" x14ac:dyDescent="0.3">
      <c r="B31" s="42">
        <v>44014</v>
      </c>
      <c r="C31" s="39">
        <f>SUMIFS('拌客源数据1-8月'!J:J,'拌客源数据1-8月'!H:H,"美团",'拌客源数据1-8月'!A:A,'常用函数-练习版'!B31)</f>
        <v>1023.39</v>
      </c>
      <c r="D31" s="65">
        <f>SUMIFS('拌客源数据1-8月'!J:J,'拌客源数据1-8月'!H:H,"美团",'拌客源数据1-8月'!A:A,'常用函数-练习版'!B31)/SUMIFS('拌客源数据1-8月'!J:J,'拌客源数据1-8月'!H:H,"美团",'拌客源数据1-8月'!A:A,'常用函数-练习版'!B31-1)-1</f>
        <v>1.4985916610465333E-2</v>
      </c>
      <c r="E31" s="65">
        <f>SUMIFS('拌客源数据1-8月'!J:J,'拌客源数据1-8月'!H:H,"美团",'拌客源数据1-8月'!A:A,'常用函数-练习版'!B31)/SUMIFS('拌客源数据1-8月'!J:J,'拌客源数据1-8月'!H:H,"美团",'拌客源数据1-8月'!A:A,'常用函数-练习版'!B31-30)-1</f>
        <v>0.21923585546302582</v>
      </c>
      <c r="F31">
        <f t="shared" ref="F31:F36" si="0">YEAR(B31)</f>
        <v>2020</v>
      </c>
      <c r="G31">
        <f t="shared" ref="G31:G36" si="1">MONTH(B31)</f>
        <v>7</v>
      </c>
      <c r="H31">
        <f t="shared" ref="H31:H36" si="2">DAY(B31)</f>
        <v>2</v>
      </c>
      <c r="I31" s="1">
        <f t="shared" ref="I31:I36" si="3">DATE(YEAR(B31),MONTH(B31),DAY(B31))</f>
        <v>44014</v>
      </c>
      <c r="J31" s="1">
        <f t="shared" ref="J31:J36" si="4">DATE(YEAR(B31),MONTH(B31)-1,DAY(B31))</f>
        <v>43984</v>
      </c>
    </row>
    <row r="32" spans="2:12" x14ac:dyDescent="0.3">
      <c r="B32" s="42">
        <v>44015</v>
      </c>
      <c r="C32" s="39">
        <f>SUMIFS('拌客源数据1-8月'!J:J,'拌客源数据1-8月'!H:H,"美团",'拌客源数据1-8月'!A:A,'常用函数-练习版'!B32)</f>
        <v>999.86</v>
      </c>
      <c r="D32" s="65">
        <f>SUMIFS('拌客源数据1-8月'!J:J,'拌客源数据1-8月'!H:H,"美团",'拌客源数据1-8月'!A:A,'常用函数-练习版'!B32)/SUMIFS('拌客源数据1-8月'!J:J,'拌客源数据1-8月'!H:H,"美团",'拌客源数据1-8月'!A:A,'常用函数-练习版'!B32-1)-1</f>
        <v>-2.2992212157632919E-2</v>
      </c>
      <c r="E32" s="65">
        <f>SUMIFS('拌客源数据1-8月'!J:J,'拌客源数据1-8月'!H:H,"美团",'拌客源数据1-8月'!A:A,'常用函数-练习版'!B32)/SUMIFS('拌客源数据1-8月'!J:J,'拌客源数据1-8月'!H:H,"美团",'拌客源数据1-8月'!A:A,'常用函数-练习版'!B32-30)-1</f>
        <v>-0.18069110187893822</v>
      </c>
      <c r="F32">
        <f t="shared" si="0"/>
        <v>2020</v>
      </c>
      <c r="G32">
        <f t="shared" si="1"/>
        <v>7</v>
      </c>
      <c r="H32">
        <f t="shared" si="2"/>
        <v>3</v>
      </c>
      <c r="I32" s="1">
        <f t="shared" si="3"/>
        <v>44015</v>
      </c>
      <c r="J32" s="1">
        <f t="shared" si="4"/>
        <v>43985</v>
      </c>
    </row>
    <row r="33" spans="2:10" x14ac:dyDescent="0.3">
      <c r="B33" s="42">
        <v>44016</v>
      </c>
      <c r="C33" s="39">
        <f>SUMIFS('拌客源数据1-8月'!J:J,'拌客源数据1-8月'!H:H,"美团",'拌客源数据1-8月'!A:A,'常用函数-练习版'!B33)</f>
        <v>1144.82</v>
      </c>
      <c r="D33" s="65">
        <f>SUMIFS('拌客源数据1-8月'!J:J,'拌客源数据1-8月'!H:H,"美团",'拌客源数据1-8月'!A:A,'常用函数-练习版'!B33)/SUMIFS('拌客源数据1-8月'!J:J,'拌客源数据1-8月'!H:H,"美团",'拌客源数据1-8月'!A:A,'常用函数-练习版'!B33-1)-1</f>
        <v>0.14498029724161365</v>
      </c>
      <c r="E33" s="65">
        <f>SUMIFS('拌客源数据1-8月'!J:J,'拌客源数据1-8月'!H:H,"美团",'拌客源数据1-8月'!A:A,'常用函数-练习版'!B33)/SUMIFS('拌客源数据1-8月'!J:J,'拌客源数据1-8月'!H:H,"美团",'拌客源数据1-8月'!A:A,'常用函数-练习版'!B33-30)-1</f>
        <v>-0.22352973093957507</v>
      </c>
      <c r="F33">
        <f t="shared" si="0"/>
        <v>2020</v>
      </c>
      <c r="G33">
        <f t="shared" si="1"/>
        <v>7</v>
      </c>
      <c r="H33">
        <f t="shared" si="2"/>
        <v>4</v>
      </c>
      <c r="I33" s="1">
        <f t="shared" si="3"/>
        <v>44016</v>
      </c>
      <c r="J33" s="1">
        <f t="shared" si="4"/>
        <v>43986</v>
      </c>
    </row>
    <row r="34" spans="2:10" x14ac:dyDescent="0.3">
      <c r="B34" s="42">
        <v>44017</v>
      </c>
      <c r="C34" s="39">
        <f>SUMIFS('拌客源数据1-8月'!J:J,'拌客源数据1-8月'!H:H,"美团",'拌客源数据1-8月'!A:A,'常用函数-练习版'!B34)</f>
        <v>755.47</v>
      </c>
      <c r="D34" s="65">
        <f>SUMIFS('拌客源数据1-8月'!J:J,'拌客源数据1-8月'!H:H,"美团",'拌客源数据1-8月'!A:A,'常用函数-练习版'!B34)/SUMIFS('拌客源数据1-8月'!J:J,'拌客源数据1-8月'!H:H,"美团",'拌客源数据1-8月'!A:A,'常用函数-练习版'!B34-1)-1</f>
        <v>-0.34009713317377399</v>
      </c>
      <c r="E34" s="65">
        <f>SUMIFS('拌客源数据1-8月'!J:J,'拌客源数据1-8月'!H:H,"美团",'拌客源数据1-8月'!A:A,'常用函数-练习版'!B34)/SUMIFS('拌客源数据1-8月'!J:J,'拌客源数据1-8月'!H:H,"美团",'拌客源数据1-8月'!A:A,'常用函数-练习版'!B34-30)-1</f>
        <v>-0.33924291986635635</v>
      </c>
      <c r="F34">
        <f t="shared" si="0"/>
        <v>2020</v>
      </c>
      <c r="G34">
        <f t="shared" si="1"/>
        <v>7</v>
      </c>
      <c r="H34">
        <f t="shared" si="2"/>
        <v>5</v>
      </c>
      <c r="I34" s="1">
        <f t="shared" si="3"/>
        <v>44017</v>
      </c>
      <c r="J34" s="1">
        <f t="shared" si="4"/>
        <v>43987</v>
      </c>
    </row>
    <row r="35" spans="2:10" x14ac:dyDescent="0.3">
      <c r="B35" s="42">
        <v>44044</v>
      </c>
      <c r="C35" s="39">
        <f>SUMIFS('拌客源数据1-8月'!J:J,'拌客源数据1-8月'!H:H,"美团",'拌客源数据1-8月'!A:A,'常用函数-练习版'!B35)</f>
        <v>3387.1000000000004</v>
      </c>
      <c r="D35" s="65">
        <f>SUMIFS('拌客源数据1-8月'!J:J,'拌客源数据1-8月'!H:H,"美团",'拌客源数据1-8月'!A:A,'常用函数-练习版'!B35)/SUMIFS('拌客源数据1-8月'!J:J,'拌客源数据1-8月'!H:H,"美团",'拌客源数据1-8月'!A:A,'常用函数-练习版'!B35-1)-1</f>
        <v>-0.41335610328923089</v>
      </c>
      <c r="E35" s="65">
        <f>SUMIFS('拌客源数据1-8月'!J:J,'拌客源数据1-8月'!H:H,"美团",'拌客源数据1-8月'!A:A,'常用函数-练习版'!B35)/SUMIFS('拌客源数据1-8月'!J:J,'拌客源数据1-8月'!H:H,"美团",'拌客源数据1-8月'!A:A,'常用函数-练习版'!B35-31)-1</f>
        <v>2.3592851192129176</v>
      </c>
      <c r="F35">
        <f t="shared" si="0"/>
        <v>2020</v>
      </c>
      <c r="G35">
        <f t="shared" si="1"/>
        <v>8</v>
      </c>
      <c r="H35">
        <f t="shared" si="2"/>
        <v>1</v>
      </c>
      <c r="I35" s="1">
        <f t="shared" si="3"/>
        <v>44044</v>
      </c>
      <c r="J35" s="1">
        <f t="shared" si="4"/>
        <v>44013</v>
      </c>
    </row>
    <row r="36" spans="2:10" x14ac:dyDescent="0.3">
      <c r="B36" s="42">
        <v>44048</v>
      </c>
      <c r="C36" s="39">
        <f>SUMIFS('拌客源数据1-8月'!J:J,'拌客源数据1-8月'!H:H,"美团",'拌客源数据1-8月'!A:A,'常用函数-练习版'!B36)</f>
        <v>1817.37</v>
      </c>
      <c r="D36" s="65">
        <f>SUMIFS('拌客源数据1-8月'!J:J,'拌客源数据1-8月'!H:H,"美团",'拌客源数据1-8月'!A:A,'常用函数-练习版'!B36)/SUMIFS('拌客源数据1-8月'!J:J,'拌客源数据1-8月'!H:H,"美团",'拌客源数据1-8月'!A:A,'常用函数-练习版'!B36-1)-1</f>
        <v>0.12391465677179947</v>
      </c>
      <c r="E36" s="65">
        <f>SUMIFS('拌客源数据1-8月'!J:J,'拌客源数据1-8月'!H:H,"美团",'拌客源数据1-8月'!A:A,'常用函数-练习版'!B36)/SUMIFS('拌客源数据1-8月'!J:J,'拌客源数据1-8月'!H:H,"美团",'拌客源数据1-8月'!A:A,'常用函数-练习版'!B36-31)-1</f>
        <v>1.4056150475862705</v>
      </c>
      <c r="F36">
        <f t="shared" si="0"/>
        <v>2020</v>
      </c>
      <c r="G36">
        <f t="shared" si="1"/>
        <v>8</v>
      </c>
      <c r="H36">
        <f t="shared" si="2"/>
        <v>5</v>
      </c>
      <c r="I36" s="1">
        <f t="shared" si="3"/>
        <v>44048</v>
      </c>
      <c r="J36" s="1">
        <f t="shared" si="4"/>
        <v>44017</v>
      </c>
    </row>
    <row r="37" spans="2:10" x14ac:dyDescent="0.3">
      <c r="D37" t="s">
        <v>168</v>
      </c>
      <c r="F37" s="48"/>
    </row>
    <row r="38" spans="2:10" x14ac:dyDescent="0.3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 x14ac:dyDescent="0.3">
      <c r="B39" s="45">
        <v>43831</v>
      </c>
      <c r="C39" s="39">
        <f>SUMIFS('拌客源数据1-8月'!J:J,'拌客源数据1-8月'!H:H,"美团",'拌客源数据1-8月'!A:A,"&gt;="&amp;E39,'拌客源数据1-8月'!A:A,"&lt;="&amp;G39)</f>
        <v>6787.9800000000005</v>
      </c>
      <c r="D39" s="66" t="e">
        <f>C39/SUMIFS('拌客源数据1-8月'!J:J,'拌客源数据1-8月'!H:H,"美团",'拌客源数据1-8月'!A:A,"&gt;="&amp;DATE(YEAR(B39),MONTH(B39)-1,1),'拌客源数据1-8月'!A:A,"&lt;="&amp;(DATE(YEAR(B39),MONTH(B39),1)-1))-1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G39" s="1">
        <f>DATE(YEAR(B39),MONTH(B39)+1,1)-1</f>
        <v>43861</v>
      </c>
    </row>
    <row r="40" spans="2:10" x14ac:dyDescent="0.3">
      <c r="B40" s="45">
        <v>43862</v>
      </c>
      <c r="C40" s="39">
        <f>SUMIFS('拌客源数据1-8月'!J:J,'拌客源数据1-8月'!H:H,"美团",'拌客源数据1-8月'!A:A,"&gt;="&amp;E40,'拌客源数据1-8月'!A:A,"&lt;="&amp;G40)</f>
        <v>2678.62</v>
      </c>
      <c r="D40" s="66">
        <f>C40/SUMIFS('拌客源数据1-8月'!J:J,'拌客源数据1-8月'!H:H,"美团",'拌客源数据1-8月'!A:A,"&gt;="&amp;DATE(YEAR(B40),MONTH(B40)-1,1),'拌客源数据1-8月'!A:A,"&lt;="&amp;(DATE(YEAR(B40),MONTH(B40),1)-1))-1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5">DATE(YEAR(B40),MONTH(B40),1)</f>
        <v>43862</v>
      </c>
      <c r="G40" s="1">
        <f t="shared" ref="G40:G46" si="6">DATE(YEAR(B40),MONTH(B40)+1,1)-1</f>
        <v>43890</v>
      </c>
    </row>
    <row r="41" spans="2:10" x14ac:dyDescent="0.3">
      <c r="B41" s="45">
        <v>43891</v>
      </c>
      <c r="C41" s="39">
        <f>SUMIFS('拌客源数据1-8月'!J:J,'拌客源数据1-8月'!H:H,"美团",'拌客源数据1-8月'!A:A,"&gt;="&amp;E41,'拌客源数据1-8月'!A:A,"&lt;="&amp;G41)</f>
        <v>24829.310000000009</v>
      </c>
      <c r="D41" s="66">
        <f>C41/SUMIFS('拌客源数据1-8月'!J:J,'拌客源数据1-8月'!H:H,"美团",'拌客源数据1-8月'!A:A,"&gt;="&amp;DATE(YEAR(B41),MONTH(B41)-1,1),'拌客源数据1-8月'!A:A,"&lt;="&amp;(DATE(YEAR(B41),MONTH(B41),1)-1))-1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5"/>
        <v>43891</v>
      </c>
      <c r="G41" s="1">
        <f t="shared" si="6"/>
        <v>43921</v>
      </c>
    </row>
    <row r="42" spans="2:10" x14ac:dyDescent="0.3">
      <c r="B42" s="45">
        <v>43922</v>
      </c>
      <c r="C42" s="39">
        <f>SUMIFS('拌客源数据1-8月'!J:J,'拌客源数据1-8月'!H:H,"美团",'拌客源数据1-8月'!A:A,"&gt;="&amp;E42,'拌客源数据1-8月'!A:A,"&lt;="&amp;G42)</f>
        <v>38698.99</v>
      </c>
      <c r="D42" s="66">
        <f>C42/SUMIFS('拌客源数据1-8月'!J:J,'拌客源数据1-8月'!H:H,"美团",'拌客源数据1-8月'!A:A,"&gt;="&amp;DATE(YEAR(B42),MONTH(B42)-1,1),'拌客源数据1-8月'!A:A,"&lt;="&amp;(DATE(YEAR(B42),MONTH(B42),1)-1))-1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5"/>
        <v>43922</v>
      </c>
      <c r="G42" s="1">
        <f t="shared" si="6"/>
        <v>43951</v>
      </c>
    </row>
    <row r="43" spans="2:10" x14ac:dyDescent="0.3">
      <c r="B43" s="45">
        <v>43952</v>
      </c>
      <c r="C43" s="39">
        <f>SUMIFS('拌客源数据1-8月'!J:J,'拌客源数据1-8月'!H:H,"美团",'拌客源数据1-8月'!A:A,"&gt;="&amp;E43,'拌客源数据1-8月'!A:A,"&lt;="&amp;G43)</f>
        <v>30397.779999999995</v>
      </c>
      <c r="D43" s="66">
        <f>C43/SUMIFS('拌客源数据1-8月'!J:J,'拌客源数据1-8月'!H:H,"美团",'拌客源数据1-8月'!A:A,"&gt;="&amp;DATE(YEAR(B43),MONTH(B43)-1,1),'拌客源数据1-8月'!A:A,"&lt;="&amp;(DATE(YEAR(B43),MONTH(B43),1)-1))-1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5"/>
        <v>43952</v>
      </c>
      <c r="G43" s="1">
        <f t="shared" si="6"/>
        <v>43982</v>
      </c>
    </row>
    <row r="44" spans="2:10" x14ac:dyDescent="0.3">
      <c r="B44" s="45">
        <v>43983</v>
      </c>
      <c r="C44" s="39">
        <f>SUMIFS('拌客源数据1-8月'!J:J,'拌客源数据1-8月'!H:H,"美团",'拌客源数据1-8月'!A:A,"&gt;="&amp;E44,'拌客源数据1-8月'!A:A,"&lt;="&amp;G44)</f>
        <v>26037.540000000005</v>
      </c>
      <c r="D44" s="66">
        <f>C44/SUMIFS('拌客源数据1-8月'!J:J,'拌客源数据1-8月'!H:H,"美团",'拌客源数据1-8月'!A:A,"&gt;="&amp;DATE(YEAR(B44),MONTH(B44)-1,1),'拌客源数据1-8月'!A:A,"&lt;="&amp;(DATE(YEAR(B44),MONTH(B44),1)-1))-1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5"/>
        <v>43983</v>
      </c>
      <c r="G44" s="1">
        <f t="shared" si="6"/>
        <v>44012</v>
      </c>
    </row>
    <row r="45" spans="2:10" x14ac:dyDescent="0.3">
      <c r="B45" s="45">
        <v>44013</v>
      </c>
      <c r="C45" s="39">
        <f>SUMIFS('拌客源数据1-8月'!J:J,'拌客源数据1-8月'!H:H,"美团",'拌客源数据1-8月'!A:A,"&gt;="&amp;E45,'拌客源数据1-8月'!A:A,"&lt;="&amp;G45)</f>
        <v>133045.43</v>
      </c>
      <c r="D45" s="66">
        <f>C45/SUMIFS('拌客源数据1-8月'!J:J,'拌客源数据1-8月'!H:H,"美团",'拌客源数据1-8月'!A:A,"&gt;="&amp;DATE(YEAR(B45),MONTH(B45)-1,1),'拌客源数据1-8月'!A:A,"&lt;="&amp;(DATE(YEAR(B45),MONTH(B45),1)-1))-1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5"/>
        <v>44013</v>
      </c>
      <c r="G45" s="1">
        <f t="shared" si="6"/>
        <v>44043</v>
      </c>
    </row>
    <row r="46" spans="2:10" x14ac:dyDescent="0.3">
      <c r="B46" s="45">
        <v>44044</v>
      </c>
      <c r="C46" s="39">
        <f>SUMIFS('拌客源数据1-8月'!J:J,'拌客源数据1-8月'!H:H,"美团",'拌客源数据1-8月'!A:A,"&gt;="&amp;E46,'拌客源数据1-8月'!A:A,"&lt;="&amp;G46)</f>
        <v>42659.520000000004</v>
      </c>
      <c r="D46" s="66">
        <f>C46/SUMIFS('拌客源数据1-8月'!J:J,'拌客源数据1-8月'!H:H,"美团",'拌客源数据1-8月'!A:A,"&gt;="&amp;DATE(YEAR(B46),MONTH(B46)-1,1),'拌客源数据1-8月'!A:A,"&lt;="&amp;(DATE(YEAR(B46),MONTH(B46),1)-1))-1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5"/>
        <v>44044</v>
      </c>
      <c r="G46" s="1">
        <f t="shared" si="6"/>
        <v>44074</v>
      </c>
    </row>
    <row r="47" spans="2:10" x14ac:dyDescent="0.3">
      <c r="B47" s="46"/>
      <c r="C47" s="62"/>
    </row>
    <row r="48" spans="2:10" x14ac:dyDescent="0.3">
      <c r="B48" s="46"/>
    </row>
    <row r="49" spans="2:5" x14ac:dyDescent="0.3">
      <c r="B49" s="46"/>
    </row>
    <row r="52" spans="2:5" x14ac:dyDescent="0.3">
      <c r="B52" t="s">
        <v>81</v>
      </c>
    </row>
    <row r="54" spans="2:5" x14ac:dyDescent="0.3">
      <c r="B54" s="38"/>
      <c r="C54" s="39" t="s">
        <v>88</v>
      </c>
      <c r="D54" s="39" t="s">
        <v>89</v>
      </c>
    </row>
    <row r="55" spans="2:5" x14ac:dyDescent="0.3">
      <c r="B55" s="39" t="s">
        <v>55</v>
      </c>
      <c r="C55" s="38">
        <f>SUM('拌客源数据1-8月'!J:J)</f>
        <v>1071473.2499999998</v>
      </c>
      <c r="D55" s="38">
        <f>SUBTOTAL(9,'拌客源数据1-8月'!J:J)</f>
        <v>1071473.2499999998</v>
      </c>
    </row>
    <row r="56" spans="2:5" x14ac:dyDescent="0.3">
      <c r="B56" s="40"/>
    </row>
    <row r="57" spans="2:5" x14ac:dyDescent="0.3">
      <c r="B57" s="40"/>
    </row>
    <row r="58" spans="2:5" x14ac:dyDescent="0.3">
      <c r="B58" s="40"/>
    </row>
    <row r="61" spans="2:5" x14ac:dyDescent="0.3">
      <c r="B61" t="s">
        <v>82</v>
      </c>
    </row>
    <row r="63" spans="2:5" x14ac:dyDescent="0.3">
      <c r="B63" s="39" t="s">
        <v>98</v>
      </c>
      <c r="C63" s="39" t="s">
        <v>55</v>
      </c>
      <c r="D63" s="39" t="s">
        <v>100</v>
      </c>
      <c r="E63" s="40"/>
    </row>
    <row r="64" spans="2:5" x14ac:dyDescent="0.3">
      <c r="B64" s="39" t="s">
        <v>90</v>
      </c>
      <c r="C64" s="39">
        <v>64233.37</v>
      </c>
      <c r="D64" s="39" t="str">
        <f>IF(C64&gt;100000,"达标","不达标")</f>
        <v>不达标</v>
      </c>
      <c r="E64" s="40"/>
    </row>
    <row r="65" spans="2:11" x14ac:dyDescent="0.3">
      <c r="B65" s="39" t="s">
        <v>91</v>
      </c>
      <c r="C65" s="39">
        <v>32755.710000000006</v>
      </c>
      <c r="D65" s="39" t="str">
        <f t="shared" ref="D65:D71" si="7">IF(C65&gt;100000,"达标","不达标")</f>
        <v>不达标</v>
      </c>
      <c r="E65" s="40"/>
    </row>
    <row r="66" spans="2:11" x14ac:dyDescent="0.3">
      <c r="B66" s="39" t="s">
        <v>92</v>
      </c>
      <c r="C66" s="39">
        <v>78895.689999999988</v>
      </c>
      <c r="D66" s="39" t="str">
        <f t="shared" si="7"/>
        <v>不达标</v>
      </c>
      <c r="E66" s="40"/>
    </row>
    <row r="67" spans="2:11" x14ac:dyDescent="0.3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 x14ac:dyDescent="0.3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 x14ac:dyDescent="0.3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 x14ac:dyDescent="0.3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 x14ac:dyDescent="0.3">
      <c r="B71" s="39" t="s">
        <v>97</v>
      </c>
      <c r="C71" s="39">
        <v>81384.920000000013</v>
      </c>
      <c r="D71" s="39" t="str">
        <f t="shared" si="7"/>
        <v>不达标</v>
      </c>
      <c r="E71" s="40"/>
    </row>
    <row r="72" spans="2:11" x14ac:dyDescent="0.3">
      <c r="B72" s="40"/>
      <c r="C72" s="40"/>
      <c r="D72" s="40"/>
      <c r="E72" s="40"/>
    </row>
    <row r="73" spans="2:11" x14ac:dyDescent="0.3">
      <c r="B73" s="40"/>
      <c r="C73" s="40"/>
      <c r="D73" s="40"/>
      <c r="E73" s="40"/>
    </row>
    <row r="74" spans="2:11" x14ac:dyDescent="0.3">
      <c r="B74" s="40"/>
      <c r="C74" s="40"/>
      <c r="D74" s="40"/>
      <c r="E74" s="40"/>
    </row>
    <row r="77" spans="2:11" x14ac:dyDescent="0.3">
      <c r="B77" t="s">
        <v>101</v>
      </c>
    </row>
    <row r="78" spans="2:11" x14ac:dyDescent="0.3">
      <c r="I78" t="s">
        <v>109</v>
      </c>
    </row>
    <row r="79" spans="2:11" x14ac:dyDescent="0.3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3">
      <c r="B80" s="39" t="s">
        <v>90</v>
      </c>
      <c r="C80" s="39">
        <v>64233.369999999995</v>
      </c>
      <c r="D80" s="39">
        <v>3344.24</v>
      </c>
      <c r="E80" s="39" t="str">
        <f>IF(C80&gt;100000,IF(D80&lt;5000,"达标","不达标"),"不达标")</f>
        <v>不达标</v>
      </c>
      <c r="I80" s="39">
        <v>0</v>
      </c>
      <c r="J80" s="39">
        <v>0</v>
      </c>
      <c r="K80" s="39" t="str">
        <f>IF(I80=0,IF(J80=0,"Both A and B are 0","A=0,B is not 0"),IF(J80=0,"A is not 0,B=0","Both A and B are not 0"))</f>
        <v>Both A and B are 0</v>
      </c>
    </row>
    <row r="81" spans="2:21" x14ac:dyDescent="0.3">
      <c r="B81" s="39" t="s">
        <v>91</v>
      </c>
      <c r="C81" s="39">
        <v>32755.710000000006</v>
      </c>
      <c r="D81" s="39">
        <v>902.87</v>
      </c>
      <c r="E81" s="39" t="str">
        <f t="shared" ref="E81:E87" si="8">IF(C81&gt;100000,IF(D81&lt;5000,"达标","不达标"),"不达标")</f>
        <v>不达标</v>
      </c>
      <c r="I81" s="39">
        <v>1</v>
      </c>
      <c r="J81" s="39">
        <v>0</v>
      </c>
      <c r="K81" s="39" t="str">
        <f t="shared" ref="K81:K83" si="9">IF(I81=0,IF(J81=0,"Both A and B are 0","A=0,B is not 0"),IF(J81=0,"A is not 0,B=0","Both A and B are not 0"))</f>
        <v>A is not 0,B=0</v>
      </c>
    </row>
    <row r="82" spans="2:21" x14ac:dyDescent="0.3">
      <c r="B82" s="39" t="s">
        <v>92</v>
      </c>
      <c r="C82" s="39">
        <v>78895.689999999988</v>
      </c>
      <c r="D82" s="39">
        <v>2645.3200000000006</v>
      </c>
      <c r="E82" s="39" t="str">
        <f t="shared" si="8"/>
        <v>不达标</v>
      </c>
      <c r="I82" s="39">
        <v>1</v>
      </c>
      <c r="J82" s="39">
        <v>1</v>
      </c>
      <c r="K82" s="39" t="str">
        <f t="shared" si="9"/>
        <v>Both A and B are not 0</v>
      </c>
    </row>
    <row r="83" spans="2:21" x14ac:dyDescent="0.3">
      <c r="B83" s="39" t="s">
        <v>93</v>
      </c>
      <c r="C83" s="39">
        <v>108307.06999999999</v>
      </c>
      <c r="D83" s="39">
        <v>4513.12</v>
      </c>
      <c r="E83" s="39" t="str">
        <f t="shared" si="8"/>
        <v>达标</v>
      </c>
      <c r="I83" s="39">
        <v>0</v>
      </c>
      <c r="J83" s="39">
        <v>1</v>
      </c>
      <c r="K83" s="39" t="str">
        <f t="shared" si="9"/>
        <v>A=0,B is not 0</v>
      </c>
    </row>
    <row r="84" spans="2:21" x14ac:dyDescent="0.3">
      <c r="B84" s="39" t="s">
        <v>94</v>
      </c>
      <c r="C84" s="39">
        <v>194276.97</v>
      </c>
      <c r="D84" s="39">
        <v>11804.4</v>
      </c>
      <c r="E84" s="39" t="str">
        <f t="shared" si="8"/>
        <v>不达标</v>
      </c>
    </row>
    <row r="85" spans="2:21" x14ac:dyDescent="0.3">
      <c r="B85" s="39" t="s">
        <v>95</v>
      </c>
      <c r="C85" s="39">
        <v>255727.79000000007</v>
      </c>
      <c r="D85" s="39">
        <v>8302.5300000000007</v>
      </c>
      <c r="E85" s="39" t="str">
        <f t="shared" si="8"/>
        <v>不达标</v>
      </c>
    </row>
    <row r="86" spans="2:21" x14ac:dyDescent="0.3">
      <c r="B86" s="39" t="s">
        <v>96</v>
      </c>
      <c r="C86" s="39">
        <v>255891.73</v>
      </c>
      <c r="D86" s="39">
        <v>13616.330000000004</v>
      </c>
      <c r="E86" s="39" t="str">
        <f t="shared" si="8"/>
        <v>不达标</v>
      </c>
    </row>
    <row r="87" spans="2:21" x14ac:dyDescent="0.3">
      <c r="B87" s="39" t="s">
        <v>97</v>
      </c>
      <c r="C87" s="39">
        <v>81384.920000000013</v>
      </c>
      <c r="D87" s="39">
        <v>3680.309999999999</v>
      </c>
      <c r="E87" s="39" t="str">
        <f t="shared" si="8"/>
        <v>不达标</v>
      </c>
    </row>
    <row r="88" spans="2:21" x14ac:dyDescent="0.3">
      <c r="B88" s="40"/>
      <c r="C88" s="40"/>
      <c r="D88" s="40"/>
    </row>
    <row r="89" spans="2:21" x14ac:dyDescent="0.3">
      <c r="B89" s="40"/>
      <c r="C89" s="40"/>
      <c r="D89" s="40"/>
    </row>
    <row r="90" spans="2:21" x14ac:dyDescent="0.3">
      <c r="B90" s="40"/>
      <c r="C90" s="40"/>
      <c r="D90" s="40"/>
    </row>
    <row r="93" spans="2:21" x14ac:dyDescent="0.3">
      <c r="B93" t="s">
        <v>105</v>
      </c>
    </row>
    <row r="94" spans="2:21" x14ac:dyDescent="0.3">
      <c r="F94" t="s">
        <v>121</v>
      </c>
      <c r="I94" t="s">
        <v>130</v>
      </c>
      <c r="S94" t="s">
        <v>118</v>
      </c>
    </row>
    <row r="95" spans="2:21" x14ac:dyDescent="0.3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</row>
    <row r="96" spans="2:21" x14ac:dyDescent="0.3">
      <c r="B96" s="47" t="s">
        <v>46</v>
      </c>
      <c r="C96" s="39" t="str">
        <f>VLOOKUP(B96,'拌客源数据1-8月'!D:E,2,0)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VLOOKUP(I96&amp;"*",F95:G103,2,0)</f>
        <v>1</v>
      </c>
      <c r="O96" s="47" t="s">
        <v>46</v>
      </c>
      <c r="P96" s="38">
        <f>VLOOKUP(O96,O$108:P$116,2,0)</f>
        <v>273854.58</v>
      </c>
      <c r="S96" s="39" t="s">
        <v>106</v>
      </c>
      <c r="T96" s="39" t="s">
        <v>114</v>
      </c>
      <c r="U96" s="39">
        <v>1</v>
      </c>
    </row>
    <row r="97" spans="2:21" x14ac:dyDescent="0.3">
      <c r="B97" s="47" t="s">
        <v>47</v>
      </c>
      <c r="C97" s="39" t="str">
        <f>VLOOKUP(B97,'拌客源数据1-8月'!D:E,2,0)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>
        <f t="shared" ref="P97:P103" si="10">VLOOKUP(O97,O$108:P$116,2,0)</f>
        <v>16838.82</v>
      </c>
      <c r="S97" s="39" t="s">
        <v>106</v>
      </c>
      <c r="T97" s="39" t="s">
        <v>115</v>
      </c>
      <c r="U97" s="39">
        <v>2</v>
      </c>
    </row>
    <row r="98" spans="2:21" x14ac:dyDescent="0.3">
      <c r="B98" s="47" t="s">
        <v>44</v>
      </c>
      <c r="C98" s="39" t="str">
        <f>VLOOKUP(B98,'拌客源数据1-8月'!D:E,2,0)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>
        <f t="shared" si="10"/>
        <v>6452.04</v>
      </c>
      <c r="S98" s="39" t="s">
        <v>107</v>
      </c>
      <c r="T98" s="39" t="s">
        <v>116</v>
      </c>
      <c r="U98" s="39">
        <v>3</v>
      </c>
    </row>
    <row r="99" spans="2:21" x14ac:dyDescent="0.3">
      <c r="B99" s="47" t="s">
        <v>45</v>
      </c>
      <c r="C99" s="39" t="str">
        <f>VLOOKUP(B99,'拌客源数据1-8月'!D:E,2,0)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VLOOKUP(I99&amp;"??",F95:G103,2,0)</f>
        <v>7</v>
      </c>
      <c r="O99" s="47" t="s">
        <v>169</v>
      </c>
      <c r="P99" s="38">
        <f>VLOOKUP(O99,O$108:P$116,2,0)</f>
        <v>60286.000000000022</v>
      </c>
      <c r="S99" s="39" t="s">
        <v>107</v>
      </c>
      <c r="T99" s="39" t="s">
        <v>116</v>
      </c>
      <c r="U99" s="39">
        <v>4</v>
      </c>
    </row>
    <row r="100" spans="2:21" x14ac:dyDescent="0.3">
      <c r="B100" s="47" t="s">
        <v>48</v>
      </c>
      <c r="C100" s="39" t="str">
        <f>VLOOKUP(B100,'拌客源数据1-8月'!D:E,2,0)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>
        <f t="shared" si="10"/>
        <v>4313.57</v>
      </c>
      <c r="S100" s="39" t="s">
        <v>107</v>
      </c>
      <c r="T100" s="39" t="s">
        <v>114</v>
      </c>
      <c r="U100" s="39">
        <v>5</v>
      </c>
    </row>
    <row r="101" spans="2:21" x14ac:dyDescent="0.3">
      <c r="B101" s="47" t="s">
        <v>49</v>
      </c>
      <c r="C101" s="39" t="str">
        <f>VLOOKUP(B101,'拌客源数据1-8月'!D:E,2,0)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>
        <f>VLOOKUP(O101,O$108:P$116,2,0)</f>
        <v>169975.03999999998</v>
      </c>
      <c r="S101" s="39" t="s">
        <v>111</v>
      </c>
      <c r="T101" s="39" t="s">
        <v>114</v>
      </c>
      <c r="U101" s="39">
        <v>6</v>
      </c>
    </row>
    <row r="102" spans="2:21" x14ac:dyDescent="0.3">
      <c r="B102" s="47" t="s">
        <v>50</v>
      </c>
      <c r="C102" s="39" t="str">
        <f>VLOOKUP(B102,'拌客源数据1-8月'!D:E,2,0)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>
        <f t="shared" si="10"/>
        <v>425745.45999999996</v>
      </c>
      <c r="S102" s="39" t="s">
        <v>111</v>
      </c>
      <c r="T102" s="39" t="s">
        <v>114</v>
      </c>
      <c r="U102" s="39">
        <v>7</v>
      </c>
    </row>
    <row r="103" spans="2:21" x14ac:dyDescent="0.3">
      <c r="B103" s="47" t="s">
        <v>51</v>
      </c>
      <c r="C103" s="39" t="str">
        <f>VLOOKUP(B103,'拌客源数据1-8月'!D:E,2,0)</f>
        <v>拌客干拌麻辣烫(武宁路店)</v>
      </c>
      <c r="D103" s="40"/>
      <c r="E103" s="40"/>
      <c r="F103" s="39" t="s">
        <v>160</v>
      </c>
      <c r="G103" s="39">
        <v>8</v>
      </c>
      <c r="O103" s="47" t="s">
        <v>51</v>
      </c>
      <c r="P103" s="38">
        <f t="shared" si="10"/>
        <v>114007.74</v>
      </c>
      <c r="S103" s="39" t="s">
        <v>112</v>
      </c>
      <c r="T103" s="39" t="s">
        <v>115</v>
      </c>
      <c r="U103" s="39">
        <v>8</v>
      </c>
    </row>
    <row r="104" spans="2:21" x14ac:dyDescent="0.3">
      <c r="B104" s="48"/>
      <c r="C104" s="40"/>
      <c r="D104" s="40"/>
      <c r="E104" s="40"/>
      <c r="F104" s="40"/>
      <c r="G104" s="40"/>
      <c r="O104" s="48"/>
      <c r="S104" s="40"/>
      <c r="T104" s="40"/>
      <c r="U104" s="40"/>
    </row>
    <row r="105" spans="2:21" x14ac:dyDescent="0.3">
      <c r="B105" s="48"/>
      <c r="C105" s="40"/>
      <c r="D105" s="40"/>
      <c r="E105" s="40"/>
      <c r="F105" s="40"/>
      <c r="G105" s="40"/>
    </row>
    <row r="106" spans="2:21" x14ac:dyDescent="0.3">
      <c r="B106" s="48"/>
      <c r="C106" s="40"/>
      <c r="D106" s="40"/>
      <c r="E106" s="40"/>
      <c r="F106" s="40"/>
      <c r="G106" s="40"/>
    </row>
    <row r="108" spans="2:21" x14ac:dyDescent="0.3">
      <c r="O108" s="53" t="s">
        <v>135</v>
      </c>
      <c r="P108" t="s">
        <v>137</v>
      </c>
    </row>
    <row r="109" spans="2:21" x14ac:dyDescent="0.3">
      <c r="B109" t="s">
        <v>133</v>
      </c>
      <c r="O109" s="49" t="s">
        <v>45</v>
      </c>
      <c r="P109">
        <v>60286.000000000022</v>
      </c>
    </row>
    <row r="110" spans="2:21" x14ac:dyDescent="0.3">
      <c r="O110" s="49" t="s">
        <v>46</v>
      </c>
      <c r="P110">
        <v>273854.58</v>
      </c>
    </row>
    <row r="111" spans="2:21" x14ac:dyDescent="0.3">
      <c r="B111" s="60" t="s">
        <v>11</v>
      </c>
      <c r="C111" s="61"/>
      <c r="D111" s="39" t="s">
        <v>103</v>
      </c>
      <c r="E111" s="39" t="s">
        <v>131</v>
      </c>
      <c r="F111" s="39" t="s">
        <v>132</v>
      </c>
      <c r="G111" s="39" t="s">
        <v>55</v>
      </c>
      <c r="H111" s="39" t="s">
        <v>74</v>
      </c>
      <c r="I111" s="39" t="s">
        <v>75</v>
      </c>
      <c r="J111" s="40"/>
      <c r="O111" s="49" t="s">
        <v>44</v>
      </c>
      <c r="P111">
        <v>6452.04</v>
      </c>
    </row>
    <row r="112" spans="2:21" x14ac:dyDescent="0.3">
      <c r="B112" s="60" t="s">
        <v>29</v>
      </c>
      <c r="C112" s="61"/>
      <c r="D112" s="39" t="str">
        <f>INDEX('拌客源数据1-8月'!$A:$X,MATCH($B112,'拌客源数据1-8月'!$I:$I,0),MATCH(D$111,'拌客源数据1-8月'!$1:$1,0))</f>
        <v>2001104355</v>
      </c>
      <c r="E112" s="39" t="str">
        <f>INDEX('拌客源数据1-8月'!$A:$X,MATCH($B112,'拌客源数据1-8月'!$I:$I,0),MATCH(E$111,'拌客源数据1-8月'!$1:$1,0))</f>
        <v>蛙小辣火锅杯（总账号）</v>
      </c>
      <c r="F112" s="39">
        <f>INDEX('拌客源数据1-8月'!$A:$X,MATCH($B112,'拌客源数据1-8月'!$I:$I,0),MATCH(F$111,'拌客源数据1-8月'!$1:$1,0))</f>
        <v>4636</v>
      </c>
      <c r="G112" s="39">
        <f>SUMIFS(INDEX('拌客源数据1-8月'!$A:$X,0,MATCH(G$111,'拌客源数据1-8月'!$1:$1,0)),'拌客源数据1-8月'!$I:$I,$B112)</f>
        <v>116343.26000000004</v>
      </c>
      <c r="H112" s="39">
        <f>SUMIFS(INDEX('拌客源数据1-8月'!$A:$X,0,MATCH(H$111,'拌客源数据1-8月'!$1:$1,0)),'拌客源数据1-8月'!$I:$I,$B112)</f>
        <v>11204</v>
      </c>
      <c r="I112" s="39">
        <f>SUMIFS(INDEX('拌客源数据1-8月'!$A:$X,0,MATCH(I$111,'拌客源数据1-8月'!$1:$1,0)),'拌客源数据1-8月'!$I:$I,$B112)</f>
        <v>1646</v>
      </c>
      <c r="J112" s="40"/>
      <c r="O112" s="49" t="s">
        <v>50</v>
      </c>
      <c r="P112">
        <v>425745.45999999996</v>
      </c>
    </row>
    <row r="113" spans="2:16" x14ac:dyDescent="0.3">
      <c r="B113" s="60" t="s">
        <v>23</v>
      </c>
      <c r="C113" s="61"/>
      <c r="D113" s="39" t="str">
        <f>INDEX('拌客源数据1-8月'!$A:$X,MATCH($B113,'拌客源数据1-8月'!$I:$I,0),MATCH(D$111,'拌客源数据1-8月'!$1:$1,0))</f>
        <v>8184590</v>
      </c>
      <c r="E113" s="39" t="str">
        <f>INDEX('拌客源数据1-8月'!$A:$X,MATCH($B113,'拌客源数据1-8月'!$I:$I,0),MATCH(E$111,'拌客源数据1-8月'!$1:$1,0))</f>
        <v>蛙小辣火锅杯（总账号）</v>
      </c>
      <c r="F113" s="39">
        <f>INDEX('拌客源数据1-8月'!$A:$X,MATCH($B113,'拌客源数据1-8月'!$I:$I,0),MATCH(F$111,'拌客源数据1-8月'!$1:$1,0))</f>
        <v>4636</v>
      </c>
      <c r="G113" s="39">
        <f>SUMIFS(INDEX('拌客源数据1-8月'!$A:$X,0,MATCH(G$111,'拌客源数据1-8月'!$1:$1,0)),'拌客源数据1-8月'!$I:$I,$B113)</f>
        <v>6787.9800000000005</v>
      </c>
      <c r="H113" s="39">
        <f>SUMIFS(INDEX('拌客源数据1-8月'!$A:$X,0,MATCH(H$111,'拌客源数据1-8月'!$1:$1,0)),'拌客源数据1-8月'!$I:$I,$B113)</f>
        <v>775</v>
      </c>
      <c r="I113" s="39">
        <f>SUMIFS(INDEX('拌客源数据1-8月'!$A:$X,0,MATCH(I$111,'拌客源数据1-8月'!$1:$1,0)),'拌客源数据1-8月'!$I:$I,$B113)</f>
        <v>113</v>
      </c>
      <c r="J113" s="40"/>
      <c r="O113" s="49" t="s">
        <v>48</v>
      </c>
      <c r="P113">
        <v>4313.57</v>
      </c>
    </row>
    <row r="114" spans="2:16" x14ac:dyDescent="0.3">
      <c r="B114" s="60" t="s">
        <v>32</v>
      </c>
      <c r="C114" s="61"/>
      <c r="D114" s="39" t="str">
        <f>INDEX('拌客源数据1-8月'!$A:$X,MATCH($B114,'拌客源数据1-8月'!$I:$I,0),MATCH(D$111,'拌客源数据1-8月'!$1:$1,0))</f>
        <v>305225345</v>
      </c>
      <c r="E114" s="39" t="str">
        <f>INDEX('拌客源数据1-8月'!$A:$X,MATCH($B114,'拌客源数据1-8月'!$I:$I,0),MATCH(E$111,'拌客源数据1-8月'!$1:$1,0))</f>
        <v>蛙小辣火锅杯（总账号）</v>
      </c>
      <c r="F114" s="39">
        <f>INDEX('拌客源数据1-8月'!$A:$X,MATCH($B114,'拌客源数据1-8月'!$I:$I,0),MATCH(F$111,'拌客源数据1-8月'!$1:$1,0))</f>
        <v>4636</v>
      </c>
      <c r="G114" s="39">
        <f>SUMIFS(INDEX('拌客源数据1-8月'!$A:$X,0,MATCH(G$111,'拌客源数据1-8月'!$1:$1,0)),'拌客源数据1-8月'!$I:$I,$B114)</f>
        <v>6452.04</v>
      </c>
      <c r="H114" s="39">
        <f>SUMIFS(INDEX('拌客源数据1-8月'!$A:$X,0,MATCH(H$111,'拌客源数据1-8月'!$1:$1,0)),'拌客源数据1-8月'!$I:$I,$B114)</f>
        <v>590</v>
      </c>
      <c r="I114" s="39">
        <f>SUMIFS(INDEX('拌客源数据1-8月'!$A:$X,0,MATCH(I$111,'拌客源数据1-8月'!$1:$1,0)),'拌客源数据1-8月'!$I:$I,$B114)</f>
        <v>108</v>
      </c>
      <c r="J114" s="40"/>
      <c r="O114" s="49" t="s">
        <v>47</v>
      </c>
      <c r="P114">
        <v>16838.82</v>
      </c>
    </row>
    <row r="115" spans="2:16" x14ac:dyDescent="0.3">
      <c r="B115" s="60" t="s">
        <v>30</v>
      </c>
      <c r="C115" s="61"/>
      <c r="D115" s="39" t="str">
        <f>INDEX('拌客源数据1-8月'!$A:$X,MATCH($B115,'拌客源数据1-8月'!$I:$I,0),MATCH(D$111,'拌客源数据1-8月'!$1:$1,0))</f>
        <v>2000507076</v>
      </c>
      <c r="E115" s="39" t="str">
        <f>INDEX('拌客源数据1-8月'!$A:$X,MATCH($B115,'拌客源数据1-8月'!$I:$I,0),MATCH(E$111,'拌客源数据1-8月'!$1:$1,0))</f>
        <v>蛙小辣火锅杯（总账号）</v>
      </c>
      <c r="F115" s="39">
        <f>INDEX('拌客源数据1-8月'!$A:$X,MATCH($B115,'拌客源数据1-8月'!$I:$I,0),MATCH(F$111,'拌客源数据1-8月'!$1:$1,0))</f>
        <v>4636</v>
      </c>
      <c r="G115" s="39">
        <f>SUMIFS(INDEX('拌客源数据1-8月'!$A:$X,0,MATCH(G$111,'拌客源数据1-8月'!$1:$1,0)),'拌客源数据1-8月'!$I:$I,$B115)</f>
        <v>33744.82</v>
      </c>
      <c r="H115" s="39">
        <f>SUMIFS(INDEX('拌客源数据1-8月'!$A:$X,0,MATCH(H$111,'拌客源数据1-8月'!$1:$1,0)),'拌客源数据1-8月'!$I:$I,$B115)</f>
        <v>2490</v>
      </c>
      <c r="I115" s="39">
        <f>SUMIFS(INDEX('拌客源数据1-8月'!$A:$X,0,MATCH(I$111,'拌客源数据1-8月'!$1:$1,0)),'拌客源数据1-8月'!$I:$I,$B115)</f>
        <v>512</v>
      </c>
      <c r="J115" s="40"/>
      <c r="O115" s="49" t="s">
        <v>49</v>
      </c>
      <c r="P115">
        <v>169975.03999999998</v>
      </c>
    </row>
    <row r="116" spans="2:16" x14ac:dyDescent="0.3">
      <c r="B116" s="60" t="s">
        <v>25</v>
      </c>
      <c r="C116" s="61"/>
      <c r="D116" s="39" t="str">
        <f>INDEX('拌客源数据1-8月'!$A:$X,MATCH($B116,'拌客源数据1-8月'!$I:$I,0),MATCH(D$111,'拌客源数据1-8月'!$1:$1,0))</f>
        <v>8106681</v>
      </c>
      <c r="E116" s="39" t="str">
        <f>INDEX('拌客源数据1-8月'!$A:$X,MATCH($B116,'拌客源数据1-8月'!$I:$I,0),MATCH(E$111,'拌客源数据1-8月'!$1:$1,0))</f>
        <v>蛙小辣火锅杯（总账号）</v>
      </c>
      <c r="F116" s="39">
        <f>INDEX('拌客源数据1-8月'!$A:$X,MATCH($B116,'拌客源数据1-8月'!$I:$I,0),MATCH(F$111,'拌客源数据1-8月'!$1:$1,0))</f>
        <v>4636</v>
      </c>
      <c r="G116" s="39">
        <f>SUMIFS(INDEX('拌客源数据1-8月'!$A:$X,0,MATCH(G$111,'拌客源数据1-8月'!$1:$1,0)),'拌客源数据1-8月'!$I:$I,$B116)</f>
        <v>4313.57</v>
      </c>
      <c r="H116" s="39">
        <f>SUMIFS(INDEX('拌客源数据1-8月'!$A:$X,0,MATCH(H$111,'拌客源数据1-8月'!$1:$1,0)),'拌客源数据1-8月'!$I:$I,$B116)</f>
        <v>367</v>
      </c>
      <c r="I116" s="39">
        <f>SUMIFS(INDEX('拌客源数据1-8月'!$A:$X,0,MATCH(I$111,'拌客源数据1-8月'!$1:$1,0)),'拌客源数据1-8月'!$I:$I,$B116)</f>
        <v>66</v>
      </c>
      <c r="J116" s="40"/>
      <c r="O116" s="49" t="s">
        <v>51</v>
      </c>
      <c r="P116">
        <v>114007.74</v>
      </c>
    </row>
    <row r="117" spans="2:16" x14ac:dyDescent="0.3">
      <c r="B117" s="60" t="s">
        <v>34</v>
      </c>
      <c r="C117" s="61"/>
      <c r="D117" s="39" t="str">
        <f>INDEX('拌客源数据1-8月'!$A:$X,MATCH($B117,'拌客源数据1-8月'!$I:$I,0),MATCH(D$111,'拌客源数据1-8月'!$1:$1,0))</f>
        <v>8491999</v>
      </c>
      <c r="E117" s="39" t="str">
        <f>INDEX('拌客源数据1-8月'!$A:$X,MATCH($B117,'拌客源数据1-8月'!$I:$I,0),MATCH(E$111,'拌客源数据1-8月'!$1:$1,0))</f>
        <v>蛙小辣火锅杯（总账号）</v>
      </c>
      <c r="F117" s="39">
        <f>INDEX('拌客源数据1-8月'!$A:$X,MATCH($B117,'拌客源数据1-8月'!$I:$I,0),MATCH(F$111,'拌客源数据1-8月'!$1:$1,0))</f>
        <v>4636</v>
      </c>
      <c r="G117" s="39">
        <f>SUMIFS(INDEX('拌客源数据1-8月'!$A:$X,0,MATCH(G$111,'拌客源数据1-8月'!$1:$1,0)),'拌客源数据1-8月'!$I:$I,$B117)</f>
        <v>169975.03999999998</v>
      </c>
      <c r="H117" s="39">
        <f>SUMIFS(INDEX('拌客源数据1-8月'!$A:$X,0,MATCH(H$111,'拌客源数据1-8月'!$1:$1,0)),'拌客源数据1-8月'!$I:$I,$B117)</f>
        <v>15813</v>
      </c>
      <c r="I117" s="39">
        <f>SUMIFS(INDEX('拌客源数据1-8月'!$A:$X,0,MATCH(I$111,'拌客源数据1-8月'!$1:$1,0)),'拌客源数据1-8月'!$I:$I,$B117)</f>
        <v>2969</v>
      </c>
      <c r="J117" s="40"/>
      <c r="O117" s="49" t="s">
        <v>136</v>
      </c>
      <c r="P117">
        <v>1071473.2499999998</v>
      </c>
    </row>
    <row r="118" spans="2:16" x14ac:dyDescent="0.3">
      <c r="B118" s="60" t="s">
        <v>33</v>
      </c>
      <c r="C118" s="61"/>
      <c r="D118" s="39" t="str">
        <f>INDEX('拌客源数据1-8月'!$A:$X,MATCH($B118,'拌客源数据1-8月'!$I:$I,0),MATCH(D$111,'拌客源数据1-8月'!$1:$1,0))</f>
        <v>8184590</v>
      </c>
      <c r="E118" s="39" t="str">
        <f>INDEX('拌客源数据1-8月'!$A:$X,MATCH($B118,'拌客源数据1-8月'!$I:$I,0),MATCH(E$111,'拌客源数据1-8月'!$1:$1,0))</f>
        <v>蛙小辣火锅杯（总账号）</v>
      </c>
      <c r="F118" s="39">
        <f>INDEX('拌客源数据1-8月'!$A:$X,MATCH($B118,'拌客源数据1-8月'!$I:$I,0),MATCH(F$111,'拌客源数据1-8月'!$1:$1,0))</f>
        <v>4636</v>
      </c>
      <c r="G118" s="39">
        <f>SUMIFS(INDEX('拌客源数据1-8月'!$A:$X,0,MATCH(G$111,'拌客源数据1-8月'!$1:$1,0)),'拌客源数据1-8月'!$I:$I,$B118)</f>
        <v>9368.7099999999973</v>
      </c>
      <c r="H118" s="39">
        <f>SUMIFS(INDEX('拌客源数据1-8月'!$A:$X,0,MATCH(H$111,'拌客源数据1-8月'!$1:$1,0)),'拌客源数据1-8月'!$I:$I,$B118)</f>
        <v>791</v>
      </c>
      <c r="I118" s="39">
        <f>SUMIFS(INDEX('拌客源数据1-8月'!$A:$X,0,MATCH(I$111,'拌客源数据1-8月'!$1:$1,0)),'拌客源数据1-8月'!$I:$I,$B118)</f>
        <v>154</v>
      </c>
      <c r="J118" s="40"/>
    </row>
    <row r="119" spans="2:16" x14ac:dyDescent="0.3">
      <c r="B119" s="60" t="s">
        <v>35</v>
      </c>
      <c r="C119" s="61"/>
      <c r="D119" s="39" t="str">
        <f>INDEX('拌客源数据1-8月'!$A:$X,MATCH($B119,'拌客源数据1-8月'!$I:$I,0),MATCH(D$111,'拌客源数据1-8月'!$1:$1,0))</f>
        <v>2000507076</v>
      </c>
      <c r="E119" s="39" t="str">
        <f>INDEX('拌客源数据1-8月'!$A:$X,MATCH($B119,'拌客源数据1-8月'!$I:$I,0),MATCH(E$111,'拌客源数据1-8月'!$1:$1,0))</f>
        <v>蛙小辣火锅杯（总账号）</v>
      </c>
      <c r="F119" s="39">
        <f>INDEX('拌客源数据1-8月'!$A:$X,MATCH($B119,'拌客源数据1-8月'!$I:$I,0),MATCH(F$111,'拌客源数据1-8月'!$1:$1,0))</f>
        <v>4636</v>
      </c>
      <c r="G119" s="39">
        <f>SUMIFS(INDEX('拌客源数据1-8月'!$A:$X,0,MATCH(G$111,'拌客源数据1-8月'!$1:$1,0)),'拌客源数据1-8月'!$I:$I,$B119)</f>
        <v>784.71</v>
      </c>
      <c r="H119" s="39">
        <f>SUMIFS(INDEX('拌客源数据1-8月'!$A:$X,0,MATCH(H$111,'拌客源数据1-8月'!$1:$1,0)),'拌客源数据1-8月'!$I:$I,$B119)</f>
        <v>48</v>
      </c>
      <c r="I119" s="39">
        <f>SUMIFS(INDEX('拌客源数据1-8月'!$A:$X,0,MATCH(I$111,'拌客源数据1-8月'!$1:$1,0)),'拌客源数据1-8月'!$I:$I,$B119)</f>
        <v>11</v>
      </c>
      <c r="J119" s="40"/>
    </row>
    <row r="120" spans="2:16" x14ac:dyDescent="0.3">
      <c r="B120" s="60" t="s">
        <v>36</v>
      </c>
      <c r="C120" s="61"/>
      <c r="D120" s="39" t="str">
        <f>INDEX('拌客源数据1-8月'!$A:$X,MATCH($B120,'拌客源数据1-8月'!$I:$I,0),MATCH(D$111,'拌客源数据1-8月'!$1:$1,0))</f>
        <v>2000507076</v>
      </c>
      <c r="E120" s="39" t="str">
        <f>INDEX('拌客源数据1-8月'!$A:$X,MATCH($B120,'拌客源数据1-8月'!$I:$I,0),MATCH(E$111,'拌客源数据1-8月'!$1:$1,0))</f>
        <v>蛙小辣火锅杯（总账号）</v>
      </c>
      <c r="F120" s="39">
        <f>INDEX('拌客源数据1-8月'!$A:$X,MATCH($B120,'拌客源数据1-8月'!$I:$I,0),MATCH(F$111,'拌客源数据1-8月'!$1:$1,0))</f>
        <v>4636</v>
      </c>
      <c r="G120" s="39">
        <f>SUMIFS(INDEX('拌客源数据1-8月'!$A:$X,0,MATCH(G$111,'拌客源数据1-8月'!$1:$1,0)),'拌客源数据1-8月'!$I:$I,$B120)</f>
        <v>11932.99</v>
      </c>
      <c r="H120" s="39">
        <f>SUMIFS(INDEX('拌客源数据1-8月'!$A:$X,0,MATCH(H$111,'拌客源数据1-8月'!$1:$1,0)),'拌客源数据1-8月'!$I:$I,$B120)</f>
        <v>699</v>
      </c>
      <c r="I120" s="39">
        <f>SUMIFS(INDEX('拌客源数据1-8月'!$A:$X,0,MATCH(I$111,'拌客源数据1-8月'!$1:$1,0)),'拌客源数据1-8月'!$I:$I,$B120)</f>
        <v>167</v>
      </c>
      <c r="J120" s="40"/>
    </row>
    <row r="121" spans="2:16" x14ac:dyDescent="0.3">
      <c r="B121" s="60" t="s">
        <v>37</v>
      </c>
      <c r="C121" s="61"/>
      <c r="D121" s="39" t="str">
        <f>INDEX('拌客源数据1-8月'!$A:$X,MATCH($B121,'拌客源数据1-8月'!$I:$I,0),MATCH(D$111,'拌客源数据1-8月'!$1:$1,0))</f>
        <v>2001104355</v>
      </c>
      <c r="E121" s="39" t="str">
        <f>INDEX('拌客源数据1-8月'!$A:$X,MATCH($B121,'拌客源数据1-8月'!$I:$I,0),MATCH(E$111,'拌客源数据1-8月'!$1:$1,0))</f>
        <v>蛙小辣火锅杯（总账号）</v>
      </c>
      <c r="F121" s="39">
        <f>INDEX('拌客源数据1-8月'!$A:$X,MATCH($B121,'拌客源数据1-8月'!$I:$I,0),MATCH(F$111,'拌客源数据1-8月'!$1:$1,0))</f>
        <v>4636</v>
      </c>
      <c r="G121" s="39">
        <f>SUMIFS(INDEX('拌客源数据1-8月'!$A:$X,0,MATCH(G$111,'拌客源数据1-8月'!$1:$1,0)),'拌客源数据1-8月'!$I:$I,$B121)</f>
        <v>157511.31999999995</v>
      </c>
      <c r="H121" s="39">
        <f>SUMIFS(INDEX('拌客源数据1-8月'!$A:$X,0,MATCH(H$111,'拌客源数据1-8月'!$1:$1,0)),'拌客源数据1-8月'!$I:$I,$B121)</f>
        <v>10924</v>
      </c>
      <c r="I121" s="39">
        <f>SUMIFS(INDEX('拌客源数据1-8月'!$A:$X,0,MATCH(I$111,'拌客源数据1-8月'!$1:$1,0)),'拌客源数据1-8月'!$I:$I,$B121)</f>
        <v>2362</v>
      </c>
      <c r="J121" s="40"/>
    </row>
    <row r="122" spans="2:16" x14ac:dyDescent="0.3">
      <c r="B122" s="60" t="s">
        <v>38</v>
      </c>
      <c r="C122" s="61"/>
      <c r="D122" s="39" t="str">
        <f>INDEX('拌客源数据1-8月'!$A:$X,MATCH($B122,'拌客源数据1-8月'!$I:$I,0),MATCH(D$111,'拌客源数据1-8月'!$1:$1,0))</f>
        <v>2000507076</v>
      </c>
      <c r="E122" s="39" t="str">
        <f>INDEX('拌客源数据1-8月'!$A:$X,MATCH($B122,'拌客源数据1-8月'!$I:$I,0),MATCH(E$111,'拌客源数据1-8月'!$1:$1,0))</f>
        <v>蛙小辣火锅杯（总账号）</v>
      </c>
      <c r="F122" s="39">
        <f>INDEX('拌客源数据1-8月'!$A:$X,MATCH($B122,'拌客源数据1-8月'!$I:$I,0),MATCH(F$111,'拌客源数据1-8月'!$1:$1,0))</f>
        <v>4636</v>
      </c>
      <c r="G122" s="39">
        <f>SUMIFS(INDEX('拌客源数据1-8月'!$A:$X,0,MATCH(G$111,'拌客源数据1-8月'!$1:$1,0)),'拌客源数据1-8月'!$I:$I,$B122)</f>
        <v>13823.480000000001</v>
      </c>
      <c r="H122" s="39">
        <f>SUMIFS(INDEX('拌客源数据1-8月'!$A:$X,0,MATCH(H$111,'拌客源数据1-8月'!$1:$1,0)),'拌客源数据1-8月'!$I:$I,$B122)</f>
        <v>849</v>
      </c>
      <c r="I122" s="39">
        <f>SUMIFS(INDEX('拌客源数据1-8月'!$A:$X,0,MATCH(I$111,'拌客源数据1-8月'!$1:$1,0)),'拌客源数据1-8月'!$I:$I,$B122)</f>
        <v>205</v>
      </c>
      <c r="J122" s="40"/>
    </row>
    <row r="123" spans="2:16" x14ac:dyDescent="0.3">
      <c r="B123" s="60" t="s">
        <v>39</v>
      </c>
      <c r="C123" s="61"/>
      <c r="D123" s="39" t="str">
        <f>INDEX('拌客源数据1-8月'!$A:$X,MATCH($B123,'拌客源数据1-8月'!$I:$I,0),MATCH(D$111,'拌客源数据1-8月'!$1:$1,0))</f>
        <v>8184590</v>
      </c>
      <c r="E123" s="39" t="str">
        <f>INDEX('拌客源数据1-8月'!$A:$X,MATCH($B123,'拌客源数据1-8月'!$I:$I,0),MATCH(E$111,'拌客源数据1-8月'!$1:$1,0))</f>
        <v>蛙小辣火锅杯（总账号）</v>
      </c>
      <c r="F123" s="39">
        <f>INDEX('拌客源数据1-8月'!$A:$X,MATCH($B123,'拌客源数据1-8月'!$I:$I,0),MATCH(F$111,'拌客源数据1-8月'!$1:$1,0))</f>
        <v>4636</v>
      </c>
      <c r="G123" s="39">
        <f>SUMIFS(INDEX('拌客源数据1-8月'!$A:$X,0,MATCH(G$111,'拌客源数据1-8月'!$1:$1,0)),'拌客源数据1-8月'!$I:$I,$B123)</f>
        <v>682.13</v>
      </c>
      <c r="H123" s="39">
        <f>SUMIFS(INDEX('拌客源数据1-8月'!$A:$X,0,MATCH(H$111,'拌客源数据1-8月'!$1:$1,0)),'拌客源数据1-8月'!$I:$I,$B123)</f>
        <v>45</v>
      </c>
      <c r="I123" s="39">
        <f>SUMIFS(INDEX('拌客源数据1-8月'!$A:$X,0,MATCH(I$111,'拌客源数据1-8月'!$1:$1,0)),'拌客源数据1-8月'!$I:$I,$B123)</f>
        <v>8</v>
      </c>
      <c r="J123" s="40"/>
    </row>
    <row r="124" spans="2:16" x14ac:dyDescent="0.3">
      <c r="B124" s="60" t="s">
        <v>41</v>
      </c>
      <c r="C124" s="61"/>
      <c r="D124" s="39" t="str">
        <f>INDEX('拌客源数据1-8月'!$A:$X,MATCH($B124,'拌客源数据1-8月'!$I:$I,0),MATCH(D$111,'拌客源数据1-8月'!$1:$1,0))</f>
        <v>337460136</v>
      </c>
      <c r="E124" s="39" t="str">
        <f>INDEX('拌客源数据1-8月'!$A:$X,MATCH($B124,'拌客源数据1-8月'!$I:$I,0),MATCH(E$111,'拌客源数据1-8月'!$1:$1,0))</f>
        <v>拌客（武宁路店）</v>
      </c>
      <c r="F124" s="39">
        <f>INDEX('拌客源数据1-8月'!$A:$X,MATCH($B124,'拌客源数据1-8月'!$I:$I,0),MATCH(F$111,'拌客源数据1-8月'!$1:$1,0))</f>
        <v>6108</v>
      </c>
      <c r="G124" s="39">
        <f>SUMIFS(INDEX('拌客源数据1-8月'!$A:$X,0,MATCH(G$111,'拌客源数据1-8月'!$1:$1,0)),'拌客源数据1-8月'!$I:$I,$B124)</f>
        <v>3913.76</v>
      </c>
      <c r="H124" s="39">
        <f>SUMIFS(INDEX('拌客源数据1-8月'!$A:$X,0,MATCH(H$111,'拌客源数据1-8月'!$1:$1,0)),'拌客源数据1-8月'!$I:$I,$B124)</f>
        <v>441</v>
      </c>
      <c r="I124" s="39">
        <f>SUMIFS(INDEX('拌客源数据1-8月'!$A:$X,0,MATCH(I$111,'拌客源数据1-8月'!$1:$1,0)),'拌客源数据1-8月'!$I:$I,$B124)</f>
        <v>72</v>
      </c>
      <c r="J124" s="40"/>
    </row>
    <row r="125" spans="2:16" x14ac:dyDescent="0.3">
      <c r="B125" s="60" t="s">
        <v>42</v>
      </c>
      <c r="C125" s="61"/>
      <c r="D125" s="39" t="str">
        <f>INDEX('拌客源数据1-8月'!$A:$X,MATCH($B125,'拌客源数据1-8月'!$I:$I,0),MATCH(D$111,'拌客源数据1-8月'!$1:$1,0))</f>
        <v>337460136</v>
      </c>
      <c r="E125" s="39" t="str">
        <f>INDEX('拌客源数据1-8月'!$A:$X,MATCH($B125,'拌客源数据1-8月'!$I:$I,0),MATCH(E$111,'拌客源数据1-8月'!$1:$1,0))</f>
        <v>拌客（武宁路店）</v>
      </c>
      <c r="F125" s="39">
        <f>INDEX('拌客源数据1-8月'!$A:$X,MATCH($B125,'拌客源数据1-8月'!$I:$I,0),MATCH(F$111,'拌客源数据1-8月'!$1:$1,0))</f>
        <v>6108</v>
      </c>
      <c r="G125" s="39">
        <f>SUMIFS(INDEX('拌客源数据1-8月'!$A:$X,0,MATCH(G$111,'拌客源数据1-8月'!$1:$1,0)),'拌客源数据1-8月'!$I:$I,$B125)</f>
        <v>421831.69999999995</v>
      </c>
      <c r="H125" s="39">
        <f>SUMIFS(INDEX('拌客源数据1-8月'!$A:$X,0,MATCH(H$111,'拌客源数据1-8月'!$1:$1,0)),'拌客源数据1-8月'!$I:$I,$B125)</f>
        <v>31427</v>
      </c>
      <c r="I125" s="39">
        <f>SUMIFS(INDEX('拌客源数据1-8月'!$A:$X,0,MATCH(I$111,'拌客源数据1-8月'!$1:$1,0)),'拌客源数据1-8月'!$I:$I,$B125)</f>
        <v>8314</v>
      </c>
      <c r="J125" s="40"/>
    </row>
    <row r="126" spans="2:16" x14ac:dyDescent="0.3">
      <c r="B126" s="60" t="s">
        <v>43</v>
      </c>
      <c r="C126" s="61"/>
      <c r="D126" s="39" t="str">
        <f>INDEX('拌客源数据1-8月'!$A:$X,MATCH($B126,'拌客源数据1-8月'!$I:$I,0),MATCH(D$111,'拌客源数据1-8月'!$1:$1,0))</f>
        <v>9428110</v>
      </c>
      <c r="E126" s="39" t="str">
        <f>INDEX('拌客源数据1-8月'!$A:$X,MATCH($B126,'拌客源数据1-8月'!$I:$I,0),MATCH(E$111,'拌客源数据1-8月'!$1:$1,0))</f>
        <v>拌客（武宁路店）</v>
      </c>
      <c r="F126" s="39">
        <f>INDEX('拌客源数据1-8月'!$A:$X,MATCH($B126,'拌客源数据1-8月'!$I:$I,0),MATCH(F$111,'拌客源数据1-8月'!$1:$1,0))</f>
        <v>6108</v>
      </c>
      <c r="G126" s="39">
        <f>SUMIFS(INDEX('拌客源数据1-8月'!$A:$X,0,MATCH(G$111,'拌客源数据1-8月'!$1:$1,0)),'拌客源数据1-8月'!$I:$I,$B126)</f>
        <v>114007.74</v>
      </c>
      <c r="H126" s="39">
        <f>SUMIFS(INDEX('拌客源数据1-8月'!$A:$X,0,MATCH(H$111,'拌客源数据1-8月'!$1:$1,0)),'拌客源数据1-8月'!$I:$I,$B126)</f>
        <v>7867</v>
      </c>
      <c r="I126" s="39">
        <f>SUMIFS(INDEX('拌客源数据1-8月'!$A:$X,0,MATCH(I$111,'拌客源数据1-8月'!$1:$1,0)),'拌客源数据1-8月'!$I:$I,$B126)</f>
        <v>2329</v>
      </c>
      <c r="J126" s="40"/>
    </row>
    <row r="127" spans="2:16" x14ac:dyDescent="0.3">
      <c r="B127" s="49"/>
      <c r="C127" s="49"/>
      <c r="D127" s="40"/>
      <c r="E127" s="40"/>
      <c r="F127" s="40"/>
      <c r="G127" s="40"/>
    </row>
    <row r="128" spans="2:16" x14ac:dyDescent="0.3">
      <c r="B128" s="49"/>
      <c r="C128" s="49"/>
      <c r="D128" s="40"/>
      <c r="E128" s="40"/>
      <c r="F128" s="40"/>
      <c r="G128" s="40"/>
    </row>
    <row r="129" spans="2:7" x14ac:dyDescent="0.3">
      <c r="B129" s="49"/>
      <c r="C129" s="49"/>
      <c r="D129" s="40"/>
      <c r="E129" s="40"/>
      <c r="F129" s="40"/>
      <c r="G129" s="40"/>
    </row>
    <row r="130" spans="2:7" x14ac:dyDescent="0.3">
      <c r="B130" s="49"/>
      <c r="C130" s="49"/>
      <c r="D130" s="40"/>
      <c r="E130" s="40"/>
      <c r="F130" s="40"/>
      <c r="G130" s="40"/>
    </row>
    <row r="131" spans="2:7" x14ac:dyDescent="0.3">
      <c r="B131" s="49"/>
      <c r="C131" s="49"/>
      <c r="D131" s="40"/>
      <c r="E131" s="40"/>
      <c r="F131" s="40"/>
      <c r="G131" s="40"/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>
      <selection activeCell="B6" sqref="B6"/>
    </sheetView>
  </sheetViews>
  <sheetFormatPr defaultColWidth="9" defaultRowHeight="16.5" x14ac:dyDescent="0.3"/>
  <cols>
    <col min="1" max="1" width="13.8320312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3203125" style="2" bestFit="1" customWidth="1"/>
    <col min="6" max="6" width="11.83203125" style="2" customWidth="1"/>
    <col min="7" max="7" width="11.25" style="2" bestFit="1" customWidth="1"/>
    <col min="8" max="8" width="11.5" style="2" bestFit="1" customWidth="1"/>
    <col min="9" max="9" width="11.58203125" style="2" bestFit="1" customWidth="1"/>
    <col min="10" max="16384" width="9" style="2"/>
  </cols>
  <sheetData>
    <row r="1" spans="1:11" x14ac:dyDescent="0.3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3">
      <c r="A2" s="83" t="s">
        <v>57</v>
      </c>
      <c r="B2" s="84"/>
      <c r="C2" s="84"/>
      <c r="D2" s="84"/>
      <c r="E2" s="84"/>
      <c r="F2" s="84"/>
      <c r="G2" s="84"/>
      <c r="H2" s="84"/>
    </row>
    <row r="3" spans="1:11" x14ac:dyDescent="0.3">
      <c r="A3" s="84"/>
      <c r="B3" s="84"/>
      <c r="C3" s="84"/>
      <c r="D3" s="84"/>
      <c r="E3" s="84"/>
      <c r="F3" s="84"/>
      <c r="G3" s="84"/>
      <c r="H3" s="84"/>
    </row>
    <row r="4" spans="1:11" ht="17" thickBot="1" x14ac:dyDescent="0.35">
      <c r="A4" s="3" t="s">
        <v>58</v>
      </c>
    </row>
    <row r="5" spans="1:11" x14ac:dyDescent="0.3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 x14ac:dyDescent="0.3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85" t="s">
        <v>63</v>
      </c>
      <c r="H6" s="86"/>
    </row>
    <row r="7" spans="1:11" x14ac:dyDescent="0.3">
      <c r="A7" s="3" t="s">
        <v>64</v>
      </c>
      <c r="G7" s="87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88"/>
      <c r="I7" s="10"/>
      <c r="K7" s="55"/>
    </row>
    <row r="8" spans="1:11" ht="17" thickBot="1" x14ac:dyDescent="0.3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 x14ac:dyDescent="0.3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 x14ac:dyDescent="0.3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3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3">
      <c r="A13" s="22">
        <v>44053</v>
      </c>
      <c r="B13" s="23">
        <f>A13</f>
        <v>44053</v>
      </c>
      <c r="C13" s="56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56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 x14ac:dyDescent="0.3">
      <c r="A14" s="22">
        <f>A13+1</f>
        <v>44054</v>
      </c>
      <c r="B14" s="23">
        <f t="shared" ref="B14:B19" si="0">A14</f>
        <v>44054</v>
      </c>
      <c r="C14" s="56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56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1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2">C14/F14</f>
        <v>48.189615384615387</v>
      </c>
    </row>
    <row r="15" spans="1:11" x14ac:dyDescent="0.3">
      <c r="A15" s="22">
        <f t="shared" ref="A15:A19" si="3">A14+1</f>
        <v>44055</v>
      </c>
      <c r="B15" s="23">
        <f t="shared" si="0"/>
        <v>44055</v>
      </c>
      <c r="C15" s="56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56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1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2"/>
        <v>60.790666666666667</v>
      </c>
    </row>
    <row r="16" spans="1:11" x14ac:dyDescent="0.3">
      <c r="A16" s="22">
        <f t="shared" si="3"/>
        <v>44056</v>
      </c>
      <c r="B16" s="23">
        <f t="shared" si="0"/>
        <v>44056</v>
      </c>
      <c r="C16" s="56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56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1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50.211428571428577</v>
      </c>
    </row>
    <row r="17" spans="1:8" x14ac:dyDescent="0.3">
      <c r="A17" s="22">
        <f t="shared" si="3"/>
        <v>44057</v>
      </c>
      <c r="B17" s="23">
        <f t="shared" si="0"/>
        <v>44057</v>
      </c>
      <c r="C17" s="56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56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1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56.206111111111113</v>
      </c>
    </row>
    <row r="18" spans="1:8" x14ac:dyDescent="0.3">
      <c r="A18" s="22">
        <f t="shared" si="3"/>
        <v>44058</v>
      </c>
      <c r="B18" s="23">
        <f t="shared" si="0"/>
        <v>44058</v>
      </c>
      <c r="C18" s="56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56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1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51.788636363636357</v>
      </c>
    </row>
    <row r="19" spans="1:8" x14ac:dyDescent="0.3">
      <c r="A19" s="27">
        <f t="shared" si="3"/>
        <v>44059</v>
      </c>
      <c r="B19" s="28">
        <f t="shared" si="0"/>
        <v>44059</v>
      </c>
      <c r="C19" s="57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57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1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2"/>
        <v>55.429523809523808</v>
      </c>
    </row>
    <row r="20" spans="1:8" x14ac:dyDescent="0.3">
      <c r="A20" s="24" t="s">
        <v>72</v>
      </c>
      <c r="B20" s="23"/>
      <c r="C20" s="56">
        <f>SUM(C13:C19)</f>
        <v>8072.68</v>
      </c>
      <c r="D20" s="56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x14ac:dyDescent="0.3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3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3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 x14ac:dyDescent="0.3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 x14ac:dyDescent="0.3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 x14ac:dyDescent="0.3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 x14ac:dyDescent="0.3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 x14ac:dyDescent="0.3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 x14ac:dyDescent="0.3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 x14ac:dyDescent="0.3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A13:B13 E13:H13 A14:H19">
    <cfRule type="expression" dxfId="17" priority="14">
      <formula>$C13&lt;AVERAGE($C$13:$C$19)</formula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D9">
    <cfRule type="cellIs" dxfId="14" priority="3" operator="greaterThan">
      <formula>0</formula>
    </cfRule>
    <cfRule type="cellIs" dxfId="13" priority="4" operator="lessThan">
      <formula>0</formula>
    </cfRule>
    <cfRule type="cellIs" dxfId="12" priority="10" operator="lessThan">
      <formula>0</formula>
    </cfRule>
    <cfRule type="cellIs" dxfId="11" priority="11" operator="greaterThan">
      <formula>0</formula>
    </cfRule>
  </conditionalFormatting>
  <conditionalFormatting sqref="F9">
    <cfRule type="cellIs" dxfId="10" priority="1" operator="greaterThan">
      <formula>0</formula>
    </cfRule>
    <cfRule type="cellIs" dxfId="9" priority="2" operator="lessThan">
      <formula>0</formula>
    </cfRule>
    <cfRule type="cellIs" dxfId="8" priority="16" operator="lessThan">
      <formula>0</formula>
    </cfRule>
    <cfRule type="cellIs" dxfId="7" priority="17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K32"/>
  <sheetViews>
    <sheetView showGridLines="0" tabSelected="1" workbookViewId="0">
      <selection activeCell="I8" sqref="I8"/>
    </sheetView>
  </sheetViews>
  <sheetFormatPr defaultRowHeight="16.5" x14ac:dyDescent="0.3"/>
  <cols>
    <col min="1" max="1" width="15.58203125" style="58" bestFit="1" customWidth="1"/>
    <col min="2" max="2" width="12.25" style="58" customWidth="1"/>
    <col min="3" max="3" width="11.83203125" style="58" customWidth="1"/>
    <col min="4" max="4" width="11.58203125" style="58" customWidth="1"/>
    <col min="5" max="6" width="12.33203125" style="58" customWidth="1"/>
    <col min="7" max="7" width="12.5" style="58" customWidth="1"/>
    <col min="8" max="8" width="11.08203125" style="58" customWidth="1"/>
  </cols>
  <sheetData>
    <row r="1" spans="1:11" x14ac:dyDescent="0.3">
      <c r="A1" s="58" t="s">
        <v>56</v>
      </c>
      <c r="B1" s="67">
        <f>A13</f>
        <v>44053</v>
      </c>
      <c r="C1" s="58" t="s">
        <v>77</v>
      </c>
      <c r="D1" s="67">
        <f>A19</f>
        <v>44059</v>
      </c>
    </row>
    <row r="2" spans="1:11" ht="16.5" customHeight="1" x14ac:dyDescent="0.3">
      <c r="A2" s="89" t="s">
        <v>57</v>
      </c>
      <c r="B2" s="89"/>
      <c r="C2" s="89"/>
      <c r="D2" s="89"/>
      <c r="E2" s="89"/>
      <c r="F2" s="89"/>
      <c r="G2" s="89"/>
      <c r="H2" s="89"/>
    </row>
    <row r="3" spans="1:11" ht="16.5" customHeight="1" x14ac:dyDescent="0.3">
      <c r="A3" s="89"/>
      <c r="B3" s="89"/>
      <c r="C3" s="89"/>
      <c r="D3" s="89"/>
      <c r="E3" s="89"/>
      <c r="F3" s="89"/>
      <c r="G3" s="89"/>
      <c r="H3" s="89"/>
    </row>
    <row r="4" spans="1:11" x14ac:dyDescent="0.3">
      <c r="A4" s="74" t="s">
        <v>58</v>
      </c>
    </row>
    <row r="5" spans="1:11" x14ac:dyDescent="0.3">
      <c r="A5" s="79" t="s">
        <v>59</v>
      </c>
      <c r="C5" s="79" t="s">
        <v>60</v>
      </c>
      <c r="E5" s="79" t="s">
        <v>61</v>
      </c>
      <c r="G5" s="75" t="s">
        <v>62</v>
      </c>
      <c r="H5" s="76" t="s">
        <v>22</v>
      </c>
    </row>
    <row r="6" spans="1:11" x14ac:dyDescent="0.3">
      <c r="A6" s="58">
        <f>C32</f>
        <v>8816</v>
      </c>
      <c r="C6" s="72">
        <f>E32</f>
        <v>7.8266787658802184E-2</v>
      </c>
      <c r="E6" s="72">
        <f>G32</f>
        <v>0.2144927536231884</v>
      </c>
      <c r="G6" s="90" t="s">
        <v>63</v>
      </c>
      <c r="H6" s="91"/>
    </row>
    <row r="7" spans="1:11" x14ac:dyDescent="0.3">
      <c r="A7" s="74" t="s">
        <v>64</v>
      </c>
      <c r="G7" s="92">
        <f>IF($H$5="全部",SUMIFS(INDEX('拌客源数据1-8月'!$A:$X,0,MATCH($C$12,'拌客源数据1-8月'!$1:$1,0)),'拌客源数据1-8月'!$A:$A,"&gt;="&amp;(DATE(YEAR($A$13),MONTH($A$13),1)),'拌客源数据1-8月'!$A:$A,"&lt;="&amp;$A$19),SUMIFS(INDEX('拌客源数据1-8月'!$A:$X,0,MATCH($C$12,'拌客源数据1-8月'!$1:$1,0)),'拌客源数据1-8月'!$A:$A,"&gt;="&amp;(DATE(YEAR($A$13),MONTH($A$13),1)),'拌客源数据1-8月'!$A:$A,"&lt;="&amp;$A$19,'拌客源数据1-8月'!$H:$H,'大厂周报-练习版'!$H$5))/H8</f>
        <v>0.2691635</v>
      </c>
      <c r="H7" s="93"/>
    </row>
    <row r="8" spans="1:11" x14ac:dyDescent="0.3">
      <c r="A8" s="79" t="s">
        <v>53</v>
      </c>
      <c r="B8" s="73">
        <f>IF($H$5="全部",SUMIFS(INDEX('拌客源数据1-8月'!$A:$X,0,MATCH(A$8,'拌客源数据1-8月'!$1:$1,0)),'拌客源数据1-8月'!$A:$A,"&gt;="&amp;$A$25,'拌客源数据1-8月'!$A:$A,"&lt;="&amp;$A$31),SUMIFS(INDEX('拌客源数据1-8月'!$A:$X,0,MATCH(A$8,'拌客源数据1-8月'!$1:$1,0)),'拌客源数据1-8月'!$A:$A,"&gt;="&amp;$A$25,'拌客源数据1-8月'!$A:$A,"&lt;="&amp;$A$31,'拌客源数据1-8月'!$H:$H,'大厂周报-练习版'!$H$5))/IF($H$5="全部",SUMIFS(INDEX('拌客源数据1-8月'!$A:$X,0,MATCH(A$8,'拌客源数据1-8月'!$1:$1,0)),'拌客源数据1-8月'!$A:$A,"&gt;="&amp;($A$25-7),'拌客源数据1-8月'!$A:$A,"&lt;="&amp;($A$31-7)),SUMIFS(INDEX('拌客源数据1-8月'!$A:$X,0,MATCH(A$8,'拌客源数据1-8月'!$1:$1,0)),'拌客源数据1-8月'!$A:$A,"&gt;="&amp;($A$25-7),'拌客源数据1-8月'!$A:$A,"&lt;="&amp;($A$31-7),'拌客源数据1-8月'!$H:$H,'大厂周报-练习版'!$H$5))-1</f>
        <v>-0.28169014084507038</v>
      </c>
      <c r="C8" s="79" t="s">
        <v>54</v>
      </c>
      <c r="D8" s="73">
        <f>IF($H$5="全部",SUMIFS(INDEX('拌客源数据1-8月'!$A:$X,0,MATCH(C$8,'拌客源数据1-8月'!$1:$1,0)),'拌客源数据1-8月'!$A:$A,"&gt;="&amp;$A$25,'拌客源数据1-8月'!$A:$A,"&lt;="&amp;$A$31),SUMIFS(INDEX('拌客源数据1-8月'!$A:$X,0,MATCH(C$8,'拌客源数据1-8月'!$1:$1,0)),'拌客源数据1-8月'!$A:$A,"&gt;="&amp;$A$25,'拌客源数据1-8月'!$A:$A,"&lt;="&amp;$A$31,'拌客源数据1-8月'!$H:$H,'大厂周报-练习版'!$H$5))/IF($H$5="全部",SUMIFS(INDEX('拌客源数据1-8月'!$A:$X,0,MATCH(C$8,'拌客源数据1-8月'!$1:$1,0)),'拌客源数据1-8月'!$A:$A,"&gt;="&amp;($A$25-7),'拌客源数据1-8月'!$A:$A,"&lt;="&amp;($A$31-7)),SUMIFS(INDEX('拌客源数据1-8月'!$A:$X,0,MATCH(C$8,'拌客源数据1-8月'!$1:$1,0)),'拌客源数据1-8月'!$A:$A,"&gt;="&amp;($A$25-7),'拌客源数据1-8月'!$A:$A,"&lt;="&amp;($A$31-7),'拌客源数据1-8月'!$H:$H,'大厂周报-练习版'!$H$5))-1</f>
        <v>-0.29393219855529717</v>
      </c>
      <c r="E8" s="79" t="s">
        <v>65</v>
      </c>
      <c r="F8" s="73">
        <f>E20/(IF($H$5="全部",SUMIFS(INDEX('拌客源数据1-8月'!$A:$X,0,MATCH(C$8,'拌客源数据1-8月'!$1:$1,0)),'拌客源数据1-8月'!$A:$A,"&gt;="&amp;($A$25-7),'拌客源数据1-8月'!$A:$A,"&lt;="&amp;($A$31-7)),SUMIFS(INDEX('拌客源数据1-8月'!$A:$X,0,MATCH(C$8,'拌客源数据1-8月'!$1:$1,0)),'拌客源数据1-8月'!$A:$A,"&gt;="&amp;($A$25-7),'拌客源数据1-8月'!$A:$A,"&lt;="&amp;($A$31-7),'拌客源数据1-8月'!$H:$H,'大厂周报-练习版'!$H$5))/IF($H$5="全部",SUMIFS(INDEX('拌客源数据1-8月'!$A:$X,0,MATCH($C$12,'拌客源数据1-8月'!$1:$1,0)),'拌客源数据1-8月'!$A:$A,"&gt;="&amp;($A$25-7),'拌客源数据1-8月'!$A:$A,"&lt;="&amp;($A$31-7)),SUMIFS(INDEX('拌客源数据1-8月'!$A:$X,0,MATCH($C$12,'拌客源数据1-8月'!$1:$1,0)),'拌客源数据1-8月'!$A:$A,"&gt;="&amp;($A$25-7),'拌客源数据1-8月'!$A:$A,"&lt;="&amp;($A$31-7),'拌客源数据1-8月'!$H:$H,'大厂周报-练习版'!$H$5)))-1</f>
        <v>-4.1556642486674233E-3</v>
      </c>
      <c r="G8" s="77" t="s">
        <v>66</v>
      </c>
      <c r="H8" s="78">
        <v>100000</v>
      </c>
      <c r="K8" s="1"/>
    </row>
    <row r="11" spans="1:11" x14ac:dyDescent="0.3">
      <c r="A11" s="74" t="s">
        <v>67</v>
      </c>
      <c r="C11" s="58" t="s">
        <v>68</v>
      </c>
    </row>
    <row r="12" spans="1:11" x14ac:dyDescent="0.3">
      <c r="A12" s="80" t="s">
        <v>69</v>
      </c>
      <c r="B12" s="80" t="s">
        <v>70</v>
      </c>
      <c r="C12" s="80" t="s">
        <v>55</v>
      </c>
      <c r="D12" s="80" t="s">
        <v>54</v>
      </c>
      <c r="E12" s="80" t="s">
        <v>65</v>
      </c>
      <c r="F12" s="80" t="s">
        <v>53</v>
      </c>
      <c r="G12" s="80" t="s">
        <v>52</v>
      </c>
      <c r="H12" s="80" t="s">
        <v>71</v>
      </c>
    </row>
    <row r="13" spans="1:11" x14ac:dyDescent="0.3">
      <c r="A13" s="67">
        <v>44053</v>
      </c>
      <c r="B13" s="68">
        <f>A13</f>
        <v>44053</v>
      </c>
      <c r="C13" s="70">
        <f>IF($H$5="全部",SUMIF('拌客源数据1-8月'!$A:$A,$A13,INDEX('拌客源数据1-8月'!$A:$X,0,MATCH(C$12,'拌客源数据1-8月'!$1:$1,0))),SUMIFS(INDEX('拌客源数据1-8月'!$A:$X,0,MATCH(C$12,'拌客源数据1-8月'!$1:$1,0)),'拌客源数据1-8月'!$A:$A,$A13,'拌客源数据1-8月'!$H:$H,'大厂周报-练习版'!$H$5))</f>
        <v>1538.37</v>
      </c>
      <c r="D13" s="70">
        <f>IF($H$5="全部",SUMIF('拌客源数据1-8月'!$A:$A,$A13,INDEX('拌客源数据1-8月'!$A:$X,0,MATCH(D$12,'拌客源数据1-8月'!$1:$1,0))),SUMIFS(INDEX('拌客源数据1-8月'!$A:$X,0,MATCH(D$12,'拌客源数据1-8月'!$1:$1,0)),'拌客源数据1-8月'!$A:$A,$A13,'拌客源数据1-8月'!$H:$H,'大厂周报-练习版'!$H$5))</f>
        <v>499.98</v>
      </c>
      <c r="E13" s="71">
        <f>D13/C13</f>
        <v>0.3250063378771037</v>
      </c>
      <c r="F13" s="70">
        <f>IF($H$5="全部",SUMIF('拌客源数据1-8月'!$A:$A,$A13,INDEX('拌客源数据1-8月'!$A:$X,0,MATCH(F$12,'拌客源数据1-8月'!$1:$1,0))),SUMIFS(INDEX('拌客源数据1-8月'!$A:$X,0,MATCH(F$12,'拌客源数据1-8月'!$1:$1,0)),'拌客源数据1-8月'!$A:$A,$A13,'拌客源数据1-8月'!$H:$H,'大厂周报-练习版'!$H$5))</f>
        <v>30</v>
      </c>
      <c r="G13" s="70">
        <f>IF($H$5="全部",SUMIF('拌客源数据1-8月'!$A:$A,$A13,INDEX('拌客源数据1-8月'!$A:$X,0,MATCH(G$12,'拌客源数据1-8月'!$1:$1,0))),SUMIFS(INDEX('拌客源数据1-8月'!$A:$X,0,MATCH(G$12,'拌客源数据1-8月'!$1:$1,0)),'拌客源数据1-8月'!$A:$A,$A13,'拌客源数据1-8月'!$H:$H,'大厂周报-练习版'!$H$5))</f>
        <v>0</v>
      </c>
      <c r="H13" s="69">
        <f>C13/F13</f>
        <v>51.278999999999996</v>
      </c>
    </row>
    <row r="14" spans="1:11" x14ac:dyDescent="0.3">
      <c r="A14" s="67">
        <f>A13+1</f>
        <v>44054</v>
      </c>
      <c r="B14" s="68">
        <f t="shared" ref="B14:B19" si="0">A14</f>
        <v>44054</v>
      </c>
      <c r="C14" s="70">
        <f>IF($H$5="全部",SUMIF('拌客源数据1-8月'!$A:$A,$A14,INDEX('拌客源数据1-8月'!$A:$X,0,MATCH(C$12,'拌客源数据1-8月'!$1:$1,0))),SUMIFS(INDEX('拌客源数据1-8月'!$A:$X,0,MATCH(C$12,'拌客源数据1-8月'!$1:$1,0)),'拌客源数据1-8月'!$A:$A,$A14,'拌客源数据1-8月'!$H:$H,'大厂周报-练习版'!$H$5))</f>
        <v>1252.93</v>
      </c>
      <c r="D14" s="70">
        <f>IF($H$5="全部",SUMIF('拌客源数据1-8月'!$A:$A,$A14,INDEX('拌客源数据1-8月'!$A:$X,0,MATCH(D$12,'拌客源数据1-8月'!$1:$1,0))),SUMIFS(INDEX('拌客源数据1-8月'!$A:$X,0,MATCH(D$12,'拌客源数据1-8月'!$1:$1,0)),'拌客源数据1-8月'!$A:$A,$A14,'拌客源数据1-8月'!$H:$H,'大厂周报-练习版'!$H$5))</f>
        <v>419.83</v>
      </c>
      <c r="E14" s="71">
        <f t="shared" ref="E14:E19" si="1">D14/C14</f>
        <v>0.33507857581828193</v>
      </c>
      <c r="F14" s="70">
        <f>IF($H$5="全部",SUMIF('拌客源数据1-8月'!$A:$A,$A14,INDEX('拌客源数据1-8月'!$A:$X,0,MATCH(F$12,'拌客源数据1-8月'!$1:$1,0))),SUMIFS(INDEX('拌客源数据1-8月'!$A:$X,0,MATCH(F$12,'拌客源数据1-8月'!$1:$1,0)),'拌客源数据1-8月'!$A:$A,$A14,'拌客源数据1-8月'!$H:$H,'大厂周报-练习版'!$H$5))</f>
        <v>26</v>
      </c>
      <c r="G14" s="70">
        <f>IF($H$5="全部",SUMIF('拌客源数据1-8月'!$A:$A,$A14,INDEX('拌客源数据1-8月'!$A:$X,0,MATCH(G$12,'拌客源数据1-8月'!$1:$1,0))),SUMIFS(INDEX('拌客源数据1-8月'!$A:$X,0,MATCH(G$12,'拌客源数据1-8月'!$1:$1,0)),'拌客源数据1-8月'!$A:$A,$A14,'拌客源数据1-8月'!$H:$H,'大厂周报-练习版'!$H$5))</f>
        <v>0</v>
      </c>
      <c r="H14" s="69">
        <f t="shared" ref="H14:H20" si="2">C14/F14</f>
        <v>48.189615384615387</v>
      </c>
    </row>
    <row r="15" spans="1:11" x14ac:dyDescent="0.3">
      <c r="A15" s="67">
        <f>A14+1</f>
        <v>44055</v>
      </c>
      <c r="B15" s="68">
        <f t="shared" si="0"/>
        <v>44055</v>
      </c>
      <c r="C15" s="70">
        <f>IF($H$5="全部",SUMIF('拌客源数据1-8月'!$A:$A,$A15,INDEX('拌客源数据1-8月'!$A:$X,0,MATCH(C$12,'拌客源数据1-8月'!$1:$1,0))),SUMIFS(INDEX('拌客源数据1-8月'!$A:$X,0,MATCH(C$12,'拌客源数据1-8月'!$1:$1,0)),'拌客源数据1-8月'!$A:$A,$A15,'拌客源数据1-8月'!$H:$H,'大厂周报-练习版'!$H$5))</f>
        <v>911.86</v>
      </c>
      <c r="D15" s="70">
        <f>IF($H$5="全部",SUMIF('拌客源数据1-8月'!$A:$A,$A15,INDEX('拌客源数据1-8月'!$A:$X,0,MATCH(D$12,'拌客源数据1-8月'!$1:$1,0))),SUMIFS(INDEX('拌客源数据1-8月'!$A:$X,0,MATCH(D$12,'拌客源数据1-8月'!$1:$1,0)),'拌客源数据1-8月'!$A:$A,$A15,'拌客源数据1-8月'!$H:$H,'大厂周报-练习版'!$H$5))</f>
        <v>346.44</v>
      </c>
      <c r="E15" s="71">
        <f t="shared" si="1"/>
        <v>0.37992674314039437</v>
      </c>
      <c r="F15" s="70">
        <f>IF($H$5="全部",SUMIF('拌客源数据1-8月'!$A:$A,$A15,INDEX('拌客源数据1-8月'!$A:$X,0,MATCH(F$12,'拌客源数据1-8月'!$1:$1,0))),SUMIFS(INDEX('拌客源数据1-8月'!$A:$X,0,MATCH(F$12,'拌客源数据1-8月'!$1:$1,0)),'拌客源数据1-8月'!$A:$A,$A15,'拌客源数据1-8月'!$H:$H,'大厂周报-练习版'!$H$5))</f>
        <v>15</v>
      </c>
      <c r="G15" s="70">
        <f>IF($H$5="全部",SUMIF('拌客源数据1-8月'!$A:$A,$A15,INDEX('拌客源数据1-8月'!$A:$X,0,MATCH(G$12,'拌客源数据1-8月'!$1:$1,0))),SUMIFS(INDEX('拌客源数据1-8月'!$A:$X,0,MATCH(G$12,'拌客源数据1-8月'!$1:$1,0)),'拌客源数据1-8月'!$A:$A,$A15,'拌客源数据1-8月'!$H:$H,'大厂周报-练习版'!$H$5))</f>
        <v>1</v>
      </c>
      <c r="H15" s="69">
        <f t="shared" si="2"/>
        <v>60.790666666666667</v>
      </c>
    </row>
    <row r="16" spans="1:11" x14ac:dyDescent="0.3">
      <c r="A16" s="67">
        <f t="shared" ref="A16:A19" si="3">A15+1</f>
        <v>44056</v>
      </c>
      <c r="B16" s="68">
        <f t="shared" si="0"/>
        <v>44056</v>
      </c>
      <c r="C16" s="70">
        <f>IF($H$5="全部",SUMIF('拌客源数据1-8月'!$A:$A,$A16,INDEX('拌客源数据1-8月'!$A:$X,0,MATCH(C$12,'拌客源数据1-8月'!$1:$1,0))),SUMIFS(INDEX('拌客源数据1-8月'!$A:$X,0,MATCH(C$12,'拌客源数据1-8月'!$1:$1,0)),'拌客源数据1-8月'!$A:$A,$A16,'拌客源数据1-8月'!$H:$H,'大厂周报-练习版'!$H$5))</f>
        <v>1054.44</v>
      </c>
      <c r="D16" s="70">
        <f>IF($H$5="全部",SUMIF('拌客源数据1-8月'!$A:$A,$A16,INDEX('拌客源数据1-8月'!$A:$X,0,MATCH(D$12,'拌客源数据1-8月'!$1:$1,0))),SUMIFS(INDEX('拌客源数据1-8月'!$A:$X,0,MATCH(D$12,'拌客源数据1-8月'!$1:$1,0)),'拌客源数据1-8月'!$A:$A,$A16,'拌客源数据1-8月'!$H:$H,'大厂周报-练习版'!$H$5))</f>
        <v>347.98</v>
      </c>
      <c r="E16" s="71">
        <f t="shared" si="1"/>
        <v>0.33001403588634726</v>
      </c>
      <c r="F16" s="70">
        <f>IF($H$5="全部",SUMIF('拌客源数据1-8月'!$A:$A,$A16,INDEX('拌客源数据1-8月'!$A:$X,0,MATCH(F$12,'拌客源数据1-8月'!$1:$1,0))),SUMIFS(INDEX('拌客源数据1-8月'!$A:$X,0,MATCH(F$12,'拌客源数据1-8月'!$1:$1,0)),'拌客源数据1-8月'!$A:$A,$A16,'拌客源数据1-8月'!$H:$H,'大厂周报-练习版'!$H$5))</f>
        <v>21</v>
      </c>
      <c r="G16" s="70">
        <f>IF($H$5="全部",SUMIF('拌客源数据1-8月'!$A:$A,$A16,INDEX('拌客源数据1-8月'!$A:$X,0,MATCH(G$12,'拌客源数据1-8月'!$1:$1,0))),SUMIFS(INDEX('拌客源数据1-8月'!$A:$X,0,MATCH(G$12,'拌客源数据1-8月'!$1:$1,0)),'拌客源数据1-8月'!$A:$A,$A16,'拌客源数据1-8月'!$H:$H,'大厂周报-练习版'!$H$5))</f>
        <v>0</v>
      </c>
      <c r="H16" s="69">
        <f t="shared" si="2"/>
        <v>50.211428571428577</v>
      </c>
    </row>
    <row r="17" spans="1:8" x14ac:dyDescent="0.3">
      <c r="A17" s="67">
        <f t="shared" si="3"/>
        <v>44057</v>
      </c>
      <c r="B17" s="68">
        <f t="shared" si="0"/>
        <v>44057</v>
      </c>
      <c r="C17" s="70">
        <f>IF($H$5="全部",SUMIF('拌客源数据1-8月'!$A:$A,$A17,INDEX('拌客源数据1-8月'!$A:$X,0,MATCH(C$12,'拌客源数据1-8月'!$1:$1,0))),SUMIFS(INDEX('拌客源数据1-8月'!$A:$X,0,MATCH(C$12,'拌客源数据1-8月'!$1:$1,0)),'拌客源数据1-8月'!$A:$A,$A17,'拌客源数据1-8月'!$H:$H,'大厂周报-练习版'!$H$5))</f>
        <v>1011.71</v>
      </c>
      <c r="D17" s="70">
        <f>IF($H$5="全部",SUMIF('拌客源数据1-8月'!$A:$A,$A17,INDEX('拌客源数据1-8月'!$A:$X,0,MATCH(D$12,'拌客源数据1-8月'!$1:$1,0))),SUMIFS(INDEX('拌客源数据1-8月'!$A:$X,0,MATCH(D$12,'拌客源数据1-8月'!$1:$1,0)),'拌客源数据1-8月'!$A:$A,$A17,'拌客源数据1-8月'!$H:$H,'大厂周报-练习版'!$H$5))</f>
        <v>356.41</v>
      </c>
      <c r="E17" s="71">
        <f t="shared" si="1"/>
        <v>0.35228474562868806</v>
      </c>
      <c r="F17" s="70">
        <f>IF($H$5="全部",SUMIF('拌客源数据1-8月'!$A:$A,$A17,INDEX('拌客源数据1-8月'!$A:$X,0,MATCH(F$12,'拌客源数据1-8月'!$1:$1,0))),SUMIFS(INDEX('拌客源数据1-8月'!$A:$X,0,MATCH(F$12,'拌客源数据1-8月'!$1:$1,0)),'拌客源数据1-8月'!$A:$A,$A17,'拌客源数据1-8月'!$H:$H,'大厂周报-练习版'!$H$5))</f>
        <v>18</v>
      </c>
      <c r="G17" s="70">
        <f>IF($H$5="全部",SUMIF('拌客源数据1-8月'!$A:$A,$A17,INDEX('拌客源数据1-8月'!$A:$X,0,MATCH(G$12,'拌客源数据1-8月'!$1:$1,0))),SUMIFS(INDEX('拌客源数据1-8月'!$A:$X,0,MATCH(G$12,'拌客源数据1-8月'!$1:$1,0)),'拌客源数据1-8月'!$A:$A,$A17,'拌客源数据1-8月'!$H:$H,'大厂周报-练习版'!$H$5))</f>
        <v>1</v>
      </c>
      <c r="H17" s="69">
        <f t="shared" si="2"/>
        <v>56.206111111111113</v>
      </c>
    </row>
    <row r="18" spans="1:8" x14ac:dyDescent="0.3">
      <c r="A18" s="67">
        <f t="shared" si="3"/>
        <v>44058</v>
      </c>
      <c r="B18" s="68">
        <f t="shared" si="0"/>
        <v>44058</v>
      </c>
      <c r="C18" s="70">
        <f>IF($H$5="全部",SUMIF('拌客源数据1-8月'!$A:$A,$A18,INDEX('拌客源数据1-8月'!$A:$X,0,MATCH(C$12,'拌客源数据1-8月'!$1:$1,0))),SUMIFS(INDEX('拌客源数据1-8月'!$A:$X,0,MATCH(C$12,'拌客源数据1-8月'!$1:$1,0)),'拌客源数据1-8月'!$A:$A,$A18,'拌客源数据1-8月'!$H:$H,'大厂周报-练习版'!$H$5))</f>
        <v>1139.3499999999999</v>
      </c>
      <c r="D18" s="70">
        <f>IF($H$5="全部",SUMIF('拌客源数据1-8月'!$A:$A,$A18,INDEX('拌客源数据1-8月'!$A:$X,0,MATCH(D$12,'拌客源数据1-8月'!$1:$1,0))),SUMIFS(INDEX('拌客源数据1-8月'!$A:$X,0,MATCH(D$12,'拌客源数据1-8月'!$1:$1,0)),'拌客源数据1-8月'!$A:$A,$A18,'拌客源数据1-8月'!$H:$H,'大厂周报-练习版'!$H$5))</f>
        <v>414.91</v>
      </c>
      <c r="E18" s="71">
        <f t="shared" si="1"/>
        <v>0.36416377759248697</v>
      </c>
      <c r="F18" s="70">
        <f>IF($H$5="全部",SUMIF('拌客源数据1-8月'!$A:$A,$A18,INDEX('拌客源数据1-8月'!$A:$X,0,MATCH(F$12,'拌客源数据1-8月'!$1:$1,0))),SUMIFS(INDEX('拌客源数据1-8月'!$A:$X,0,MATCH(F$12,'拌客源数据1-8月'!$1:$1,0)),'拌客源数据1-8月'!$A:$A,$A18,'拌客源数据1-8月'!$H:$H,'大厂周报-练习版'!$H$5))</f>
        <v>22</v>
      </c>
      <c r="G18" s="70">
        <f>IF($H$5="全部",SUMIF('拌客源数据1-8月'!$A:$A,$A18,INDEX('拌客源数据1-8月'!$A:$X,0,MATCH(G$12,'拌客源数据1-8月'!$1:$1,0))),SUMIFS(INDEX('拌客源数据1-8月'!$A:$X,0,MATCH(G$12,'拌客源数据1-8月'!$1:$1,0)),'拌客源数据1-8月'!$A:$A,$A18,'拌客源数据1-8月'!$H:$H,'大厂周报-练习版'!$H$5))</f>
        <v>0</v>
      </c>
      <c r="H18" s="69">
        <f t="shared" si="2"/>
        <v>51.788636363636357</v>
      </c>
    </row>
    <row r="19" spans="1:8" x14ac:dyDescent="0.3">
      <c r="A19" s="67">
        <f t="shared" si="3"/>
        <v>44059</v>
      </c>
      <c r="B19" s="68">
        <f t="shared" si="0"/>
        <v>44059</v>
      </c>
      <c r="C19" s="70">
        <f>IF($H$5="全部",SUMIF('拌客源数据1-8月'!$A:$A,$A19,INDEX('拌客源数据1-8月'!$A:$X,0,MATCH(C$12,'拌客源数据1-8月'!$1:$1,0))),SUMIFS(INDEX('拌客源数据1-8月'!$A:$X,0,MATCH(C$12,'拌客源数据1-8月'!$1:$1,0)),'拌客源数据1-8月'!$A:$A,$A19,'拌客源数据1-8月'!$H:$H,'大厂周报-练习版'!$H$5))</f>
        <v>1164.02</v>
      </c>
      <c r="D19" s="70">
        <f>IF($H$5="全部",SUMIF('拌客源数据1-8月'!$A:$A,$A19,INDEX('拌客源数据1-8月'!$A:$X,0,MATCH(D$12,'拌客源数据1-8月'!$1:$1,0))),SUMIFS(INDEX('拌客源数据1-8月'!$A:$X,0,MATCH(D$12,'拌客源数据1-8月'!$1:$1,0)),'拌客源数据1-8月'!$A:$A,$A19,'拌客源数据1-8月'!$H:$H,'大厂周报-练习版'!$H$5))</f>
        <v>436.37</v>
      </c>
      <c r="E19" s="71">
        <f t="shared" si="1"/>
        <v>0.37488187488187491</v>
      </c>
      <c r="F19" s="70">
        <f>IF($H$5="全部",SUMIF('拌客源数据1-8月'!$A:$A,$A19,INDEX('拌客源数据1-8月'!$A:$X,0,MATCH(F$12,'拌客源数据1-8月'!$1:$1,0))),SUMIFS(INDEX('拌客源数据1-8月'!$A:$X,0,MATCH(F$12,'拌客源数据1-8月'!$1:$1,0)),'拌客源数据1-8月'!$A:$A,$A19,'拌客源数据1-8月'!$H:$H,'大厂周报-练习版'!$H$5))</f>
        <v>21</v>
      </c>
      <c r="G19" s="70">
        <f>IF($H$5="全部",SUMIF('拌客源数据1-8月'!$A:$A,$A19,INDEX('拌客源数据1-8月'!$A:$X,0,MATCH(G$12,'拌客源数据1-8月'!$1:$1,0))),SUMIFS(INDEX('拌客源数据1-8月'!$A:$X,0,MATCH(G$12,'拌客源数据1-8月'!$1:$1,0)),'拌客源数据1-8月'!$A:$A,$A19,'拌客源数据1-8月'!$H:$H,'大厂周报-练习版'!$H$5))</f>
        <v>1</v>
      </c>
      <c r="H19" s="69">
        <f t="shared" si="2"/>
        <v>55.429523809523808</v>
      </c>
    </row>
    <row r="20" spans="1:8" x14ac:dyDescent="0.3">
      <c r="A20" s="58" t="s">
        <v>72</v>
      </c>
      <c r="C20" s="70">
        <f>SUM(C13:C19)</f>
        <v>8072.68</v>
      </c>
      <c r="D20" s="70">
        <f>SUM(D13:D19)</f>
        <v>2821.92</v>
      </c>
      <c r="E20" s="71">
        <f>D20/C20</f>
        <v>0.34956420915978337</v>
      </c>
      <c r="F20" s="70">
        <f t="shared" ref="F20:G20" si="4">SUM(F13:F19)</f>
        <v>153</v>
      </c>
      <c r="G20" s="70">
        <f t="shared" si="4"/>
        <v>3</v>
      </c>
      <c r="H20" s="69">
        <f t="shared" si="2"/>
        <v>52.762614379084972</v>
      </c>
    </row>
    <row r="23" spans="1:8" x14ac:dyDescent="0.3">
      <c r="A23" s="74" t="s">
        <v>73</v>
      </c>
      <c r="C23" s="58" t="s">
        <v>68</v>
      </c>
    </row>
    <row r="24" spans="1:8" x14ac:dyDescent="0.3">
      <c r="A24" s="80" t="s">
        <v>69</v>
      </c>
      <c r="B24" s="80" t="s">
        <v>70</v>
      </c>
      <c r="C24" s="80" t="s">
        <v>59</v>
      </c>
      <c r="D24" s="80" t="s">
        <v>74</v>
      </c>
      <c r="E24" s="80" t="s">
        <v>60</v>
      </c>
      <c r="F24" s="80" t="s">
        <v>75</v>
      </c>
      <c r="G24" s="80" t="s">
        <v>61</v>
      </c>
      <c r="H24" s="80" t="s">
        <v>76</v>
      </c>
    </row>
    <row r="25" spans="1:8" x14ac:dyDescent="0.3">
      <c r="A25" s="67">
        <f>A13</f>
        <v>44053</v>
      </c>
      <c r="B25" s="68">
        <f>B13</f>
        <v>44053</v>
      </c>
      <c r="C25" s="58">
        <f>IF($H$5="全部",SUMIF('拌客源数据1-8月'!$A:$A,$A25,INDEX('拌客源数据1-8月'!$A:$X,0,MATCH(C$24,'拌客源数据1-8月'!$1:$1,0))),SUMIFS(INDEX('拌客源数据1-8月'!$A:$X,0,MATCH(C$24,'拌客源数据1-8月'!$1:$1,0)),'拌客源数据1-8月'!$A:$A,$A25,'拌客源数据1-8月'!$H:$H,'大厂周报-练习版'!$H$5))</f>
        <v>1372</v>
      </c>
      <c r="D25" s="58">
        <f>IF($H$5="全部",SUMIF('拌客源数据1-8月'!$A:$A,$A25,INDEX('拌客源数据1-8月'!$A:$X,0,MATCH(D$24,'拌客源数据1-8月'!$1:$1,0))),SUMIFS(INDEX('拌客源数据1-8月'!$A:$X,0,MATCH(D$24,'拌客源数据1-8月'!$1:$1,0)),'拌客源数据1-8月'!$A:$A,$A25,'拌客源数据1-8月'!$H:$H,'大厂周报-练习版'!$H$5))</f>
        <v>111</v>
      </c>
      <c r="E25" s="71">
        <f>D25/C25</f>
        <v>8.0903790087463553E-2</v>
      </c>
      <c r="F25" s="58">
        <f>IF($H$5="全部",SUMIF('拌客源数据1-8月'!$A:$A,$A25,INDEX('拌客源数据1-8月'!$A:$X,0,MATCH(F$24,'拌客源数据1-8月'!$1:$1,0))),SUMIFS(INDEX('拌客源数据1-8月'!$A:$X,0,MATCH(F$24,'拌客源数据1-8月'!$1:$1,0)),'拌客源数据1-8月'!$A:$A,$A25,'拌客源数据1-8月'!$H:$H,'大厂周报-练习版'!$H$5))</f>
        <v>26</v>
      </c>
      <c r="G25" s="71">
        <f>F25/D25</f>
        <v>0.23423423423423423</v>
      </c>
      <c r="H25" s="71">
        <f>IF($H$5="全部",SUMIF('拌客源数据1-8月'!$A:$A,$A25,INDEX('拌客源数据1-8月'!$A:$X,0,MATCH("cpc总费用",'拌客源数据1-8月'!$1:$1,0))),SUMIFS(INDEX('拌客源数据1-8月'!$A:$X,0,MATCH("cpc总费用",'拌客源数据1-8月'!$1:$1,0)),'拌客源数据1-8月'!$A:$A,$A25,'拌客源数据1-8月'!$H:$H,'大厂周报-练习版'!$H$5))/$C13</f>
        <v>5.2003094184103961E-2</v>
      </c>
    </row>
    <row r="26" spans="1:8" x14ac:dyDescent="0.3">
      <c r="A26" s="67">
        <f t="shared" ref="A26:B31" si="5">A14</f>
        <v>44054</v>
      </c>
      <c r="B26" s="68">
        <f t="shared" si="5"/>
        <v>44054</v>
      </c>
      <c r="C26" s="58">
        <f>IF($H$5="全部",SUMIF('拌客源数据1-8月'!$A:$A,$A26,INDEX('拌客源数据1-8月'!$A:$X,0,MATCH(C$24,'拌客源数据1-8月'!$1:$1,0))),SUMIFS(INDEX('拌客源数据1-8月'!$A:$X,0,MATCH(C$24,'拌客源数据1-8月'!$1:$1,0)),'拌客源数据1-8月'!$A:$A,$A26,'拌客源数据1-8月'!$H:$H,'大厂周报-练习版'!$H$5))</f>
        <v>1123</v>
      </c>
      <c r="D26" s="58">
        <f>IF($H$5="全部",SUMIF('拌客源数据1-8月'!$A:$A,$A26,INDEX('拌客源数据1-8月'!$A:$X,0,MATCH(D$24,'拌客源数据1-8月'!$1:$1,0))),SUMIFS(INDEX('拌客源数据1-8月'!$A:$X,0,MATCH(D$24,'拌客源数据1-8月'!$1:$1,0)),'拌客源数据1-8月'!$A:$A,$A26,'拌客源数据1-8月'!$H:$H,'大厂周报-练习版'!$H$5))</f>
        <v>97</v>
      </c>
      <c r="E26" s="71">
        <f t="shared" ref="E26:E32" si="6">D26/C26</f>
        <v>8.637577916295637E-2</v>
      </c>
      <c r="F26" s="58">
        <f>IF($H$5="全部",SUMIF('拌客源数据1-8月'!$A:$A,$A26,INDEX('拌客源数据1-8月'!$A:$X,0,MATCH(F$24,'拌客源数据1-8月'!$1:$1,0))),SUMIFS(INDEX('拌客源数据1-8月'!$A:$X,0,MATCH(F$24,'拌客源数据1-8月'!$1:$1,0)),'拌客源数据1-8月'!$A:$A,$A26,'拌客源数据1-8月'!$H:$H,'大厂周报-练习版'!$H$5))</f>
        <v>25</v>
      </c>
      <c r="G26" s="71">
        <f t="shared" ref="G26:G32" si="7">F26/D26</f>
        <v>0.25773195876288657</v>
      </c>
      <c r="H26" s="71">
        <f>IF($H$5="全部",SUMIF('拌客源数据1-8月'!$A:$A,$A26,INDEX('拌客源数据1-8月'!$A:$X,0,MATCH("cpc总费用",'拌客源数据1-8月'!$1:$1,0))),SUMIFS(INDEX('拌客源数据1-8月'!$A:$X,0,MATCH("cpc总费用",'拌客源数据1-8月'!$1:$1,0)),'拌客源数据1-8月'!$A:$A,$A26,'拌客源数据1-8月'!$H:$H,'大厂周报-练习版'!$H$5))/$C14</f>
        <v>6.3850334815193185E-2</v>
      </c>
    </row>
    <row r="27" spans="1:8" x14ac:dyDescent="0.3">
      <c r="A27" s="67">
        <f t="shared" si="5"/>
        <v>44055</v>
      </c>
      <c r="B27" s="68">
        <f t="shared" si="5"/>
        <v>44055</v>
      </c>
      <c r="C27" s="58">
        <f>IF($H$5="全部",SUMIF('拌客源数据1-8月'!$A:$A,$A27,INDEX('拌客源数据1-8月'!$A:$X,0,MATCH(C$24,'拌客源数据1-8月'!$1:$1,0))),SUMIFS(INDEX('拌客源数据1-8月'!$A:$X,0,MATCH(C$24,'拌客源数据1-8月'!$1:$1,0)),'拌客源数据1-8月'!$A:$A,$A27,'拌客源数据1-8月'!$H:$H,'大厂周报-练习版'!$H$5))</f>
        <v>1019</v>
      </c>
      <c r="D27" s="58">
        <f>IF($H$5="全部",SUMIF('拌客源数据1-8月'!$A:$A,$A27,INDEX('拌客源数据1-8月'!$A:$X,0,MATCH(D$24,'拌客源数据1-8月'!$1:$1,0))),SUMIFS(INDEX('拌客源数据1-8月'!$A:$X,0,MATCH(D$24,'拌客源数据1-8月'!$1:$1,0)),'拌客源数据1-8月'!$A:$A,$A27,'拌客源数据1-8月'!$H:$H,'大厂周报-练习版'!$H$5))</f>
        <v>92</v>
      </c>
      <c r="E27" s="71">
        <f t="shared" si="6"/>
        <v>9.0284592737978411E-2</v>
      </c>
      <c r="F27" s="58">
        <f>IF($H$5="全部",SUMIF('拌客源数据1-8月'!$A:$A,$A27,INDEX('拌客源数据1-8月'!$A:$X,0,MATCH(F$24,'拌客源数据1-8月'!$1:$1,0))),SUMIFS(INDEX('拌客源数据1-8月'!$A:$X,0,MATCH(F$24,'拌客源数据1-8月'!$1:$1,0)),'拌客源数据1-8月'!$A:$A,$A27,'拌客源数据1-8月'!$H:$H,'大厂周报-练习版'!$H$5))</f>
        <v>16</v>
      </c>
      <c r="G27" s="71">
        <f t="shared" si="7"/>
        <v>0.17391304347826086</v>
      </c>
      <c r="H27" s="71">
        <f>IF($H$5="全部",SUMIF('拌客源数据1-8月'!$A:$A,$A27,INDEX('拌客源数据1-8月'!$A:$X,0,MATCH("cpc总费用",'拌客源数据1-8月'!$1:$1,0))),SUMIFS(INDEX('拌客源数据1-8月'!$A:$X,0,MATCH("cpc总费用",'拌客源数据1-8月'!$1:$1,0)),'拌客源数据1-8月'!$A:$A,$A27,'拌客源数据1-8月'!$H:$H,'大厂周报-练习版'!$H$5))/$C15</f>
        <v>7.2818195775667324E-2</v>
      </c>
    </row>
    <row r="28" spans="1:8" x14ac:dyDescent="0.3">
      <c r="A28" s="67">
        <f t="shared" si="5"/>
        <v>44056</v>
      </c>
      <c r="B28" s="68">
        <f t="shared" si="5"/>
        <v>44056</v>
      </c>
      <c r="C28" s="58">
        <f>IF($H$5="全部",SUMIF('拌客源数据1-8月'!$A:$A,$A28,INDEX('拌客源数据1-8月'!$A:$X,0,MATCH(C$24,'拌客源数据1-8月'!$1:$1,0))),SUMIFS(INDEX('拌客源数据1-8月'!$A:$X,0,MATCH(C$24,'拌客源数据1-8月'!$1:$1,0)),'拌客源数据1-8月'!$A:$A,$A28,'拌客源数据1-8月'!$H:$H,'大厂周报-练习版'!$H$5))</f>
        <v>1122</v>
      </c>
      <c r="D28" s="58">
        <f>IF($H$5="全部",SUMIF('拌客源数据1-8月'!$A:$A,$A28,INDEX('拌客源数据1-8月'!$A:$X,0,MATCH(D$24,'拌客源数据1-8月'!$1:$1,0))),SUMIFS(INDEX('拌客源数据1-8月'!$A:$X,0,MATCH(D$24,'拌客源数据1-8月'!$1:$1,0)),'拌客源数据1-8月'!$A:$A,$A28,'拌客源数据1-8月'!$H:$H,'大厂周报-练习版'!$H$5))</f>
        <v>87</v>
      </c>
      <c r="E28" s="71">
        <f t="shared" si="6"/>
        <v>7.7540106951871662E-2</v>
      </c>
      <c r="F28" s="58">
        <f>IF($H$5="全部",SUMIF('拌客源数据1-8月'!$A:$A,$A28,INDEX('拌客源数据1-8月'!$A:$X,0,MATCH(F$24,'拌客源数据1-8月'!$1:$1,0))),SUMIFS(INDEX('拌客源数据1-8月'!$A:$X,0,MATCH(F$24,'拌客源数据1-8月'!$1:$1,0)),'拌客源数据1-8月'!$A:$A,$A28,'拌客源数据1-8月'!$H:$H,'大厂周报-练习版'!$H$5))</f>
        <v>21</v>
      </c>
      <c r="G28" s="71">
        <f t="shared" si="7"/>
        <v>0.2413793103448276</v>
      </c>
      <c r="H28" s="71">
        <f>IF($H$5="全部",SUMIF('拌客源数据1-8月'!$A:$A,$A28,INDEX('拌客源数据1-8月'!$A:$X,0,MATCH("cpc总费用",'拌客源数据1-8月'!$1:$1,0))),SUMIFS(INDEX('拌客源数据1-8月'!$A:$X,0,MATCH("cpc总费用",'拌客源数据1-8月'!$1:$1,0)),'拌客源数据1-8月'!$A:$A,$A28,'拌客源数据1-8月'!$H:$H,'大厂周报-练习版'!$H$5))/$C16</f>
        <v>5.5726262281400547E-2</v>
      </c>
    </row>
    <row r="29" spans="1:8" x14ac:dyDescent="0.3">
      <c r="A29" s="67">
        <f t="shared" si="5"/>
        <v>44057</v>
      </c>
      <c r="B29" s="68">
        <f t="shared" si="5"/>
        <v>44057</v>
      </c>
      <c r="C29" s="58">
        <f>IF($H$5="全部",SUMIF('拌客源数据1-8月'!$A:$A,$A29,INDEX('拌客源数据1-8月'!$A:$X,0,MATCH(C$24,'拌客源数据1-8月'!$1:$1,0))),SUMIFS(INDEX('拌客源数据1-8月'!$A:$X,0,MATCH(C$24,'拌客源数据1-8月'!$1:$1,0)),'拌客源数据1-8月'!$A:$A,$A29,'拌客源数据1-8月'!$H:$H,'大厂周报-练习版'!$H$5))</f>
        <v>1281</v>
      </c>
      <c r="D29" s="58">
        <f>IF($H$5="全部",SUMIF('拌客源数据1-8月'!$A:$A,$A29,INDEX('拌客源数据1-8月'!$A:$X,0,MATCH(D$24,'拌客源数据1-8月'!$1:$1,0))),SUMIFS(INDEX('拌客源数据1-8月'!$A:$X,0,MATCH(D$24,'拌客源数据1-8月'!$1:$1,0)),'拌客源数据1-8月'!$A:$A,$A29,'拌客源数据1-8月'!$H:$H,'大厂周报-练习版'!$H$5))</f>
        <v>94</v>
      </c>
      <c r="E29" s="71">
        <f t="shared" si="6"/>
        <v>7.3380171740827477E-2</v>
      </c>
      <c r="F29" s="58">
        <f>IF($H$5="全部",SUMIF('拌客源数据1-8月'!$A:$A,$A29,INDEX('拌客源数据1-8月'!$A:$X,0,MATCH(F$24,'拌客源数据1-8月'!$1:$1,0))),SUMIFS(INDEX('拌客源数据1-8月'!$A:$X,0,MATCH(F$24,'拌客源数据1-8月'!$1:$1,0)),'拌客源数据1-8月'!$A:$A,$A29,'拌客源数据1-8月'!$H:$H,'大厂周报-练习版'!$H$5))</f>
        <v>18</v>
      </c>
      <c r="G29" s="71">
        <f t="shared" si="7"/>
        <v>0.19148936170212766</v>
      </c>
      <c r="H29" s="71">
        <f>IF($H$5="全部",SUMIF('拌客源数据1-8月'!$A:$A,$A29,INDEX('拌客源数据1-8月'!$A:$X,0,MATCH("cpc总费用",'拌客源数据1-8月'!$1:$1,0))),SUMIFS(INDEX('拌客源数据1-8月'!$A:$X,0,MATCH("cpc总费用",'拌客源数据1-8月'!$1:$1,0)),'拌客源数据1-8月'!$A:$A,$A29,'拌客源数据1-8月'!$H:$H,'大厂周报-练习版'!$H$5))/$C17</f>
        <v>6.6105899912030114E-2</v>
      </c>
    </row>
    <row r="30" spans="1:8" x14ac:dyDescent="0.3">
      <c r="A30" s="67">
        <f t="shared" si="5"/>
        <v>44058</v>
      </c>
      <c r="B30" s="68">
        <f t="shared" si="5"/>
        <v>44058</v>
      </c>
      <c r="C30" s="58">
        <f>IF($H$5="全部",SUMIF('拌客源数据1-8月'!$A:$A,$A30,INDEX('拌客源数据1-8月'!$A:$X,0,MATCH(C$24,'拌客源数据1-8月'!$1:$1,0))),SUMIFS(INDEX('拌客源数据1-8月'!$A:$X,0,MATCH(C$24,'拌客源数据1-8月'!$1:$1,0)),'拌客源数据1-8月'!$A:$A,$A30,'拌客源数据1-8月'!$H:$H,'大厂周报-练习版'!$H$5))</f>
        <v>1467</v>
      </c>
      <c r="D30" s="58">
        <f>IF($H$5="全部",SUMIF('拌客源数据1-8月'!$A:$A,$A30,INDEX('拌客源数据1-8月'!$A:$X,0,MATCH(D$24,'拌客源数据1-8月'!$1:$1,0))),SUMIFS(INDEX('拌客源数据1-8月'!$A:$X,0,MATCH(D$24,'拌客源数据1-8月'!$1:$1,0)),'拌客源数据1-8月'!$A:$A,$A30,'拌客源数据1-8月'!$H:$H,'大厂周报-练习版'!$H$5))</f>
        <v>109</v>
      </c>
      <c r="E30" s="71">
        <f t="shared" si="6"/>
        <v>7.4301295160190864E-2</v>
      </c>
      <c r="F30" s="58">
        <f>IF($H$5="全部",SUMIF('拌客源数据1-8月'!$A:$A,$A30,INDEX('拌客源数据1-8月'!$A:$X,0,MATCH(F$24,'拌客源数据1-8月'!$1:$1,0))),SUMIFS(INDEX('拌客源数据1-8月'!$A:$X,0,MATCH(F$24,'拌客源数据1-8月'!$1:$1,0)),'拌客源数据1-8月'!$A:$A,$A30,'拌客源数据1-8月'!$H:$H,'大厂周报-练习版'!$H$5))</f>
        <v>22</v>
      </c>
      <c r="G30" s="71">
        <f t="shared" si="7"/>
        <v>0.20183486238532111</v>
      </c>
      <c r="H30" s="71">
        <f>IF($H$5="全部",SUMIF('拌客源数据1-8月'!$A:$A,$A30,INDEX('拌客源数据1-8月'!$A:$X,0,MATCH("cpc总费用",'拌客源数据1-8月'!$1:$1,0))),SUMIFS(INDEX('拌客源数据1-8月'!$A:$X,0,MATCH("cpc总费用",'拌客源数据1-8月'!$1:$1,0)),'拌客源数据1-8月'!$A:$A,$A30,'拌客源数据1-8月'!$H:$H,'大厂周报-练习版'!$H$5))/$C18</f>
        <v>6.6994338877430115E-2</v>
      </c>
    </row>
    <row r="31" spans="1:8" x14ac:dyDescent="0.3">
      <c r="A31" s="67">
        <f t="shared" si="5"/>
        <v>44059</v>
      </c>
      <c r="B31" s="68">
        <f t="shared" si="5"/>
        <v>44059</v>
      </c>
      <c r="C31" s="58">
        <f>IF($H$5="全部",SUMIF('拌客源数据1-8月'!$A:$A,$A31,INDEX('拌客源数据1-8月'!$A:$X,0,MATCH(C$24,'拌客源数据1-8月'!$1:$1,0))),SUMIFS(INDEX('拌客源数据1-8月'!$A:$X,0,MATCH(C$24,'拌客源数据1-8月'!$1:$1,0)),'拌客源数据1-8月'!$A:$A,$A31,'拌客源数据1-8月'!$H:$H,'大厂周报-练习版'!$H$5))</f>
        <v>1432</v>
      </c>
      <c r="D31" s="58">
        <f>IF($H$5="全部",SUMIF('拌客源数据1-8月'!$A:$A,$A31,INDEX('拌客源数据1-8月'!$A:$X,0,MATCH(D$24,'拌客源数据1-8月'!$1:$1,0))),SUMIFS(INDEX('拌客源数据1-8月'!$A:$X,0,MATCH(D$24,'拌客源数据1-8月'!$1:$1,0)),'拌客源数据1-8月'!$A:$A,$A31,'拌客源数据1-8月'!$H:$H,'大厂周报-练习版'!$H$5))</f>
        <v>100</v>
      </c>
      <c r="E31" s="71">
        <f t="shared" si="6"/>
        <v>6.9832402234636867E-2</v>
      </c>
      <c r="F31" s="58">
        <f>IF($H$5="全部",SUMIF('拌客源数据1-8月'!$A:$A,$A31,INDEX('拌客源数据1-8月'!$A:$X,0,MATCH(F$24,'拌客源数据1-8月'!$1:$1,0))),SUMIFS(INDEX('拌客源数据1-8月'!$A:$X,0,MATCH(F$24,'拌客源数据1-8月'!$1:$1,0)),'拌客源数据1-8月'!$A:$A,$A31,'拌客源数据1-8月'!$H:$H,'大厂周报-练习版'!$H$5))</f>
        <v>20</v>
      </c>
      <c r="G31" s="71">
        <f t="shared" si="7"/>
        <v>0.2</v>
      </c>
      <c r="H31" s="71">
        <f>IF($H$5="全部",SUMIF('拌客源数据1-8月'!$A:$A,$A31,INDEX('拌客源数据1-8月'!$A:$X,0,MATCH("cpc总费用",'拌客源数据1-8月'!$1:$1,0))),SUMIFS(INDEX('拌客源数据1-8月'!$A:$X,0,MATCH("cpc总费用",'拌客源数据1-8月'!$1:$1,0)),'拌客源数据1-8月'!$A:$A,$A31,'拌客源数据1-8月'!$H:$H,'大厂周报-练习版'!$H$5))/$C19</f>
        <v>4.0497585952131411E-2</v>
      </c>
    </row>
    <row r="32" spans="1:8" x14ac:dyDescent="0.3">
      <c r="A32" s="58" t="s">
        <v>72</v>
      </c>
      <c r="B32" s="68"/>
      <c r="C32" s="58">
        <f>SUM(C25:C31)</f>
        <v>8816</v>
      </c>
      <c r="D32" s="58">
        <f>SUM(D25:D31)</f>
        <v>690</v>
      </c>
      <c r="E32" s="71">
        <f t="shared" si="6"/>
        <v>7.8266787658802184E-2</v>
      </c>
      <c r="F32" s="58">
        <f>SUM(F25:F31)</f>
        <v>148</v>
      </c>
      <c r="G32" s="71">
        <f t="shared" si="7"/>
        <v>0.2144927536231884</v>
      </c>
      <c r="H32" s="71">
        <f>IF($H$5="全部",SUMIFS(INDEX('拌客源数据1-8月'!$A:$X,0,MATCH("cpc总费用",'拌客源数据1-8月'!$1:$1,0)),'拌客源数据1-8月'!$A:$A,"&gt;="&amp;A25,'拌客源数据1-8月'!$A:$A,"&lt;="&amp;A31),SUMIFS(INDEX('拌客源数据1-8月'!$A:$X,0,MATCH("cpc总费用",'拌客源数据1-8月'!$1:$1,0)),'拌客源数据1-8月'!$A:$A,"&gt;="&amp;A25,'拌客源数据1-8月'!$A:$A,"&lt;="&amp;A31,'拌客源数据1-8月'!$H:$H,'大厂周报-练习版'!$H$5))/$C20</f>
        <v>5.8903610696819396E-2</v>
      </c>
    </row>
  </sheetData>
  <mergeCells count="3">
    <mergeCell ref="A2:H3"/>
    <mergeCell ref="G6:H6"/>
    <mergeCell ref="G7:H7"/>
  </mergeCells>
  <phoneticPr fontId="18" type="noConversion"/>
  <conditionalFormatting sqref="A13:H19">
    <cfRule type="expression" dxfId="6" priority="1">
      <formula>$C13&lt;AVERAGE($C$13:$C$19)</formula>
    </cfRule>
  </conditionalFormatting>
  <conditionalFormatting sqref="B8">
    <cfRule type="cellIs" dxfId="5" priority="3" operator="lessThanOrEqual">
      <formula>0</formula>
    </cfRule>
    <cfRule type="cellIs" dxfId="4" priority="4" operator="greaterThan">
      <formula>0</formula>
    </cfRule>
  </conditionalFormatting>
  <conditionalFormatting sqref="D8">
    <cfRule type="cellIs" dxfId="3" priority="6" operator="lessThanOrEqual">
      <formula>0</formula>
    </cfRule>
    <cfRule type="cellIs" dxfId="2" priority="7" operator="greaterThan">
      <formula>0</formula>
    </cfRule>
  </conditionalFormatting>
  <conditionalFormatting sqref="F8">
    <cfRule type="cellIs" dxfId="1" priority="9" operator="lessThanOrEqual">
      <formula>0</formula>
    </cfRule>
    <cfRule type="cellIs" dxfId="0" priority="10" operator="greaterThan">
      <formula>0</formula>
    </cfRule>
  </conditionalFormatting>
  <conditionalFormatting sqref="G7">
    <cfRule type="dataBar" priority="1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{5C7571B7-24AD-4603-BFB3-FB21DC988F83}</x14:id>
        </ext>
      </extLst>
    </cfRule>
  </conditionalFormatting>
  <dataValidations count="1">
    <dataValidation type="list" allowBlank="1" showInputMessage="1" showErrorMessage="1" sqref="H5" xr:uid="{4EC29698-3565-4BCE-B560-4FA287070320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2BB7B7A-D1CA-4D5B-B566-1645B3CD238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B8</xm:sqref>
        </x14:conditionalFormatting>
        <x14:conditionalFormatting xmlns:xm="http://schemas.microsoft.com/office/excel/2006/main">
          <x14:cfRule type="iconSet" priority="5" id="{AEF7379D-8219-4814-8F30-90998C0151D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D8</xm:sqref>
        </x14:conditionalFormatting>
        <x14:conditionalFormatting xmlns:xm="http://schemas.microsoft.com/office/excel/2006/main">
          <x14:cfRule type="iconSet" priority="8" id="{8A2BDE70-78EC-4CBF-BB36-10EA998C7BF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F8</xm:sqref>
        </x14:conditionalFormatting>
        <x14:conditionalFormatting xmlns:xm="http://schemas.microsoft.com/office/excel/2006/main">
          <x14:cfRule type="dataBar" id="{5C7571B7-24AD-4603-BFB3-FB21DC988F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87077E8-8BF4-41E1-B306-4B30E0079A41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'大厂周报-练习版'!C25:C31</xm:f>
              <xm:sqref>B6</xm:sqref>
            </x14:sparkline>
          </x14:sparklines>
        </x14:sparklineGroup>
        <x14:sparklineGroup displayEmptyCellsAs="gap" markers="1" xr2:uid="{97AE0469-B807-4688-B3E9-9EE00F2862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7AE13209-A35A-47E3-BF18-CD569998D3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D577-10EB-4F43-ABF4-5209C9115124}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49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49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49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49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49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49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49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4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数据透视表-my</vt:lpstr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数据备份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1340305556@qq.com</cp:lastModifiedBy>
  <dcterms:created xsi:type="dcterms:W3CDTF">2021-06-18T07:16:56Z</dcterms:created>
  <dcterms:modified xsi:type="dcterms:W3CDTF">2024-03-29T10:37:59Z</dcterms:modified>
</cp:coreProperties>
</file>