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Zach\Desktop\"/>
    </mc:Choice>
  </mc:AlternateContent>
  <xr:revisionPtr revIDLastSave="0" documentId="13_ncr:1_{4B6F17C9-A427-4AA9-AFCB-E8D7BB544A6D}" xr6:coauthVersionLast="32" xr6:coauthVersionMax="32" xr10:uidLastSave="{00000000-0000-0000-0000-000000000000}"/>
  <bookViews>
    <workbookView xWindow="0" yWindow="0" windowWidth="25560" windowHeight="15555" xr2:uid="{00000000-000D-0000-FFFF-FFFF00000000}"/>
  </bookViews>
  <sheets>
    <sheet name="Sheet1" sheetId="1" r:id="rId1"/>
    <sheet name="Sheet2" sheetId="2" r:id="rId2"/>
    <sheet name="Sheet3" sheetId="3" r:id="rId3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7" i="1" l="1"/>
  <c r="B44" i="1"/>
  <c r="C44" i="1"/>
  <c r="F44" i="1"/>
  <c r="G44" i="1"/>
  <c r="A47" i="1"/>
  <c r="B47" i="1"/>
  <c r="D44" i="1"/>
  <c r="A44" i="1"/>
  <c r="E44" i="1"/>
  <c r="F23" i="1"/>
  <c r="E23" i="1"/>
  <c r="C23" i="1"/>
  <c r="D23" i="1"/>
  <c r="F15" i="1"/>
  <c r="B41" i="1"/>
  <c r="A29" i="1"/>
  <c r="C31" i="1"/>
  <c r="A34" i="1"/>
  <c r="B34" i="1"/>
  <c r="A41" i="1"/>
  <c r="C41" i="1"/>
  <c r="F17" i="1"/>
  <c r="D41" i="1"/>
  <c r="E41" i="1"/>
  <c r="D31" i="1"/>
  <c r="E31" i="1"/>
  <c r="G31" i="1"/>
  <c r="D36" i="1"/>
  <c r="F38" i="1"/>
  <c r="D34" i="1"/>
  <c r="E34" i="1"/>
  <c r="F31" i="1"/>
  <c r="F34" i="1"/>
  <c r="G34" i="1"/>
  <c r="F41" i="1"/>
  <c r="D37" i="1"/>
  <c r="D35" i="1"/>
  <c r="D38" i="1"/>
  <c r="C34" i="1"/>
  <c r="F24" i="1"/>
</calcChain>
</file>

<file path=xl/sharedStrings.xml><?xml version="1.0" encoding="utf-8"?>
<sst xmlns="http://schemas.openxmlformats.org/spreadsheetml/2006/main" count="78" uniqueCount="73">
  <si>
    <t>Air Properties</t>
  </si>
  <si>
    <t>T</t>
  </si>
  <si>
    <t>cp</t>
  </si>
  <si>
    <t>mu</t>
  </si>
  <si>
    <t>k</t>
  </si>
  <si>
    <t>Pr</t>
  </si>
  <si>
    <t>rho</t>
  </si>
  <si>
    <t>Water Properties</t>
  </si>
  <si>
    <t>Height</t>
  </si>
  <si>
    <t>Tube length</t>
  </si>
  <si>
    <t>Max HE Length</t>
  </si>
  <si>
    <t>Th,o min</t>
  </si>
  <si>
    <t>S_T</t>
  </si>
  <si>
    <t>S_L</t>
  </si>
  <si>
    <t>N_T</t>
  </si>
  <si>
    <t>K pipe</t>
  </si>
  <si>
    <t>Tci</t>
  </si>
  <si>
    <t>Tco</t>
  </si>
  <si>
    <t>Mdot_c</t>
  </si>
  <si>
    <t>Di</t>
  </si>
  <si>
    <t>Do</t>
  </si>
  <si>
    <t>q</t>
  </si>
  <si>
    <t>Thi</t>
  </si>
  <si>
    <t>Assume Tho</t>
  </si>
  <si>
    <t>Givens:</t>
  </si>
  <si>
    <t>Cold Water Flow:</t>
  </si>
  <si>
    <t>assumed N_L</t>
  </si>
  <si>
    <t>Re</t>
  </si>
  <si>
    <t>FF</t>
  </si>
  <si>
    <t>NU</t>
  </si>
  <si>
    <t>if&lt;2300</t>
  </si>
  <si>
    <t>Hot Gas Flow:</t>
  </si>
  <si>
    <t>Tm</t>
  </si>
  <si>
    <t>Tm(actual)</t>
  </si>
  <si>
    <t>Cp</t>
  </si>
  <si>
    <t>pr</t>
  </si>
  <si>
    <t>Interpolated Values:</t>
  </si>
  <si>
    <t>Mdot_h</t>
  </si>
  <si>
    <t>Th_o</t>
  </si>
  <si>
    <t>rho*Vmax</t>
  </si>
  <si>
    <t>h_c</t>
  </si>
  <si>
    <t>h_h</t>
  </si>
  <si>
    <t>Sd=</t>
  </si>
  <si>
    <t>V=</t>
  </si>
  <si>
    <t>A1</t>
  </si>
  <si>
    <t>A2</t>
  </si>
  <si>
    <t>(S_T+D)/2</t>
  </si>
  <si>
    <t>Vmax</t>
  </si>
  <si>
    <t>Cmin</t>
  </si>
  <si>
    <t>Cmax</t>
  </si>
  <si>
    <t>Cr</t>
  </si>
  <si>
    <t>Qmax</t>
  </si>
  <si>
    <t>NTU</t>
  </si>
  <si>
    <t>C_h</t>
  </si>
  <si>
    <t>C_c</t>
  </si>
  <si>
    <t>Ain</t>
  </si>
  <si>
    <t>Aout</t>
  </si>
  <si>
    <t>Rt,cond</t>
  </si>
  <si>
    <t>U</t>
  </si>
  <si>
    <t>Area,o</t>
  </si>
  <si>
    <t>N_L</t>
  </si>
  <si>
    <t>efficientcy</t>
  </si>
  <si>
    <t>Rt,conv,h</t>
  </si>
  <si>
    <t>Rt,conv,c</t>
  </si>
  <si>
    <t>Rt,total</t>
  </si>
  <si>
    <t>Length of HE</t>
  </si>
  <si>
    <r>
      <t>ṁ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(kg/s)</t>
    </r>
  </si>
  <si>
    <r>
      <t>ṁ</t>
    </r>
    <r>
      <rPr>
        <vertAlign val="subscript"/>
        <sz val="11"/>
        <color theme="1"/>
        <rFont val="Calibri"/>
        <family val="2"/>
        <scheme val="minor"/>
      </rPr>
      <t xml:space="preserve">h </t>
    </r>
    <r>
      <rPr>
        <sz val="11"/>
        <color theme="1"/>
        <rFont val="Calibri"/>
        <family val="2"/>
        <scheme val="minor"/>
      </rPr>
      <t>(kg/s)</t>
    </r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</si>
  <si>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ho </t>
    </r>
    <r>
      <rPr>
        <sz val="11"/>
        <color theme="1"/>
        <rFont val="Calibri"/>
        <family val="2"/>
        <scheme val="minor"/>
      </rPr>
      <t>(°C)</t>
    </r>
  </si>
  <si>
    <r>
      <t>N</t>
    </r>
    <r>
      <rPr>
        <vertAlign val="subscript"/>
        <sz val="11"/>
        <color theme="1"/>
        <rFont val="Calibri"/>
        <family val="2"/>
        <scheme val="minor"/>
      </rPr>
      <t xml:space="preserve">L </t>
    </r>
    <r>
      <rPr>
        <sz val="11"/>
        <color theme="1"/>
        <rFont val="Calibri"/>
        <family val="2"/>
        <scheme val="minor"/>
      </rPr>
      <t>(#)</t>
    </r>
  </si>
  <si>
    <t>L (m)</t>
  </si>
  <si>
    <t xml:space="preserve"> </t>
  </si>
  <si>
    <t>Results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</si>
</sst>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4506668294322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rgb="FF7F7F7F"/>
      </right>
      <top style="medium">
        <color auto="1"/>
      </top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medium">
        <color auto="1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thin">
        <color rgb="FF7F7F7F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6" fillId="0" borderId="0" xfId="0" applyFont="1"/>
    <xf numFmtId="0" fontId="0" fillId="0" borderId="0" xfId="0" applyAlignment="1"/>
    <xf numFmtId="0" fontId="7" fillId="0" borderId="0" xfId="0" applyFont="1" applyAlignment="1"/>
    <xf numFmtId="0" fontId="5" fillId="5" borderId="2" xfId="4" applyBorder="1"/>
    <xf numFmtId="0" fontId="5" fillId="5" borderId="18" xfId="4" applyBorder="1"/>
    <xf numFmtId="0" fontId="5" fillId="5" borderId="19" xfId="4" applyBorder="1"/>
    <xf numFmtId="0" fontId="0" fillId="0" borderId="0" xfId="0" applyBorder="1"/>
    <xf numFmtId="0" fontId="1" fillId="7" borderId="5" xfId="6" applyBorder="1"/>
    <xf numFmtId="0" fontId="1" fillId="7" borderId="20" xfId="6" applyBorder="1"/>
    <xf numFmtId="0" fontId="1" fillId="7" borderId="6" xfId="6" applyBorder="1"/>
    <xf numFmtId="0" fontId="1" fillId="7" borderId="7" xfId="6" applyBorder="1"/>
    <xf numFmtId="0" fontId="1" fillId="7" borderId="21" xfId="6" applyBorder="1"/>
    <xf numFmtId="0" fontId="1" fillId="7" borderId="8" xfId="6" applyBorder="1"/>
    <xf numFmtId="0" fontId="0" fillId="0" borderId="5" xfId="0" applyBorder="1"/>
    <xf numFmtId="0" fontId="0" fillId="0" borderId="20" xfId="0" applyBorder="1"/>
    <xf numFmtId="0" fontId="0" fillId="0" borderId="6" xfId="0" applyBorder="1"/>
    <xf numFmtId="0" fontId="0" fillId="0" borderId="22" xfId="0" applyBorder="1"/>
    <xf numFmtId="0" fontId="0" fillId="0" borderId="13" xfId="0" applyBorder="1"/>
    <xf numFmtId="0" fontId="0" fillId="0" borderId="7" xfId="0" applyBorder="1"/>
    <xf numFmtId="0" fontId="0" fillId="0" borderId="21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8" borderId="0" xfId="0" applyFill="1"/>
    <xf numFmtId="0" fontId="5" fillId="5" borderId="14" xfId="4" applyBorder="1" applyAlignment="1">
      <alignment horizontal="center"/>
    </xf>
    <xf numFmtId="0" fontId="5" fillId="5" borderId="15" xfId="4" applyBorder="1" applyAlignment="1">
      <alignment horizontal="center"/>
    </xf>
    <xf numFmtId="0" fontId="5" fillId="5" borderId="16" xfId="4" applyBorder="1" applyAlignment="1">
      <alignment horizontal="center"/>
    </xf>
    <xf numFmtId="0" fontId="5" fillId="5" borderId="17" xfId="4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10" borderId="2" xfId="1" applyFont="1" applyFill="1" applyBorder="1"/>
    <xf numFmtId="0" fontId="11" fillId="11" borderId="2" xfId="3" applyFont="1" applyFill="1" applyBorder="1"/>
    <xf numFmtId="0" fontId="1" fillId="12" borderId="2" xfId="2" applyFont="1" applyFill="1" applyBorder="1"/>
    <xf numFmtId="0" fontId="0" fillId="9" borderId="2" xfId="5" applyFont="1" applyFill="1" applyBorder="1"/>
    <xf numFmtId="0" fontId="6" fillId="9" borderId="5" xfId="5" applyFont="1" applyFill="1" applyBorder="1" applyAlignment="1">
      <alignment horizontal="center"/>
    </xf>
    <xf numFmtId="0" fontId="6" fillId="9" borderId="20" xfId="5" applyFont="1" applyFill="1" applyBorder="1" applyAlignment="1">
      <alignment horizontal="center"/>
    </xf>
    <xf numFmtId="0" fontId="6" fillId="9" borderId="6" xfId="5" applyFont="1" applyFill="1" applyBorder="1" applyAlignment="1">
      <alignment horizontal="center"/>
    </xf>
    <xf numFmtId="0" fontId="1" fillId="0" borderId="2" xfId="1" applyFont="1" applyFill="1" applyBorder="1"/>
    <xf numFmtId="0" fontId="1" fillId="0" borderId="2" xfId="2" applyFont="1" applyFill="1" applyBorder="1"/>
    <xf numFmtId="0" fontId="1" fillId="0" borderId="2" xfId="3" applyFont="1" applyFill="1" applyBorder="1"/>
  </cellXfs>
  <cellStyles count="9">
    <cellStyle name="40% - Accent1" xfId="5" builtinId="31"/>
    <cellStyle name="40% - Accent4" xfId="6" builtinId="43"/>
    <cellStyle name="Bad" xfId="2" builtinId="27"/>
    <cellStyle name="Followed Hyperlink" xfId="8" builtinId="9" hidden="1"/>
    <cellStyle name="Good" xfId="1" builtinId="26"/>
    <cellStyle name="Hyperlink" xfId="7" builtinId="8" hidden="1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Mdot,c=50kg/s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Temperature</c:v>
          </c:tx>
          <c:xVal>
            <c:numRef>
              <c:f>Sheet1!$L$44:$L$46</c:f>
              <c:numCache>
                <c:formatCode>General</c:formatCode>
                <c:ptCount val="3"/>
                <c:pt idx="0">
                  <c:v>59.656999999999996</c:v>
                </c:pt>
                <c:pt idx="1">
                  <c:v>74.233000000000004</c:v>
                </c:pt>
                <c:pt idx="2">
                  <c:v>117.968</c:v>
                </c:pt>
              </c:numCache>
            </c:numRef>
          </c:xVal>
          <c:yVal>
            <c:numRef>
              <c:f>Sheet1!$M$44:$M$46</c:f>
              <c:numCache>
                <c:formatCode>General</c:formatCode>
                <c:ptCount val="3"/>
                <c:pt idx="0">
                  <c:v>500</c:v>
                </c:pt>
                <c:pt idx="1">
                  <c:v>540</c:v>
                </c:pt>
                <c:pt idx="2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2A-4C84-93A7-2157B9872A41}"/>
            </c:ext>
          </c:extLst>
        </c:ser>
        <c:ser>
          <c:idx val="1"/>
          <c:order val="1"/>
          <c:tx>
            <c:v>N_L</c:v>
          </c:tx>
          <c:xVal>
            <c:numRef>
              <c:f>Sheet1!$L$44:$L$46</c:f>
              <c:numCache>
                <c:formatCode>General</c:formatCode>
                <c:ptCount val="3"/>
                <c:pt idx="0">
                  <c:v>59.656999999999996</c:v>
                </c:pt>
                <c:pt idx="1">
                  <c:v>74.233000000000004</c:v>
                </c:pt>
                <c:pt idx="2">
                  <c:v>117.968</c:v>
                </c:pt>
              </c:numCache>
            </c:numRef>
          </c:xVal>
          <c:yVal>
            <c:numRef>
              <c:f>Sheet1!$N$44:$N$46</c:f>
              <c:numCache>
                <c:formatCode>General</c:formatCode>
                <c:ptCount val="3"/>
                <c:pt idx="0">
                  <c:v>46</c:v>
                </c:pt>
                <c:pt idx="1">
                  <c:v>36</c:v>
                </c:pt>
                <c:pt idx="2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2A-4C84-93A7-2157B9872A41}"/>
            </c:ext>
          </c:extLst>
        </c:ser>
        <c:ser>
          <c:idx val="2"/>
          <c:order val="2"/>
          <c:tx>
            <c:v>Heat Exchanger Length</c:v>
          </c:tx>
          <c:xVal>
            <c:numRef>
              <c:f>Sheet1!$L$44:$L$46</c:f>
              <c:numCache>
                <c:formatCode>General</c:formatCode>
                <c:ptCount val="3"/>
                <c:pt idx="0">
                  <c:v>59.656999999999996</c:v>
                </c:pt>
                <c:pt idx="1">
                  <c:v>74.233000000000004</c:v>
                </c:pt>
                <c:pt idx="2">
                  <c:v>117.968</c:v>
                </c:pt>
              </c:numCache>
            </c:numRef>
          </c:xVal>
          <c:yVal>
            <c:numRef>
              <c:f>Sheet1!$O$44:$O$46</c:f>
              <c:numCache>
                <c:formatCode>General</c:formatCode>
                <c:ptCount val="3"/>
                <c:pt idx="0">
                  <c:v>1.8355999999999999</c:v>
                </c:pt>
                <c:pt idx="1">
                  <c:v>1.427</c:v>
                </c:pt>
                <c:pt idx="2">
                  <c:v>0.93899999999999995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2A-4C84-93A7-2157B9872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743480"/>
        <c:axId val="2127750328"/>
      </c:scatterChart>
      <c:valAx>
        <c:axId val="212774348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Mdot,h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7750328"/>
        <c:crosses val="autoZero"/>
        <c:crossBetween val="midCat"/>
      </c:valAx>
      <c:valAx>
        <c:axId val="2127750328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Temp,N_L,Length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7743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350410968365793"/>
          <c:y val="0.33706770524652163"/>
          <c:w val="0.18831589307915458"/>
          <c:h val="0.4244576524708604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Mdot,c=60kg/s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Temperature</c:v>
          </c:tx>
          <c:xVal>
            <c:numRef>
              <c:f>Sheet1!$L$47:$L$49</c:f>
              <c:numCache>
                <c:formatCode>General</c:formatCode>
                <c:ptCount val="3"/>
                <c:pt idx="0">
                  <c:v>71.588999999999999</c:v>
                </c:pt>
                <c:pt idx="1">
                  <c:v>94.91</c:v>
                </c:pt>
                <c:pt idx="2">
                  <c:v>141.56200000000001</c:v>
                </c:pt>
              </c:numCache>
            </c:numRef>
          </c:xVal>
          <c:yVal>
            <c:numRef>
              <c:f>Sheet1!$M$47:$M$49</c:f>
              <c:numCache>
                <c:formatCode>General</c:formatCode>
                <c:ptCount val="3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22-4849-9478-3D1DDE98AA24}"/>
            </c:ext>
          </c:extLst>
        </c:ser>
        <c:ser>
          <c:idx val="1"/>
          <c:order val="1"/>
          <c:tx>
            <c:v>N_L</c:v>
          </c:tx>
          <c:xVal>
            <c:numRef>
              <c:f>Sheet1!$L$47:$L$49</c:f>
              <c:numCache>
                <c:formatCode>General</c:formatCode>
                <c:ptCount val="3"/>
                <c:pt idx="0">
                  <c:v>71.588999999999999</c:v>
                </c:pt>
                <c:pt idx="1">
                  <c:v>94.91</c:v>
                </c:pt>
                <c:pt idx="2">
                  <c:v>141.56200000000001</c:v>
                </c:pt>
              </c:numCache>
            </c:numRef>
          </c:xVal>
          <c:yVal>
            <c:numRef>
              <c:f>Sheet1!$N$47:$N$49</c:f>
              <c:numCache>
                <c:formatCode>General</c:formatCode>
                <c:ptCount val="3"/>
                <c:pt idx="0">
                  <c:v>50</c:v>
                </c:pt>
                <c:pt idx="1">
                  <c:v>36</c:v>
                </c:pt>
                <c:pt idx="2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22-4849-9478-3D1DDE98AA24}"/>
            </c:ext>
          </c:extLst>
        </c:ser>
        <c:ser>
          <c:idx val="2"/>
          <c:order val="2"/>
          <c:tx>
            <c:v>Length</c:v>
          </c:tx>
          <c:xVal>
            <c:numRef>
              <c:f>Sheet1!$L$47:$L$49</c:f>
              <c:numCache>
                <c:formatCode>General</c:formatCode>
                <c:ptCount val="3"/>
                <c:pt idx="0">
                  <c:v>71.588999999999999</c:v>
                </c:pt>
                <c:pt idx="1">
                  <c:v>94.91</c:v>
                </c:pt>
                <c:pt idx="2">
                  <c:v>141.56200000000001</c:v>
                </c:pt>
              </c:numCache>
            </c:numRef>
          </c:xVal>
          <c:yVal>
            <c:numRef>
              <c:f>Sheet1!$O$47:$O$49</c:f>
              <c:numCache>
                <c:formatCode>General</c:formatCode>
                <c:ptCount val="3"/>
                <c:pt idx="0">
                  <c:v>1.9826999999999999</c:v>
                </c:pt>
                <c:pt idx="1">
                  <c:v>1.4409000000000001</c:v>
                </c:pt>
                <c:pt idx="2">
                  <c:v>1.0163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22-4849-9478-3D1DDE98A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820520"/>
        <c:axId val="2127826008"/>
      </c:scatterChart>
      <c:valAx>
        <c:axId val="212782052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Mdot,h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7826008"/>
        <c:crosses val="autoZero"/>
        <c:crossBetween val="midCat"/>
      </c:valAx>
      <c:valAx>
        <c:axId val="212782600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Temp,N_L,Length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7820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Mdot,c=70kg/s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Temperature</c:v>
          </c:tx>
          <c:xVal>
            <c:numRef>
              <c:f>Sheet1!$L$50:$L$52</c:f>
              <c:numCache>
                <c:formatCode>General</c:formatCode>
                <c:ptCount val="3"/>
                <c:pt idx="0">
                  <c:v>87.816000000000003</c:v>
                </c:pt>
                <c:pt idx="1">
                  <c:v>118.503</c:v>
                </c:pt>
                <c:pt idx="2">
                  <c:v>165.155</c:v>
                </c:pt>
              </c:numCache>
            </c:numRef>
          </c:xVal>
          <c:yVal>
            <c:numRef>
              <c:f>Sheet1!$M$50:$M$52</c:f>
              <c:numCache>
                <c:formatCode>General</c:formatCode>
                <c:ptCount val="3"/>
                <c:pt idx="0">
                  <c:v>510</c:v>
                </c:pt>
                <c:pt idx="1">
                  <c:v>560</c:v>
                </c:pt>
                <c:pt idx="2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8F-40B8-A057-8D497C257E4C}"/>
            </c:ext>
          </c:extLst>
        </c:ser>
        <c:ser>
          <c:idx val="1"/>
          <c:order val="1"/>
          <c:tx>
            <c:v>N_L</c:v>
          </c:tx>
          <c:xVal>
            <c:numRef>
              <c:f>Sheet1!$L$50:$L$52</c:f>
              <c:numCache>
                <c:formatCode>General</c:formatCode>
                <c:ptCount val="3"/>
                <c:pt idx="0">
                  <c:v>87.816000000000003</c:v>
                </c:pt>
                <c:pt idx="1">
                  <c:v>118.503</c:v>
                </c:pt>
                <c:pt idx="2">
                  <c:v>165.155</c:v>
                </c:pt>
              </c:numCache>
            </c:numRef>
          </c:xVal>
          <c:yVal>
            <c:numRef>
              <c:f>Sheet1!$N$50:$N$52</c:f>
              <c:numCache>
                <c:formatCode>General</c:formatCode>
                <c:ptCount val="3"/>
                <c:pt idx="0">
                  <c:v>50</c:v>
                </c:pt>
                <c:pt idx="1">
                  <c:v>36</c:v>
                </c:pt>
                <c:pt idx="2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8F-40B8-A057-8D497C257E4C}"/>
            </c:ext>
          </c:extLst>
        </c:ser>
        <c:ser>
          <c:idx val="2"/>
          <c:order val="2"/>
          <c:tx>
            <c:v>Length</c:v>
          </c:tx>
          <c:xVal>
            <c:numRef>
              <c:f>Sheet1!$L$50:$L$52</c:f>
              <c:numCache>
                <c:formatCode>General</c:formatCode>
                <c:ptCount val="3"/>
                <c:pt idx="0">
                  <c:v>87.816000000000003</c:v>
                </c:pt>
                <c:pt idx="1">
                  <c:v>118.503</c:v>
                </c:pt>
                <c:pt idx="2">
                  <c:v>165.155</c:v>
                </c:pt>
              </c:numCache>
            </c:numRef>
          </c:xVal>
          <c:yVal>
            <c:numRef>
              <c:f>Sheet1!$O$50:$O$52</c:f>
              <c:numCache>
                <c:formatCode>General</c:formatCode>
                <c:ptCount val="3"/>
                <c:pt idx="0">
                  <c:v>1.9855</c:v>
                </c:pt>
                <c:pt idx="1">
                  <c:v>1.4410000000000001</c:v>
                </c:pt>
                <c:pt idx="2">
                  <c:v>1.0808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8F-40B8-A057-8D497C257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861432"/>
        <c:axId val="2127866920"/>
      </c:scatterChart>
      <c:valAx>
        <c:axId val="21278614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Mdot,h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7866920"/>
        <c:crosses val="autoZero"/>
        <c:crossBetween val="midCat"/>
      </c:valAx>
      <c:valAx>
        <c:axId val="212786692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Temp,N_L,Length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7861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Temperature(°C)</a:t>
            </a:r>
            <a:r>
              <a:rPr lang="en-US" baseline="0"/>
              <a:t> vs. ṁ</a:t>
            </a:r>
            <a:r>
              <a:rPr lang="en-US" baseline="-25000"/>
              <a:t>h</a:t>
            </a:r>
            <a:r>
              <a:rPr lang="en-US" baseline="0"/>
              <a:t>(kg/s)   by </a:t>
            </a:r>
            <a:r>
              <a:rPr lang="en-US" sz="1400" b="0" i="0" u="none" strike="noStrike" baseline="0">
                <a:effectLst/>
              </a:rPr>
              <a:t>ṁ</a:t>
            </a:r>
            <a:r>
              <a:rPr lang="en-US" sz="1400" b="0" i="0" u="none" strike="noStrike" baseline="-25000">
                <a:effectLst/>
              </a:rPr>
              <a:t>c</a:t>
            </a:r>
            <a:endParaRPr lang="en-US"/>
          </a:p>
        </c:rich>
      </c:tx>
      <c:layout>
        <c:manualLayout>
          <c:xMode val="edge"/>
          <c:yMode val="edge"/>
          <c:x val="0.29496850011652476"/>
          <c:y val="2.064515849358618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070006600052187E-2"/>
          <c:y val="0.14069225020743492"/>
          <c:w val="0.76536231216711936"/>
          <c:h val="0.73717114321880461"/>
        </c:manualLayout>
      </c:layout>
      <c:scatterChart>
        <c:scatterStyle val="smoothMarker"/>
        <c:varyColors val="0"/>
        <c:ser>
          <c:idx val="2"/>
          <c:order val="0"/>
          <c:tx>
            <c:v>ṁc = 50</c:v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Sheet1!$L$44:$L$46</c:f>
              <c:numCache>
                <c:formatCode>General</c:formatCode>
                <c:ptCount val="3"/>
                <c:pt idx="0">
                  <c:v>59.656999999999996</c:v>
                </c:pt>
                <c:pt idx="1">
                  <c:v>74.233000000000004</c:v>
                </c:pt>
                <c:pt idx="2">
                  <c:v>117.968</c:v>
                </c:pt>
              </c:numCache>
            </c:numRef>
          </c:xVal>
          <c:yVal>
            <c:numRef>
              <c:f>Sheet1!$M$44:$M$46</c:f>
              <c:numCache>
                <c:formatCode>General</c:formatCode>
                <c:ptCount val="3"/>
                <c:pt idx="0">
                  <c:v>500</c:v>
                </c:pt>
                <c:pt idx="1">
                  <c:v>540</c:v>
                </c:pt>
                <c:pt idx="2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0B3-4E62-8586-8177F3298C6D}"/>
            </c:ext>
          </c:extLst>
        </c:ser>
        <c:ser>
          <c:idx val="0"/>
          <c:order val="1"/>
          <c:tx>
            <c:v>ṁc = 60</c:v>
          </c:tx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Sheet1!$L$50:$L$52</c:f>
              <c:numCache>
                <c:formatCode>General</c:formatCode>
                <c:ptCount val="3"/>
                <c:pt idx="0">
                  <c:v>87.816000000000003</c:v>
                </c:pt>
                <c:pt idx="1">
                  <c:v>118.503</c:v>
                </c:pt>
                <c:pt idx="2">
                  <c:v>165.155</c:v>
                </c:pt>
              </c:numCache>
            </c:numRef>
          </c:xVal>
          <c:yVal>
            <c:numRef>
              <c:f>Sheet1!$M$50:$M$52</c:f>
              <c:numCache>
                <c:formatCode>General</c:formatCode>
                <c:ptCount val="3"/>
                <c:pt idx="0">
                  <c:v>510</c:v>
                </c:pt>
                <c:pt idx="1">
                  <c:v>560</c:v>
                </c:pt>
                <c:pt idx="2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0B3-4E62-8586-8177F3298C6D}"/>
            </c:ext>
          </c:extLst>
        </c:ser>
        <c:ser>
          <c:idx val="1"/>
          <c:order val="2"/>
          <c:tx>
            <c:v>ṁc = 70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Sheet1!$L$47:$L$49</c:f>
              <c:numCache>
                <c:formatCode>General</c:formatCode>
                <c:ptCount val="3"/>
                <c:pt idx="0">
                  <c:v>71.588999999999999</c:v>
                </c:pt>
                <c:pt idx="1">
                  <c:v>94.91</c:v>
                </c:pt>
                <c:pt idx="2">
                  <c:v>141.56200000000001</c:v>
                </c:pt>
              </c:numCache>
            </c:numRef>
          </c:xVal>
          <c:yVal>
            <c:numRef>
              <c:f>Sheet1!$M$47:$M$49</c:f>
              <c:numCache>
                <c:formatCode>General</c:formatCode>
                <c:ptCount val="3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0B3-4E62-8586-8177F3298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58408"/>
        <c:axId val="594753816"/>
      </c:scatterChart>
      <c:valAx>
        <c:axId val="594758408"/>
        <c:scaling>
          <c:orientation val="minMax"/>
          <c:max val="17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ṁ</a:t>
                </a:r>
                <a:r>
                  <a:rPr lang="en-US" sz="1000" b="1" i="0" u="none" strike="noStrike" baseline="-25000">
                    <a:effectLst/>
                  </a:rPr>
                  <a:t>h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53816"/>
        <c:crosses val="autoZero"/>
        <c:crossBetween val="midCat"/>
      </c:valAx>
      <c:valAx>
        <c:axId val="594753816"/>
        <c:scaling>
          <c:orientation val="minMax"/>
          <c:max val="610"/>
          <c:min val="4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58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7719298245614"/>
          <c:y val="0.42383360045495294"/>
          <c:w val="0.12005822416302765"/>
          <c:h val="0.1866623064380924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en-US" sz="1400" b="0" i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</a:rPr>
              <a:t>N</a:t>
            </a:r>
            <a:r>
              <a:rPr lang="en-US" sz="1400" b="0" i="0" baseline="-25000">
                <a:solidFill>
                  <a:schemeClr val="tx1">
                    <a:lumMod val="65000"/>
                    <a:lumOff val="35000"/>
                  </a:schemeClr>
                </a:solidFill>
                <a:effectLst/>
              </a:rPr>
              <a:t>L</a:t>
            </a:r>
            <a:r>
              <a:rPr lang="en-US" sz="1400" b="0" i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</a:rPr>
              <a:t>(#) vs. ṁ</a:t>
            </a:r>
            <a:r>
              <a:rPr lang="en-US" sz="1400" b="0" i="0" baseline="-25000">
                <a:solidFill>
                  <a:schemeClr val="tx1">
                    <a:lumMod val="65000"/>
                    <a:lumOff val="35000"/>
                  </a:schemeClr>
                </a:solidFill>
                <a:effectLst/>
              </a:rPr>
              <a:t>h</a:t>
            </a:r>
            <a:r>
              <a:rPr lang="en-US" sz="1400" b="0" i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</a:rPr>
              <a:t>(kg/s)   by ṁ</a:t>
            </a:r>
            <a:r>
              <a:rPr lang="en-US" sz="1400" b="0" i="0" baseline="-25000">
                <a:solidFill>
                  <a:schemeClr val="tx1">
                    <a:lumMod val="65000"/>
                    <a:lumOff val="35000"/>
                  </a:schemeClr>
                </a:solidFill>
                <a:effectLst/>
              </a:rPr>
              <a:t>c</a:t>
            </a:r>
            <a:endParaRPr lang="en-US" sz="1400" b="0">
              <a:solidFill>
                <a:schemeClr val="tx1">
                  <a:lumMod val="65000"/>
                  <a:lumOff val="35000"/>
                </a:schemeClr>
              </a:solidFill>
              <a:effectLst/>
            </a:endParaRPr>
          </a:p>
        </c:rich>
      </c:tx>
      <c:layout>
        <c:manualLayout>
          <c:xMode val="edge"/>
          <c:yMode val="edge"/>
          <c:x val="0.36248661950637884"/>
          <c:y val="2.025325781645715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ṁh = 50</c:v>
          </c:tx>
          <c:xVal>
            <c:numRef>
              <c:f>Sheet1!$L$44:$L$46</c:f>
              <c:numCache>
                <c:formatCode>General</c:formatCode>
                <c:ptCount val="3"/>
                <c:pt idx="0">
                  <c:v>59.656999999999996</c:v>
                </c:pt>
                <c:pt idx="1">
                  <c:v>74.233000000000004</c:v>
                </c:pt>
                <c:pt idx="2">
                  <c:v>117.968</c:v>
                </c:pt>
              </c:numCache>
            </c:numRef>
          </c:xVal>
          <c:yVal>
            <c:numRef>
              <c:f>Sheet1!$N$44:$N$46</c:f>
              <c:numCache>
                <c:formatCode>General</c:formatCode>
                <c:ptCount val="3"/>
                <c:pt idx="0">
                  <c:v>46</c:v>
                </c:pt>
                <c:pt idx="1">
                  <c:v>36</c:v>
                </c:pt>
                <c:pt idx="2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79C-4821-98CB-CAB002BBB47C}"/>
            </c:ext>
          </c:extLst>
        </c:ser>
        <c:ser>
          <c:idx val="3"/>
          <c:order val="1"/>
          <c:tx>
            <c:v>ṁh = 60</c:v>
          </c:tx>
          <c:spPr>
            <a:ln>
              <a:solidFill>
                <a:sysClr val="windowText" lastClr="000000"/>
              </a:solidFill>
            </a:ln>
          </c:spPr>
          <c:marker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Sheet1!$L$47:$L$49</c:f>
              <c:numCache>
                <c:formatCode>General</c:formatCode>
                <c:ptCount val="3"/>
                <c:pt idx="0">
                  <c:v>71.588999999999999</c:v>
                </c:pt>
                <c:pt idx="1">
                  <c:v>94.91</c:v>
                </c:pt>
                <c:pt idx="2">
                  <c:v>141.56200000000001</c:v>
                </c:pt>
              </c:numCache>
            </c:numRef>
          </c:xVal>
          <c:yVal>
            <c:numRef>
              <c:f>Sheet1!$N$47:$N$49</c:f>
              <c:numCache>
                <c:formatCode>General</c:formatCode>
                <c:ptCount val="3"/>
                <c:pt idx="0">
                  <c:v>50</c:v>
                </c:pt>
                <c:pt idx="1">
                  <c:v>36</c:v>
                </c:pt>
                <c:pt idx="2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79C-4821-98CB-CAB002BBB47C}"/>
            </c:ext>
          </c:extLst>
        </c:ser>
        <c:ser>
          <c:idx val="0"/>
          <c:order val="2"/>
          <c:tx>
            <c:v>ṁh = 70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Sheet1!$L$50:$L$52</c:f>
              <c:numCache>
                <c:formatCode>General</c:formatCode>
                <c:ptCount val="3"/>
                <c:pt idx="0">
                  <c:v>87.816000000000003</c:v>
                </c:pt>
                <c:pt idx="1">
                  <c:v>118.503</c:v>
                </c:pt>
                <c:pt idx="2">
                  <c:v>165.155</c:v>
                </c:pt>
              </c:numCache>
            </c:numRef>
          </c:xVal>
          <c:yVal>
            <c:numRef>
              <c:f>Sheet1!$N$50:$N$52</c:f>
              <c:numCache>
                <c:formatCode>General</c:formatCode>
                <c:ptCount val="3"/>
                <c:pt idx="0">
                  <c:v>50</c:v>
                </c:pt>
                <c:pt idx="1">
                  <c:v>36</c:v>
                </c:pt>
                <c:pt idx="2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79C-4821-98CB-CAB002BBB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16904"/>
        <c:axId val="589217232"/>
      </c:scatterChart>
      <c:valAx>
        <c:axId val="58921690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000" b="1" i="0" u="none" strike="noStrike" baseline="0">
                    <a:effectLst/>
                  </a:rPr>
                  <a:t>ṁ</a:t>
                </a:r>
                <a:r>
                  <a:rPr lang="en-US" sz="1000" b="1" i="0" u="none" strike="noStrike" baseline="-25000">
                    <a:effectLst/>
                  </a:rPr>
                  <a:t>h</a:t>
                </a:r>
                <a:endParaRPr lang="en-US" b="1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17232"/>
        <c:crosses val="autoZero"/>
        <c:crossBetween val="midCat"/>
      </c:valAx>
      <c:valAx>
        <c:axId val="589217232"/>
        <c:scaling>
          <c:orientation val="minMax"/>
          <c:max val="5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000" b="1" i="0" u="none" strike="noStrike" baseline="0">
                    <a:effectLst/>
                  </a:rPr>
                  <a:t>N</a:t>
                </a:r>
                <a:r>
                  <a:rPr lang="en-US" sz="1000" b="1" i="0" u="none" strike="noStrike" baseline="-25000">
                    <a:effectLst/>
                  </a:rPr>
                  <a:t>L</a:t>
                </a:r>
                <a:endParaRPr lang="en-US" b="1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16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Length(m) vs. </a:t>
            </a:r>
            <a:r>
              <a:rPr lang="en-US" sz="1400" b="0" i="0" u="none" strike="noStrike" baseline="0">
                <a:effectLst/>
              </a:rPr>
              <a:t>ṁ</a:t>
            </a:r>
            <a:r>
              <a:rPr lang="en-US" sz="1400" b="0" i="0" u="none" strike="noStrike" baseline="-25000">
                <a:effectLst/>
              </a:rPr>
              <a:t>h</a:t>
            </a:r>
            <a:r>
              <a:rPr lang="en-US" sz="1400" b="0" i="0" u="none" strike="noStrike" baseline="0">
                <a:effectLst/>
              </a:rPr>
              <a:t>(kg/s)   by ṁ</a:t>
            </a:r>
            <a:r>
              <a:rPr lang="en-US" sz="1400" b="0" i="0" u="none" strike="noStrike" baseline="-25000">
                <a:effectLst/>
              </a:rPr>
              <a:t>c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ṁh = 50</c:v>
          </c:tx>
          <c:xVal>
            <c:numRef>
              <c:f>Sheet1!$L$44:$L$46</c:f>
              <c:numCache>
                <c:formatCode>General</c:formatCode>
                <c:ptCount val="3"/>
                <c:pt idx="0">
                  <c:v>59.656999999999996</c:v>
                </c:pt>
                <c:pt idx="1">
                  <c:v>74.233000000000004</c:v>
                </c:pt>
                <c:pt idx="2">
                  <c:v>117.968</c:v>
                </c:pt>
              </c:numCache>
            </c:numRef>
          </c:xVal>
          <c:yVal>
            <c:numRef>
              <c:f>Sheet1!$O$44:$O$46</c:f>
              <c:numCache>
                <c:formatCode>General</c:formatCode>
                <c:ptCount val="3"/>
                <c:pt idx="0">
                  <c:v>1.8355999999999999</c:v>
                </c:pt>
                <c:pt idx="1">
                  <c:v>1.427</c:v>
                </c:pt>
                <c:pt idx="2">
                  <c:v>0.93899999999999995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25-4FC8-AAC5-CB47FF47EC19}"/>
            </c:ext>
          </c:extLst>
        </c:ser>
        <c:ser>
          <c:idx val="3"/>
          <c:order val="1"/>
          <c:tx>
            <c:v>ṁh = 60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Sheet1!$L$47:$L$49</c:f>
              <c:numCache>
                <c:formatCode>General</c:formatCode>
                <c:ptCount val="3"/>
                <c:pt idx="0">
                  <c:v>71.588999999999999</c:v>
                </c:pt>
                <c:pt idx="1">
                  <c:v>94.91</c:v>
                </c:pt>
                <c:pt idx="2">
                  <c:v>141.56200000000001</c:v>
                </c:pt>
              </c:numCache>
            </c:numRef>
          </c:xVal>
          <c:yVal>
            <c:numRef>
              <c:f>Sheet1!$O$47:$O$49</c:f>
              <c:numCache>
                <c:formatCode>General</c:formatCode>
                <c:ptCount val="3"/>
                <c:pt idx="0">
                  <c:v>1.9826999999999999</c:v>
                </c:pt>
                <c:pt idx="1">
                  <c:v>1.4409000000000001</c:v>
                </c:pt>
                <c:pt idx="2">
                  <c:v>1.0163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A25-4FC8-AAC5-CB47FF47EC19}"/>
            </c:ext>
          </c:extLst>
        </c:ser>
        <c:ser>
          <c:idx val="0"/>
          <c:order val="2"/>
          <c:tx>
            <c:v>ṁh = 70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Sheet1!$L$50:$L$52</c:f>
              <c:numCache>
                <c:formatCode>General</c:formatCode>
                <c:ptCount val="3"/>
                <c:pt idx="0">
                  <c:v>87.816000000000003</c:v>
                </c:pt>
                <c:pt idx="1">
                  <c:v>118.503</c:v>
                </c:pt>
                <c:pt idx="2">
                  <c:v>165.155</c:v>
                </c:pt>
              </c:numCache>
            </c:numRef>
          </c:xVal>
          <c:yVal>
            <c:numRef>
              <c:f>Sheet1!$O$50:$O$52</c:f>
              <c:numCache>
                <c:formatCode>General</c:formatCode>
                <c:ptCount val="3"/>
                <c:pt idx="0">
                  <c:v>1.9855</c:v>
                </c:pt>
                <c:pt idx="1">
                  <c:v>1.4410000000000001</c:v>
                </c:pt>
                <c:pt idx="2">
                  <c:v>1.0808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25-4FC8-AAC5-CB47FF47E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60376"/>
        <c:axId val="594761032"/>
      </c:scatterChart>
      <c:valAx>
        <c:axId val="59476037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000" b="1" i="0" u="none" strike="noStrike" baseline="0">
                    <a:effectLst/>
                  </a:rPr>
                  <a:t>ṁ</a:t>
                </a:r>
                <a:r>
                  <a:rPr lang="en-US" sz="1000" b="1" i="0" u="none" strike="noStrike" baseline="-25000">
                    <a:effectLst/>
                  </a:rPr>
                  <a:t>h</a:t>
                </a:r>
                <a:endParaRPr lang="en-US" b="1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61032"/>
        <c:crosses val="autoZero"/>
        <c:crossBetween val="midCat"/>
      </c:valAx>
      <c:valAx>
        <c:axId val="594761032"/>
        <c:scaling>
          <c:orientation val="minMax"/>
          <c:max val="2.25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60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49</xdr:row>
      <xdr:rowOff>9525</xdr:rowOff>
    </xdr:from>
    <xdr:to>
      <xdr:col>7</xdr:col>
      <xdr:colOff>38100</xdr:colOff>
      <xdr:row>67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247651</xdr:colOff>
      <xdr:row>68</xdr:row>
      <xdr:rowOff>85724</xdr:rowOff>
    </xdr:from>
    <xdr:to>
      <xdr:col>6</xdr:col>
      <xdr:colOff>581026</xdr:colOff>
      <xdr:row>86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87</xdr:row>
      <xdr:rowOff>71437</xdr:rowOff>
    </xdr:from>
    <xdr:to>
      <xdr:col>6</xdr:col>
      <xdr:colOff>409575</xdr:colOff>
      <xdr:row>105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428624</xdr:colOff>
      <xdr:row>20</xdr:row>
      <xdr:rowOff>157162</xdr:rowOff>
    </xdr:from>
    <xdr:to>
      <xdr:col>26</xdr:col>
      <xdr:colOff>476249</xdr:colOff>
      <xdr:row>39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06B684-1922-478E-A0EF-3D1F147EC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409575</xdr:colOff>
      <xdr:row>39</xdr:row>
      <xdr:rowOff>171449</xdr:rowOff>
    </xdr:from>
    <xdr:to>
      <xdr:col>26</xdr:col>
      <xdr:colOff>476250</xdr:colOff>
      <xdr:row>59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D4BBC8-2C8F-4149-9680-8D16DDEC6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409574</xdr:colOff>
      <xdr:row>59</xdr:row>
      <xdr:rowOff>47625</xdr:rowOff>
    </xdr:from>
    <xdr:to>
      <xdr:col>26</xdr:col>
      <xdr:colOff>533400</xdr:colOff>
      <xdr:row>78</xdr:row>
      <xdr:rowOff>161924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816E8D-DE2D-42A0-86A9-41A928D8D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O52"/>
  <sheetViews>
    <sheetView tabSelected="1" topLeftCell="A18" zoomScaleNormal="100" workbookViewId="0">
      <selection activeCell="N25" sqref="N25"/>
    </sheetView>
  </sheetViews>
  <sheetFormatPr defaultColWidth="8.85546875" defaultRowHeight="15" x14ac:dyDescent="0.25"/>
  <cols>
    <col min="3" max="4" width="12" bestFit="1" customWidth="1"/>
    <col min="5" max="5" width="11" bestFit="1" customWidth="1"/>
    <col min="6" max="6" width="12" bestFit="1" customWidth="1"/>
  </cols>
  <sheetData>
    <row r="1" spans="1:8" x14ac:dyDescent="0.25">
      <c r="A1" s="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8" x14ac:dyDescent="0.25">
      <c r="A3">
        <v>450</v>
      </c>
      <c r="B3">
        <v>1021</v>
      </c>
      <c r="C3">
        <v>2.5069999999999999E-5</v>
      </c>
      <c r="D3">
        <v>3.73E-2</v>
      </c>
      <c r="E3">
        <v>0.68600000000000005</v>
      </c>
      <c r="F3">
        <v>0.77400000000000002</v>
      </c>
    </row>
    <row r="4" spans="1:8" x14ac:dyDescent="0.25">
      <c r="A4">
        <v>500</v>
      </c>
      <c r="B4">
        <v>1030</v>
      </c>
      <c r="C4">
        <v>2.7010000000000001E-5</v>
      </c>
      <c r="D4">
        <v>4.07E-2</v>
      </c>
      <c r="E4">
        <v>0.68400000000000005</v>
      </c>
      <c r="F4">
        <v>0.69640000000000002</v>
      </c>
    </row>
    <row r="5" spans="1:8" x14ac:dyDescent="0.25">
      <c r="A5">
        <v>550</v>
      </c>
      <c r="B5">
        <v>1040</v>
      </c>
      <c r="C5">
        <v>2.8839999999999998E-5</v>
      </c>
      <c r="D5">
        <v>4.3900000000000002E-2</v>
      </c>
      <c r="E5">
        <v>0.68300000000000005</v>
      </c>
      <c r="F5">
        <v>0.63290000000000002</v>
      </c>
    </row>
    <row r="6" spans="1:8" x14ac:dyDescent="0.25">
      <c r="A6">
        <v>600</v>
      </c>
      <c r="B6">
        <v>1051</v>
      </c>
      <c r="C6">
        <v>3.0580000000000002E-5</v>
      </c>
      <c r="D6">
        <v>4.6899999999999997E-2</v>
      </c>
      <c r="E6">
        <v>0.68500000000000005</v>
      </c>
      <c r="F6">
        <v>0.58040000000000003</v>
      </c>
    </row>
    <row r="7" spans="1:8" x14ac:dyDescent="0.25">
      <c r="A7">
        <v>650</v>
      </c>
      <c r="B7">
        <v>1063</v>
      </c>
      <c r="C7">
        <v>3.2249999999999998E-5</v>
      </c>
      <c r="D7">
        <v>4.9700000000000001E-2</v>
      </c>
      <c r="E7">
        <v>0.69</v>
      </c>
      <c r="F7">
        <v>0.53559999999999997</v>
      </c>
    </row>
    <row r="9" spans="1:8" x14ac:dyDescent="0.25">
      <c r="A9" s="1" t="s">
        <v>7</v>
      </c>
    </row>
    <row r="10" spans="1:8" x14ac:dyDescent="0.25">
      <c r="B10">
        <v>4180</v>
      </c>
      <c r="C10">
        <v>5.7700000000000004E-4</v>
      </c>
      <c r="D10">
        <v>0.64</v>
      </c>
      <c r="E10">
        <v>3.77</v>
      </c>
      <c r="F10">
        <v>989</v>
      </c>
    </row>
    <row r="11" spans="1:8" ht="15.75" thickBot="1" x14ac:dyDescent="0.3">
      <c r="A11" s="1" t="s">
        <v>24</v>
      </c>
    </row>
    <row r="12" spans="1:8" x14ac:dyDescent="0.25">
      <c r="A12" s="22" t="s">
        <v>8</v>
      </c>
      <c r="B12" s="36" t="s">
        <v>9</v>
      </c>
      <c r="C12" s="37"/>
      <c r="D12" s="36" t="s">
        <v>10</v>
      </c>
      <c r="E12" s="37"/>
    </row>
    <row r="13" spans="1:8" ht="15.75" thickBot="1" x14ac:dyDescent="0.3">
      <c r="A13" s="23">
        <v>1.2</v>
      </c>
      <c r="B13" s="38">
        <v>2</v>
      </c>
      <c r="C13" s="39"/>
      <c r="D13" s="38">
        <v>2</v>
      </c>
      <c r="E13" s="39"/>
    </row>
    <row r="14" spans="1:8" x14ac:dyDescent="0.25">
      <c r="A14" s="22" t="s">
        <v>11</v>
      </c>
      <c r="B14" s="22" t="s">
        <v>12</v>
      </c>
      <c r="C14" s="22" t="s">
        <v>13</v>
      </c>
      <c r="D14" s="22" t="s">
        <v>14</v>
      </c>
      <c r="E14" s="22" t="s">
        <v>15</v>
      </c>
      <c r="F14" s="22" t="s">
        <v>54</v>
      </c>
      <c r="G14" s="22" t="s">
        <v>22</v>
      </c>
    </row>
    <row r="15" spans="1:8" ht="15.75" thickBot="1" x14ac:dyDescent="0.3">
      <c r="A15" s="23">
        <v>400</v>
      </c>
      <c r="B15" s="23">
        <v>0.04</v>
      </c>
      <c r="C15" s="23">
        <v>0.04</v>
      </c>
      <c r="D15" s="23">
        <v>30</v>
      </c>
      <c r="E15" s="23">
        <v>60</v>
      </c>
      <c r="F15" s="23">
        <f>C17*B10</f>
        <v>209000</v>
      </c>
      <c r="G15" s="23">
        <v>700</v>
      </c>
    </row>
    <row r="16" spans="1:8" x14ac:dyDescent="0.25">
      <c r="A16" s="22" t="s">
        <v>16</v>
      </c>
      <c r="B16" s="22" t="s">
        <v>17</v>
      </c>
      <c r="C16" s="5" t="s">
        <v>18</v>
      </c>
      <c r="D16" s="22" t="s">
        <v>19</v>
      </c>
      <c r="E16" s="22" t="s">
        <v>20</v>
      </c>
      <c r="F16" s="22" t="s">
        <v>21</v>
      </c>
      <c r="G16" s="30" t="s">
        <v>23</v>
      </c>
      <c r="H16" s="31"/>
    </row>
    <row r="17" spans="1:10" ht="15.75" thickBot="1" x14ac:dyDescent="0.3">
      <c r="A17" s="23">
        <v>290</v>
      </c>
      <c r="B17" s="23">
        <v>350</v>
      </c>
      <c r="C17" s="6">
        <v>50</v>
      </c>
      <c r="D17" s="23">
        <v>1.4999999999999999E-2</v>
      </c>
      <c r="E17" s="23">
        <v>0.02</v>
      </c>
      <c r="F17" s="23">
        <f>F15*(B17-A17)</f>
        <v>12540000</v>
      </c>
      <c r="G17" s="32">
        <v>540</v>
      </c>
      <c r="H17" s="33"/>
    </row>
    <row r="18" spans="1:10" x14ac:dyDescent="0.25">
      <c r="J18" t="s">
        <v>71</v>
      </c>
    </row>
    <row r="20" spans="1:10" x14ac:dyDescent="0.25">
      <c r="A20" s="1" t="s">
        <v>25</v>
      </c>
    </row>
    <row r="21" spans="1:10" ht="15.75" thickBot="1" x14ac:dyDescent="0.3"/>
    <row r="22" spans="1:10" ht="15.75" thickBot="1" x14ac:dyDescent="0.3">
      <c r="A22" t="s">
        <v>26</v>
      </c>
      <c r="C22" s="22" t="s">
        <v>27</v>
      </c>
      <c r="D22" s="22" t="s">
        <v>28</v>
      </c>
      <c r="E22" s="22" t="s">
        <v>29</v>
      </c>
      <c r="F22" s="22" t="s">
        <v>40</v>
      </c>
    </row>
    <row r="23" spans="1:10" ht="15.75" thickBot="1" x14ac:dyDescent="0.3">
      <c r="A23" s="4">
        <v>36</v>
      </c>
      <c r="C23" s="23">
        <f>(4*C17/(PI()*D17*C10*A23*D15))</f>
        <v>6810.6614926886768</v>
      </c>
      <c r="D23" s="24">
        <f>((0.79*LN(C23))-1.64)^(-2)</f>
        <v>3.5164163531470678E-2</v>
      </c>
      <c r="E23" s="24">
        <f>((D23/8)*(C23-1000)*E10)/(((D23/8)^(1/2))*12.7*((E10^(2/3))-1)+1)</f>
        <v>43.816259328805906</v>
      </c>
      <c r="F23" s="24">
        <f>(E23*D10)/D17</f>
        <v>1869.4937313623855</v>
      </c>
    </row>
    <row r="24" spans="1:10" ht="15.75" thickBot="1" x14ac:dyDescent="0.3">
      <c r="C24" s="25" t="s">
        <v>30</v>
      </c>
      <c r="D24" s="26"/>
      <c r="E24" s="28">
        <v>4</v>
      </c>
      <c r="F24" s="27">
        <f>(E24*D10)/D17</f>
        <v>170.66666666666669</v>
      </c>
    </row>
    <row r="26" spans="1:10" x14ac:dyDescent="0.25">
      <c r="A26" s="1" t="s">
        <v>31</v>
      </c>
    </row>
    <row r="27" spans="1:10" x14ac:dyDescent="0.25">
      <c r="I27" s="7"/>
    </row>
    <row r="28" spans="1:10" x14ac:dyDescent="0.25">
      <c r="A28" s="3" t="s">
        <v>33</v>
      </c>
      <c r="B28" s="2" t="s">
        <v>32</v>
      </c>
      <c r="C28" t="s">
        <v>34</v>
      </c>
      <c r="D28" t="s">
        <v>3</v>
      </c>
      <c r="E28" t="s">
        <v>4</v>
      </c>
      <c r="F28" t="s">
        <v>35</v>
      </c>
      <c r="G28" t="s">
        <v>6</v>
      </c>
    </row>
    <row r="29" spans="1:10" x14ac:dyDescent="0.25">
      <c r="A29">
        <f>(G17+G15)/2</f>
        <v>620</v>
      </c>
      <c r="B29">
        <v>600</v>
      </c>
      <c r="C29">
        <v>1051</v>
      </c>
      <c r="D29">
        <v>3.0580000000000002E-5</v>
      </c>
      <c r="E29">
        <v>4.6899999999999997E-2</v>
      </c>
      <c r="F29">
        <v>0.68500000000000005</v>
      </c>
      <c r="G29">
        <v>0.58040000000000003</v>
      </c>
    </row>
    <row r="30" spans="1:10" ht="15.75" thickBot="1" x14ac:dyDescent="0.3">
      <c r="B30">
        <v>650</v>
      </c>
      <c r="C30">
        <v>1063</v>
      </c>
      <c r="D30">
        <v>3.2249999999999998E-5</v>
      </c>
      <c r="E30">
        <v>4.9700000000000001E-2</v>
      </c>
      <c r="F30">
        <v>0.69</v>
      </c>
      <c r="G30">
        <v>0.53559999999999997</v>
      </c>
    </row>
    <row r="31" spans="1:10" ht="15.75" thickBot="1" x14ac:dyDescent="0.3">
      <c r="A31" s="34" t="s">
        <v>36</v>
      </c>
      <c r="B31" s="35"/>
      <c r="C31" s="26">
        <f>C30-(C30-C29)*((B30-A29)/(B30-B29))</f>
        <v>1055.8</v>
      </c>
      <c r="D31" s="26">
        <f>D30-(D30-D29)*((B30-A29)/(B30-B29))</f>
        <v>3.1248000000000003E-5</v>
      </c>
      <c r="E31" s="26">
        <f>E30-(E30-E29)*((B30-A29)/(B30-B29))</f>
        <v>4.802E-2</v>
      </c>
      <c r="F31" s="26">
        <f>F30-(F30-F29)*((B30-A29)/(B30-B29))</f>
        <v>0.68700000000000006</v>
      </c>
      <c r="G31" s="27">
        <f>G30-(G30-G29)*((B30-A29)/(B30-B29))</f>
        <v>0.56247999999999998</v>
      </c>
    </row>
    <row r="33" spans="1:15" x14ac:dyDescent="0.25">
      <c r="A33" s="29" t="s">
        <v>37</v>
      </c>
      <c r="B33" t="s">
        <v>53</v>
      </c>
      <c r="C33" t="s">
        <v>38</v>
      </c>
      <c r="D33" t="s">
        <v>39</v>
      </c>
      <c r="E33" t="s">
        <v>27</v>
      </c>
      <c r="F33" t="s">
        <v>29</v>
      </c>
      <c r="G33" t="s">
        <v>41</v>
      </c>
    </row>
    <row r="34" spans="1:15" ht="15.75" thickBot="1" x14ac:dyDescent="0.3">
      <c r="A34" s="29">
        <f>(C17*B10*(B17-A17))/(C31*(G15-G17))</f>
        <v>74.23280924417503</v>
      </c>
      <c r="B34">
        <f>A34*C31</f>
        <v>78375</v>
      </c>
      <c r="C34">
        <f>G17</f>
        <v>540</v>
      </c>
      <c r="D34">
        <f>F38*G31</f>
        <v>61.860674370145865</v>
      </c>
      <c r="E34">
        <f>(D34*E17)/D31</f>
        <v>39593.365572289978</v>
      </c>
      <c r="F34">
        <f>0.35*(E34^0.6)*(F31^0.36)</f>
        <v>175.3662122030097</v>
      </c>
      <c r="G34">
        <f>(F34*E31)/E17</f>
        <v>421.0542754994263</v>
      </c>
    </row>
    <row r="35" spans="1:15" x14ac:dyDescent="0.25">
      <c r="C35" s="14" t="s">
        <v>42</v>
      </c>
      <c r="D35" s="15">
        <f>(C15^2+(B15/2)^2)^(1/2)</f>
        <v>4.4721359549995794E-2</v>
      </c>
      <c r="E35" s="15"/>
      <c r="F35" s="16"/>
    </row>
    <row r="36" spans="1:15" x14ac:dyDescent="0.25">
      <c r="C36" s="17" t="s">
        <v>43</v>
      </c>
      <c r="D36" s="7">
        <f>A34/(2.4*G31)</f>
        <v>54.98922127910847</v>
      </c>
      <c r="E36" s="7"/>
      <c r="F36" s="18"/>
      <c r="I36" s="7"/>
    </row>
    <row r="37" spans="1:15" x14ac:dyDescent="0.25">
      <c r="C37" s="17" t="s">
        <v>44</v>
      </c>
      <c r="D37" s="7">
        <f>(B15-E17)*2*D15</f>
        <v>1.2</v>
      </c>
      <c r="E37" s="7" t="s">
        <v>45</v>
      </c>
      <c r="F37" s="18">
        <v>2.9666000000000001</v>
      </c>
    </row>
    <row r="38" spans="1:15" ht="15.75" thickBot="1" x14ac:dyDescent="0.3">
      <c r="C38" s="19" t="s">
        <v>46</v>
      </c>
      <c r="D38" s="20">
        <f>(D35+E17)/2</f>
        <v>3.2360679774997896E-2</v>
      </c>
      <c r="E38" s="20" t="s">
        <v>47</v>
      </c>
      <c r="F38" s="21">
        <f>(B15*D36)/(B15-E17)</f>
        <v>109.97844255821694</v>
      </c>
    </row>
    <row r="40" spans="1:15" x14ac:dyDescent="0.25">
      <c r="A40" t="s">
        <v>48</v>
      </c>
      <c r="B40" t="s">
        <v>49</v>
      </c>
      <c r="C40" t="s">
        <v>50</v>
      </c>
      <c r="D40" t="s">
        <v>51</v>
      </c>
      <c r="E40" t="s">
        <v>61</v>
      </c>
      <c r="F40" t="s">
        <v>52</v>
      </c>
    </row>
    <row r="41" spans="1:15" ht="15.75" thickBot="1" x14ac:dyDescent="0.3">
      <c r="A41">
        <f>B34</f>
        <v>78375</v>
      </c>
      <c r="B41">
        <f>F15</f>
        <v>209000</v>
      </c>
      <c r="C41">
        <f>A41/B41</f>
        <v>0.375</v>
      </c>
      <c r="D41">
        <f>A41*(G15-A17)</f>
        <v>32133750</v>
      </c>
      <c r="E41">
        <f>F17/D41</f>
        <v>0.3902439024390244</v>
      </c>
      <c r="F41">
        <f>-(1/C41)*LN(C41*LN(1-E41)+1)</f>
        <v>0.54718524691535819</v>
      </c>
    </row>
    <row r="42" spans="1:15" ht="15.75" thickBot="1" x14ac:dyDescent="0.3">
      <c r="K42" s="44" t="s">
        <v>72</v>
      </c>
      <c r="L42" s="45"/>
      <c r="M42" s="45"/>
      <c r="N42" s="45"/>
      <c r="O42" s="46"/>
    </row>
    <row r="43" spans="1:15" ht="18.75" thickBot="1" x14ac:dyDescent="0.4">
      <c r="A43" t="s">
        <v>55</v>
      </c>
      <c r="B43" t="s">
        <v>56</v>
      </c>
      <c r="C43" t="s">
        <v>62</v>
      </c>
      <c r="D43" t="s">
        <v>57</v>
      </c>
      <c r="E43" t="s">
        <v>63</v>
      </c>
      <c r="F43" t="s">
        <v>64</v>
      </c>
      <c r="G43" t="s">
        <v>58</v>
      </c>
      <c r="K43" s="43" t="s">
        <v>66</v>
      </c>
      <c r="L43" s="43" t="s">
        <v>67</v>
      </c>
      <c r="M43" s="43" t="s">
        <v>68</v>
      </c>
      <c r="N43" s="43" t="s">
        <v>69</v>
      </c>
      <c r="O43" s="43" t="s">
        <v>70</v>
      </c>
    </row>
    <row r="44" spans="1:15" ht="15.75" thickBot="1" x14ac:dyDescent="0.3">
      <c r="A44">
        <f>PI()*D17*B13*A23*D15</f>
        <v>101.78760197630929</v>
      </c>
      <c r="B44">
        <f>PI()*E17*B13*D15*A23</f>
        <v>135.71680263507909</v>
      </c>
      <c r="C44">
        <f>1/(G34*B44)</f>
        <v>1.7499607131795054E-5</v>
      </c>
      <c r="D44">
        <f>LN(E17/D17)/(2*PI()*(D15*A23*B13)*E15)</f>
        <v>3.53287221216217E-7</v>
      </c>
      <c r="E44">
        <f>1/(A44*F23)</f>
        <v>5.2551014418454044E-6</v>
      </c>
      <c r="F44">
        <f>C44+D44+E44</f>
        <v>2.3107995794856676E-5</v>
      </c>
      <c r="G44">
        <f>1/(F44*B44)</f>
        <v>318.86298006175753</v>
      </c>
      <c r="K44" s="40">
        <v>50</v>
      </c>
      <c r="L44" s="47">
        <v>59.656999999999996</v>
      </c>
      <c r="M44" s="47">
        <v>500</v>
      </c>
      <c r="N44" s="47">
        <v>46</v>
      </c>
      <c r="O44" s="47">
        <v>1.8355999999999999</v>
      </c>
    </row>
    <row r="45" spans="1:15" ht="15.75" thickBot="1" x14ac:dyDescent="0.3">
      <c r="K45" s="40">
        <v>50</v>
      </c>
      <c r="L45" s="47">
        <v>74.233000000000004</v>
      </c>
      <c r="M45" s="47">
        <v>540</v>
      </c>
      <c r="N45" s="47">
        <v>36</v>
      </c>
      <c r="O45" s="47">
        <v>1.427</v>
      </c>
    </row>
    <row r="46" spans="1:15" ht="15.75" thickBot="1" x14ac:dyDescent="0.3">
      <c r="A46" s="8" t="s">
        <v>59</v>
      </c>
      <c r="B46" s="9" t="s">
        <v>60</v>
      </c>
      <c r="C46" s="10" t="s">
        <v>65</v>
      </c>
      <c r="G46" s="7"/>
      <c r="K46" s="40">
        <v>50</v>
      </c>
      <c r="L46" s="47">
        <v>117.968</v>
      </c>
      <c r="M46" s="47">
        <v>600</v>
      </c>
      <c r="N46" s="47">
        <v>24</v>
      </c>
      <c r="O46" s="47">
        <v>0.93899999999999995</v>
      </c>
    </row>
    <row r="47" spans="1:15" ht="15.75" thickBot="1" x14ac:dyDescent="0.3">
      <c r="A47" s="11">
        <f>(F41*A41)/G44</f>
        <v>134.49552443712685</v>
      </c>
      <c r="B47" s="12">
        <f>A47/(PI()*E17*B13*D15)</f>
        <v>35.676045896509237</v>
      </c>
      <c r="C47" s="13">
        <f>B47*C15</f>
        <v>1.4270418358603696</v>
      </c>
      <c r="K47" s="41">
        <v>60</v>
      </c>
      <c r="L47" s="49">
        <v>71.588999999999999</v>
      </c>
      <c r="M47" s="49">
        <v>500</v>
      </c>
      <c r="N47" s="49">
        <v>50</v>
      </c>
      <c r="O47" s="49">
        <v>1.9826999999999999</v>
      </c>
    </row>
    <row r="48" spans="1:15" ht="15.75" thickBot="1" x14ac:dyDescent="0.3">
      <c r="K48" s="41">
        <v>60</v>
      </c>
      <c r="L48" s="49">
        <v>94.91</v>
      </c>
      <c r="M48" s="49">
        <v>550</v>
      </c>
      <c r="N48" s="49">
        <v>36</v>
      </c>
      <c r="O48" s="49">
        <v>1.4409000000000001</v>
      </c>
    </row>
    <row r="49" spans="11:15" ht="15.75" thickBot="1" x14ac:dyDescent="0.3">
      <c r="K49" s="41">
        <v>60</v>
      </c>
      <c r="L49" s="49">
        <v>141.56200000000001</v>
      </c>
      <c r="M49" s="49">
        <v>600</v>
      </c>
      <c r="N49" s="49">
        <v>26</v>
      </c>
      <c r="O49" s="49">
        <v>1.0163</v>
      </c>
    </row>
    <row r="50" spans="11:15" ht="15.75" thickBot="1" x14ac:dyDescent="0.3">
      <c r="K50" s="42">
        <v>70</v>
      </c>
      <c r="L50" s="48">
        <v>87.816000000000003</v>
      </c>
      <c r="M50" s="48">
        <v>510</v>
      </c>
      <c r="N50" s="48">
        <v>50</v>
      </c>
      <c r="O50" s="48">
        <v>1.9855</v>
      </c>
    </row>
    <row r="51" spans="11:15" ht="15.75" thickBot="1" x14ac:dyDescent="0.3">
      <c r="K51" s="42">
        <v>70</v>
      </c>
      <c r="L51" s="48">
        <v>118.503</v>
      </c>
      <c r="M51" s="48">
        <v>560</v>
      </c>
      <c r="N51" s="48">
        <v>36</v>
      </c>
      <c r="O51" s="48">
        <v>1.4410000000000001</v>
      </c>
    </row>
    <row r="52" spans="11:15" ht="15.75" thickBot="1" x14ac:dyDescent="0.3">
      <c r="K52" s="42">
        <v>70</v>
      </c>
      <c r="L52" s="48">
        <v>165.155</v>
      </c>
      <c r="M52" s="48">
        <v>600</v>
      </c>
      <c r="N52" s="48">
        <v>27</v>
      </c>
      <c r="O52" s="48">
        <v>1.0808</v>
      </c>
    </row>
  </sheetData>
  <mergeCells count="8">
    <mergeCell ref="K42:O42"/>
    <mergeCell ref="G16:H16"/>
    <mergeCell ref="G17:H17"/>
    <mergeCell ref="A31:B31"/>
    <mergeCell ref="B12:C12"/>
    <mergeCell ref="D12:E12"/>
    <mergeCell ref="D13:E13"/>
    <mergeCell ref="B13:C13"/>
  </mergeCells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Zach</cp:lastModifiedBy>
  <dcterms:created xsi:type="dcterms:W3CDTF">2018-05-15T00:33:26Z</dcterms:created>
  <dcterms:modified xsi:type="dcterms:W3CDTF">2018-05-16T06:20:45Z</dcterms:modified>
</cp:coreProperties>
</file>