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560" windowHeight="15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A29" i="1"/>
  <c r="D44" i="1"/>
  <c r="B44" i="1"/>
  <c r="C23" i="1"/>
  <c r="D23" i="1"/>
  <c r="E23" i="1"/>
  <c r="D37" i="1"/>
  <c r="D35" i="1"/>
  <c r="D38" i="1"/>
  <c r="C34" i="1"/>
  <c r="G31" i="1"/>
  <c r="F31" i="1"/>
  <c r="E31" i="1"/>
  <c r="D31" i="1"/>
  <c r="C31" i="1"/>
  <c r="A34" i="1"/>
  <c r="F24" i="1"/>
  <c r="F23" i="1"/>
  <c r="E44" i="1"/>
  <c r="F15" i="1"/>
  <c r="B34" i="1"/>
  <c r="A41" i="1"/>
  <c r="D36" i="1"/>
  <c r="F17" i="1"/>
  <c r="B41" i="1"/>
  <c r="F38" i="1"/>
  <c r="D34" i="1"/>
  <c r="E34" i="1"/>
  <c r="F34" i="1"/>
  <c r="G34" i="1"/>
  <c r="C44" i="1"/>
  <c r="F44" i="1"/>
  <c r="G44" i="1"/>
  <c r="C41" i="1"/>
  <c r="D41" i="1"/>
  <c r="E41" i="1"/>
  <c r="F41" i="1"/>
  <c r="A47" i="1"/>
  <c r="B47" i="1"/>
  <c r="C47" i="1"/>
</calcChain>
</file>

<file path=xl/sharedStrings.xml><?xml version="1.0" encoding="utf-8"?>
<sst xmlns="http://schemas.openxmlformats.org/spreadsheetml/2006/main" count="77" uniqueCount="69">
  <si>
    <t>Air Properties</t>
  </si>
  <si>
    <t>T</t>
  </si>
  <si>
    <t>cp</t>
  </si>
  <si>
    <t>mu</t>
  </si>
  <si>
    <t>k</t>
  </si>
  <si>
    <t>Pr</t>
  </si>
  <si>
    <t>rho</t>
  </si>
  <si>
    <t>Water Properties</t>
  </si>
  <si>
    <t>Height</t>
  </si>
  <si>
    <t>Tube length</t>
  </si>
  <si>
    <t>Max HE Length</t>
  </si>
  <si>
    <t>Th,o min</t>
  </si>
  <si>
    <t>S_T</t>
  </si>
  <si>
    <t>S_L</t>
  </si>
  <si>
    <t>N_T</t>
  </si>
  <si>
    <t>K pipe</t>
  </si>
  <si>
    <t>Tci</t>
  </si>
  <si>
    <t>Tco</t>
  </si>
  <si>
    <t>Mdot_c</t>
  </si>
  <si>
    <t>Di</t>
  </si>
  <si>
    <t>Do</t>
  </si>
  <si>
    <t>q</t>
  </si>
  <si>
    <t>Thi</t>
  </si>
  <si>
    <t>Assume Tho</t>
  </si>
  <si>
    <t>Givens:</t>
  </si>
  <si>
    <t>Cold Water Flow:</t>
  </si>
  <si>
    <t>assumed N_L</t>
  </si>
  <si>
    <t>Re</t>
  </si>
  <si>
    <t>FF</t>
  </si>
  <si>
    <t>NU</t>
  </si>
  <si>
    <t>if&lt;2300</t>
  </si>
  <si>
    <t>Hot Gas Flow:</t>
  </si>
  <si>
    <t>Tm</t>
  </si>
  <si>
    <t>Tm(actual)</t>
  </si>
  <si>
    <t>Cp</t>
  </si>
  <si>
    <t>pr</t>
  </si>
  <si>
    <t>Interpolated Values:</t>
  </si>
  <si>
    <t>Mdot_h</t>
  </si>
  <si>
    <t>Th_o</t>
  </si>
  <si>
    <t>rho*Vmax</t>
  </si>
  <si>
    <t>h_c</t>
  </si>
  <si>
    <t>h_h</t>
  </si>
  <si>
    <t>Sd=</t>
  </si>
  <si>
    <t>V=</t>
  </si>
  <si>
    <t>A1</t>
  </si>
  <si>
    <t>A2</t>
  </si>
  <si>
    <t>(S_T+D)/2</t>
  </si>
  <si>
    <t>Vmax</t>
  </si>
  <si>
    <t>Cmin</t>
  </si>
  <si>
    <t>Cmax</t>
  </si>
  <si>
    <t>Cr</t>
  </si>
  <si>
    <t>Qmax</t>
  </si>
  <si>
    <t>NTU</t>
  </si>
  <si>
    <t>C_h</t>
  </si>
  <si>
    <t>C_c</t>
  </si>
  <si>
    <t>Ain</t>
  </si>
  <si>
    <t>Aout</t>
  </si>
  <si>
    <t>Rt,cond</t>
  </si>
  <si>
    <t>U</t>
  </si>
  <si>
    <t>Area,o</t>
  </si>
  <si>
    <t>N_L</t>
  </si>
  <si>
    <t>efficientcy</t>
  </si>
  <si>
    <t>Rt,conv,h</t>
  </si>
  <si>
    <t>Rt,conv,c</t>
  </si>
  <si>
    <t>Rt,total</t>
  </si>
  <si>
    <t>Length</t>
  </si>
  <si>
    <t>Length of HE</t>
  </si>
  <si>
    <t>Th,o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</si>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</sst>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6" fillId="0" borderId="0" xfId="0" applyFont="1"/>
    <xf numFmtId="0" fontId="0" fillId="0" borderId="0" xfId="0" applyAlignment="1"/>
    <xf numFmtId="0" fontId="7" fillId="0" borderId="0" xfId="0" applyFont="1" applyAlignment="1"/>
    <xf numFmtId="0" fontId="5" fillId="5" borderId="2" xfId="4" applyBorder="1"/>
    <xf numFmtId="0" fontId="5" fillId="5" borderId="18" xfId="4" applyBorder="1"/>
    <xf numFmtId="0" fontId="5" fillId="5" borderId="19" xfId="4" applyBorder="1"/>
    <xf numFmtId="0" fontId="0" fillId="0" borderId="0" xfId="0" applyBorder="1"/>
    <xf numFmtId="0" fontId="1" fillId="7" borderId="5" xfId="6" applyBorder="1"/>
    <xf numFmtId="0" fontId="1" fillId="7" borderId="20" xfId="6" applyBorder="1"/>
    <xf numFmtId="0" fontId="1" fillId="7" borderId="6" xfId="6" applyBorder="1"/>
    <xf numFmtId="0" fontId="1" fillId="7" borderId="7" xfId="6" applyBorder="1"/>
    <xf numFmtId="0" fontId="1" fillId="7" borderId="21" xfId="6" applyBorder="1"/>
    <xf numFmtId="0" fontId="1" fillId="7" borderId="8" xfId="6" applyBorder="1"/>
    <xf numFmtId="0" fontId="0" fillId="0" borderId="5" xfId="0" applyBorder="1"/>
    <xf numFmtId="0" fontId="0" fillId="0" borderId="20" xfId="0" applyBorder="1"/>
    <xf numFmtId="0" fontId="0" fillId="0" borderId="6" xfId="0" applyBorder="1"/>
    <xf numFmtId="0" fontId="0" fillId="0" borderId="22" xfId="0" applyBorder="1"/>
    <xf numFmtId="0" fontId="0" fillId="0" borderId="13" xfId="0" applyBorder="1"/>
    <xf numFmtId="0" fontId="0" fillId="0" borderId="7" xfId="0" applyBorder="1"/>
    <xf numFmtId="0" fontId="0" fillId="0" borderId="21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1" fillId="6" borderId="2" xfId="5" applyBorder="1"/>
    <xf numFmtId="0" fontId="3" fillId="3" borderId="2" xfId="2" applyBorder="1"/>
    <xf numFmtId="0" fontId="2" fillId="2" borderId="2" xfId="1" applyBorder="1"/>
    <xf numFmtId="0" fontId="4" fillId="4" borderId="2" xfId="3" applyBorder="1"/>
    <xf numFmtId="0" fontId="1" fillId="6" borderId="5" xfId="5" applyBorder="1" applyAlignment="1">
      <alignment horizontal="center"/>
    </xf>
    <xf numFmtId="0" fontId="1" fillId="6" borderId="20" xfId="5" applyBorder="1" applyAlignment="1">
      <alignment horizontal="center"/>
    </xf>
    <xf numFmtId="0" fontId="1" fillId="6" borderId="6" xfId="5" applyBorder="1" applyAlignment="1">
      <alignment horizontal="center"/>
    </xf>
    <xf numFmtId="0" fontId="5" fillId="5" borderId="14" xfId="4" applyBorder="1" applyAlignment="1">
      <alignment horizontal="center"/>
    </xf>
    <xf numFmtId="0" fontId="5" fillId="5" borderId="15" xfId="4" applyBorder="1" applyAlignment="1">
      <alignment horizontal="center"/>
    </xf>
    <xf numFmtId="0" fontId="5" fillId="5" borderId="16" xfId="4" applyBorder="1" applyAlignment="1">
      <alignment horizontal="center"/>
    </xf>
    <xf numFmtId="0" fontId="5" fillId="5" borderId="17" xfId="4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8" borderId="0" xfId="0" applyFill="1"/>
  </cellXfs>
  <cellStyles count="9">
    <cellStyle name="40% - Accent1" xfId="5" builtinId="31"/>
    <cellStyle name="40% - Accent4" xfId="6" builtinId="43"/>
    <cellStyle name="Bad" xfId="2" builtinId="27"/>
    <cellStyle name="Followed Hyperlink" xfId="8" builtinId="9" hidden="1"/>
    <cellStyle name="Good" xfId="1" builtinId="26"/>
    <cellStyle name="Hyperlink" xfId="7" builtinId="8" hidden="1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Mdot,c=50kg/s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40.231</c:v>
                </c:pt>
                <c:pt idx="1">
                  <c:v>67.986</c:v>
                </c:pt>
                <c:pt idx="2">
                  <c:v>117.968</c:v>
                </c:pt>
              </c:numCache>
            </c:numRef>
          </c:xVal>
          <c:yVal>
            <c:numRef>
              <c:f>Sheet1!$M$44:$M$46</c:f>
              <c:numCache>
                <c:formatCode>General</c:formatCode>
                <c:ptCount val="3"/>
                <c:pt idx="0">
                  <c:v>400.0</c:v>
                </c:pt>
                <c:pt idx="1">
                  <c:v>525.0</c:v>
                </c:pt>
                <c:pt idx="2">
                  <c:v>600.0</c:v>
                </c:pt>
              </c:numCache>
            </c:numRef>
          </c:yVal>
          <c:smooth val="1"/>
        </c:ser>
        <c:ser>
          <c:idx val="1"/>
          <c:order val="1"/>
          <c:tx>
            <c:v>N_L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40.231</c:v>
                </c:pt>
                <c:pt idx="1">
                  <c:v>67.986</c:v>
                </c:pt>
                <c:pt idx="2">
                  <c:v>117.968</c:v>
                </c:pt>
              </c:numCache>
            </c:numRef>
          </c:xVal>
          <c:yVal>
            <c:numRef>
              <c:f>Sheet1!$N$44:$N$46</c:f>
              <c:numCache>
                <c:formatCode>General</c:formatCode>
                <c:ptCount val="3"/>
                <c:pt idx="0">
                  <c:v>98.75</c:v>
                </c:pt>
                <c:pt idx="1">
                  <c:v>39.15</c:v>
                </c:pt>
                <c:pt idx="2">
                  <c:v>23.35</c:v>
                </c:pt>
              </c:numCache>
            </c:numRef>
          </c:yVal>
          <c:smooth val="1"/>
        </c:ser>
        <c:ser>
          <c:idx val="2"/>
          <c:order val="2"/>
          <c:tx>
            <c:v>Heat Exchanger Length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40.231</c:v>
                </c:pt>
                <c:pt idx="1">
                  <c:v>67.986</c:v>
                </c:pt>
                <c:pt idx="2">
                  <c:v>117.968</c:v>
                </c:pt>
              </c:numCache>
            </c:numRef>
          </c:xVal>
          <c:yVal>
            <c:numRef>
              <c:f>Sheet1!$O$44:$O$46</c:f>
              <c:numCache>
                <c:formatCode>General</c:formatCode>
                <c:ptCount val="3"/>
                <c:pt idx="0">
                  <c:v>3.9551</c:v>
                </c:pt>
                <c:pt idx="1">
                  <c:v>1.5663</c:v>
                </c:pt>
                <c:pt idx="2">
                  <c:v>0.9341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43480"/>
        <c:axId val="2127750328"/>
      </c:scatterChart>
      <c:valAx>
        <c:axId val="2127743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Mdot,h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50328"/>
        <c:crosses val="autoZero"/>
        <c:crossBetween val="midCat"/>
      </c:valAx>
      <c:valAx>
        <c:axId val="21277503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Temp,N_L,Length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43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Mdot,c=60kg/s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xVal>
            <c:numRef>
              <c:f>Sheet1!$L$47:$L$49</c:f>
              <c:numCache>
                <c:formatCode>General</c:formatCode>
                <c:ptCount val="3"/>
                <c:pt idx="0">
                  <c:v>48.277</c:v>
                </c:pt>
                <c:pt idx="1">
                  <c:v>63.817</c:v>
                </c:pt>
                <c:pt idx="2">
                  <c:v>141.562</c:v>
                </c:pt>
              </c:numCache>
            </c:numRef>
          </c:xVal>
          <c:yVal>
            <c:numRef>
              <c:f>Sheet1!$M$47:$M$49</c:f>
              <c:numCache>
                <c:formatCode>General</c:formatCode>
                <c:ptCount val="3"/>
                <c:pt idx="0">
                  <c:v>400.0</c:v>
                </c:pt>
                <c:pt idx="1">
                  <c:v>475.0</c:v>
                </c:pt>
                <c:pt idx="2">
                  <c:v>600.0</c:v>
                </c:pt>
              </c:numCache>
            </c:numRef>
          </c:yVal>
          <c:smooth val="1"/>
        </c:ser>
        <c:ser>
          <c:idx val="1"/>
          <c:order val="1"/>
          <c:tx>
            <c:v>N_L</c:v>
          </c:tx>
          <c:xVal>
            <c:numRef>
              <c:f>Sheet1!$L$47:$L$49</c:f>
              <c:numCache>
                <c:formatCode>General</c:formatCode>
                <c:ptCount val="3"/>
                <c:pt idx="0">
                  <c:v>48.277</c:v>
                </c:pt>
                <c:pt idx="1">
                  <c:v>63.817</c:v>
                </c:pt>
                <c:pt idx="2">
                  <c:v>141.562</c:v>
                </c:pt>
              </c:numCache>
            </c:numRef>
          </c:xVal>
          <c:yVal>
            <c:numRef>
              <c:f>Sheet1!$N$47:$N$49</c:f>
              <c:numCache>
                <c:formatCode>General</c:formatCode>
                <c:ptCount val="3"/>
                <c:pt idx="0">
                  <c:v>103.55</c:v>
                </c:pt>
                <c:pt idx="1">
                  <c:v>57.95</c:v>
                </c:pt>
                <c:pt idx="2">
                  <c:v>25.25</c:v>
                </c:pt>
              </c:numCache>
            </c:numRef>
          </c:yVal>
          <c:smooth val="1"/>
        </c:ser>
        <c:ser>
          <c:idx val="2"/>
          <c:order val="2"/>
          <c:tx>
            <c:v>Length</c:v>
          </c:tx>
          <c:xVal>
            <c:numRef>
              <c:f>Sheet1!$L$47:$L$49</c:f>
              <c:numCache>
                <c:formatCode>General</c:formatCode>
                <c:ptCount val="3"/>
                <c:pt idx="0">
                  <c:v>48.277</c:v>
                </c:pt>
                <c:pt idx="1">
                  <c:v>63.817</c:v>
                </c:pt>
                <c:pt idx="2">
                  <c:v>141.562</c:v>
                </c:pt>
              </c:numCache>
            </c:numRef>
          </c:xVal>
          <c:yVal>
            <c:numRef>
              <c:f>Sheet1!$O$47:$O$49</c:f>
              <c:numCache>
                <c:formatCode>General</c:formatCode>
                <c:ptCount val="3"/>
                <c:pt idx="0">
                  <c:v>4.1429</c:v>
                </c:pt>
                <c:pt idx="1">
                  <c:v>2.3178</c:v>
                </c:pt>
                <c:pt idx="2">
                  <c:v>1.0106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20520"/>
        <c:axId val="2127826008"/>
      </c:scatterChart>
      <c:valAx>
        <c:axId val="2127820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Mdot,h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26008"/>
        <c:crosses val="autoZero"/>
        <c:crossBetween val="midCat"/>
      </c:valAx>
      <c:valAx>
        <c:axId val="21278260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Temp,N_L,Length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2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Mdot,c=70kg/s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xVal>
            <c:numRef>
              <c:f>Sheet1!$L$50:$L$52</c:f>
              <c:numCache>
                <c:formatCode>General</c:formatCode>
                <c:ptCount val="3"/>
                <c:pt idx="0">
                  <c:v>56.323</c:v>
                </c:pt>
                <c:pt idx="1">
                  <c:v>83.52</c:v>
                </c:pt>
                <c:pt idx="2">
                  <c:v>165.155</c:v>
                </c:pt>
              </c:numCache>
            </c:numRef>
          </c:xVal>
          <c:yVal>
            <c:numRef>
              <c:f>Sheet1!$M$50:$M$52</c:f>
              <c:numCache>
                <c:formatCode>General</c:formatCode>
                <c:ptCount val="3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</c:numCache>
            </c:numRef>
          </c:yVal>
          <c:smooth val="1"/>
        </c:ser>
        <c:ser>
          <c:idx val="1"/>
          <c:order val="1"/>
          <c:tx>
            <c:v>N_L</c:v>
          </c:tx>
          <c:xVal>
            <c:numRef>
              <c:f>Sheet1!$L$50:$L$52</c:f>
              <c:numCache>
                <c:formatCode>General</c:formatCode>
                <c:ptCount val="3"/>
                <c:pt idx="0">
                  <c:v>56.323</c:v>
                </c:pt>
                <c:pt idx="1">
                  <c:v>83.52</c:v>
                </c:pt>
                <c:pt idx="2">
                  <c:v>165.155</c:v>
                </c:pt>
              </c:numCache>
            </c:numRef>
          </c:xVal>
          <c:yVal>
            <c:numRef>
              <c:f>Sheet1!$N$50:$N$52</c:f>
              <c:numCache>
                <c:formatCode>General</c:formatCode>
                <c:ptCount val="3"/>
                <c:pt idx="0">
                  <c:v>108.65</c:v>
                </c:pt>
                <c:pt idx="1">
                  <c:v>52.7</c:v>
                </c:pt>
                <c:pt idx="2">
                  <c:v>27.0</c:v>
                </c:pt>
              </c:numCache>
            </c:numRef>
          </c:yVal>
          <c:smooth val="1"/>
        </c:ser>
        <c:ser>
          <c:idx val="2"/>
          <c:order val="2"/>
          <c:tx>
            <c:v>Length</c:v>
          </c:tx>
          <c:xVal>
            <c:numRef>
              <c:f>Sheet1!$L$50:$L$52</c:f>
              <c:numCache>
                <c:formatCode>General</c:formatCode>
                <c:ptCount val="3"/>
                <c:pt idx="0">
                  <c:v>56.323</c:v>
                </c:pt>
                <c:pt idx="1">
                  <c:v>83.52</c:v>
                </c:pt>
                <c:pt idx="2">
                  <c:v>165.155</c:v>
                </c:pt>
              </c:numCache>
            </c:numRef>
          </c:xVal>
          <c:yVal>
            <c:numRef>
              <c:f>Sheet1!$O$50:$O$52</c:f>
              <c:numCache>
                <c:formatCode>General</c:formatCode>
                <c:ptCount val="3"/>
                <c:pt idx="0">
                  <c:v>4.3459</c:v>
                </c:pt>
                <c:pt idx="1">
                  <c:v>2.1083</c:v>
                </c:pt>
                <c:pt idx="2">
                  <c:v>1.0807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61432"/>
        <c:axId val="2127866920"/>
      </c:scatterChart>
      <c:valAx>
        <c:axId val="2127861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Mdot,h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66920"/>
        <c:crosses val="autoZero"/>
        <c:crossBetween val="midCat"/>
      </c:valAx>
      <c:valAx>
        <c:axId val="2127866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Temp,N_L,Length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6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67</xdr:row>
      <xdr:rowOff>180975</xdr:rowOff>
    </xdr:from>
    <xdr:to>
      <xdr:col>7</xdr:col>
      <xdr:colOff>28576</xdr:colOff>
      <xdr:row>85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285751</xdr:colOff>
      <xdr:row>49</xdr:row>
      <xdr:rowOff>114299</xdr:rowOff>
    </xdr:from>
    <xdr:to>
      <xdr:col>7</xdr:col>
      <xdr:colOff>28576</xdr:colOff>
      <xdr:row>67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59</xdr:row>
      <xdr:rowOff>4762</xdr:rowOff>
    </xdr:from>
    <xdr:to>
      <xdr:col>15</xdr:col>
      <xdr:colOff>19050</xdr:colOff>
      <xdr:row>77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O52"/>
  <sheetViews>
    <sheetView tabSelected="1" workbookViewId="0">
      <selection activeCell="O35" sqref="O35"/>
    </sheetView>
  </sheetViews>
  <sheetFormatPr baseColWidth="10" defaultColWidth="8.83203125" defaultRowHeight="14" x14ac:dyDescent="0"/>
  <cols>
    <col min="3" max="4" width="12" bestFit="1" customWidth="1"/>
    <col min="5" max="5" width="11" bestFit="1" customWidth="1"/>
    <col min="6" max="6" width="12" bestFit="1" customWidth="1"/>
  </cols>
  <sheetData>
    <row r="1" spans="1:8">
      <c r="A1" s="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>
      <c r="A3">
        <v>450</v>
      </c>
      <c r="B3">
        <v>1021</v>
      </c>
      <c r="C3">
        <v>2.5069999999999999E-5</v>
      </c>
      <c r="D3">
        <v>3.73E-2</v>
      </c>
      <c r="E3">
        <v>0.68600000000000005</v>
      </c>
      <c r="F3">
        <v>0.77400000000000002</v>
      </c>
    </row>
    <row r="4" spans="1:8">
      <c r="A4">
        <v>500</v>
      </c>
      <c r="B4">
        <v>1030</v>
      </c>
      <c r="C4">
        <v>2.7010000000000001E-5</v>
      </c>
      <c r="D4">
        <v>4.07E-2</v>
      </c>
      <c r="E4">
        <v>0.68400000000000005</v>
      </c>
      <c r="F4">
        <v>0.69640000000000002</v>
      </c>
    </row>
    <row r="5" spans="1:8">
      <c r="A5">
        <v>550</v>
      </c>
      <c r="B5">
        <v>1040</v>
      </c>
      <c r="C5">
        <v>2.8839999999999998E-5</v>
      </c>
      <c r="D5">
        <v>4.3900000000000002E-2</v>
      </c>
      <c r="E5">
        <v>0.68300000000000005</v>
      </c>
      <c r="F5">
        <v>0.63290000000000002</v>
      </c>
    </row>
    <row r="6" spans="1:8">
      <c r="A6">
        <v>600</v>
      </c>
      <c r="B6">
        <v>1051</v>
      </c>
      <c r="C6">
        <v>3.0580000000000002E-5</v>
      </c>
      <c r="D6">
        <v>4.6899999999999997E-2</v>
      </c>
      <c r="E6">
        <v>0.68500000000000005</v>
      </c>
      <c r="F6">
        <v>0.58040000000000003</v>
      </c>
    </row>
    <row r="7" spans="1:8">
      <c r="A7">
        <v>650</v>
      </c>
      <c r="B7">
        <v>1063</v>
      </c>
      <c r="C7">
        <v>3.2249999999999998E-5</v>
      </c>
      <c r="D7">
        <v>4.9700000000000001E-2</v>
      </c>
      <c r="E7">
        <v>0.69</v>
      </c>
      <c r="F7">
        <v>0.53559999999999997</v>
      </c>
    </row>
    <row r="9" spans="1:8">
      <c r="A9" s="1" t="s">
        <v>7</v>
      </c>
    </row>
    <row r="10" spans="1:8">
      <c r="B10">
        <v>4180</v>
      </c>
      <c r="C10">
        <v>5.7700000000000004E-4</v>
      </c>
      <c r="D10">
        <v>0.64</v>
      </c>
      <c r="E10">
        <v>3.77</v>
      </c>
      <c r="F10">
        <v>989</v>
      </c>
    </row>
    <row r="11" spans="1:8" ht="15" thickBot="1">
      <c r="A11" s="1" t="s">
        <v>24</v>
      </c>
    </row>
    <row r="12" spans="1:8">
      <c r="A12" s="22" t="s">
        <v>8</v>
      </c>
      <c r="B12" s="42" t="s">
        <v>9</v>
      </c>
      <c r="C12" s="43"/>
      <c r="D12" s="42" t="s">
        <v>10</v>
      </c>
      <c r="E12" s="43"/>
    </row>
    <row r="13" spans="1:8" ht="15" thickBot="1">
      <c r="A13" s="23">
        <v>1.2</v>
      </c>
      <c r="B13" s="44">
        <v>2</v>
      </c>
      <c r="C13" s="45"/>
      <c r="D13" s="44">
        <v>2</v>
      </c>
      <c r="E13" s="45"/>
    </row>
    <row r="14" spans="1:8">
      <c r="A14" s="22" t="s">
        <v>11</v>
      </c>
      <c r="B14" s="22" t="s">
        <v>12</v>
      </c>
      <c r="C14" s="22" t="s">
        <v>13</v>
      </c>
      <c r="D14" s="22" t="s">
        <v>14</v>
      </c>
      <c r="E14" s="22" t="s">
        <v>15</v>
      </c>
      <c r="F14" s="22" t="s">
        <v>54</v>
      </c>
      <c r="G14" s="22" t="s">
        <v>22</v>
      </c>
    </row>
    <row r="15" spans="1:8" ht="15" thickBot="1">
      <c r="A15" s="23">
        <v>400</v>
      </c>
      <c r="B15" s="23">
        <v>0.04</v>
      </c>
      <c r="C15" s="23">
        <v>0.04</v>
      </c>
      <c r="D15" s="23">
        <v>30</v>
      </c>
      <c r="E15" s="23">
        <v>60</v>
      </c>
      <c r="F15" s="23">
        <f>C17*B10</f>
        <v>292600</v>
      </c>
      <c r="G15" s="23">
        <v>700</v>
      </c>
    </row>
    <row r="16" spans="1:8">
      <c r="A16" s="22" t="s">
        <v>16</v>
      </c>
      <c r="B16" s="22" t="s">
        <v>17</v>
      </c>
      <c r="C16" s="5" t="s">
        <v>18</v>
      </c>
      <c r="D16" s="22" t="s">
        <v>19</v>
      </c>
      <c r="E16" s="22" t="s">
        <v>20</v>
      </c>
      <c r="F16" s="22" t="s">
        <v>21</v>
      </c>
      <c r="G16" s="36" t="s">
        <v>23</v>
      </c>
      <c r="H16" s="37"/>
    </row>
    <row r="17" spans="1:9" ht="15" thickBot="1">
      <c r="A17" s="23">
        <v>290</v>
      </c>
      <c r="B17" s="23">
        <v>350</v>
      </c>
      <c r="C17" s="6">
        <v>70</v>
      </c>
      <c r="D17" s="23">
        <v>1.4999999999999999E-2</v>
      </c>
      <c r="E17" s="23">
        <v>0.02</v>
      </c>
      <c r="F17" s="23">
        <f>F15*(B17-A17)</f>
        <v>17556000</v>
      </c>
      <c r="G17" s="38">
        <v>600</v>
      </c>
      <c r="H17" s="39"/>
    </row>
    <row r="20" spans="1:9">
      <c r="A20" s="1" t="s">
        <v>25</v>
      </c>
    </row>
    <row r="21" spans="1:9" ht="15" thickBot="1"/>
    <row r="22" spans="1:9" ht="15" thickBot="1">
      <c r="A22" t="s">
        <v>26</v>
      </c>
      <c r="C22" s="22" t="s">
        <v>27</v>
      </c>
      <c r="D22" s="22" t="s">
        <v>28</v>
      </c>
      <c r="E22" s="22" t="s">
        <v>29</v>
      </c>
      <c r="F22" s="22" t="s">
        <v>40</v>
      </c>
    </row>
    <row r="23" spans="1:9" ht="15" thickBot="1">
      <c r="A23" s="4">
        <v>27</v>
      </c>
      <c r="C23" s="23">
        <f>(4*C17/(PI()*D17*C10*A23*D15))</f>
        <v>12713.234786352195</v>
      </c>
      <c r="D23" s="24">
        <f>((0.79*LN(C23))-1.64)^(-2)</f>
        <v>2.9463654205395696E-2</v>
      </c>
      <c r="E23" s="24">
        <f>((D23/8)*(C23-1000)*E10)/(((D23/8)^(1/2))*12.7*((E10^(2/3))-1)+1)</f>
        <v>77.585511138748586</v>
      </c>
      <c r="F23" s="24">
        <f>(E23*D10)/D17</f>
        <v>3310.3151419199398</v>
      </c>
    </row>
    <row r="24" spans="1:9" ht="15" thickBot="1">
      <c r="C24" s="25" t="s">
        <v>30</v>
      </c>
      <c r="D24" s="26"/>
      <c r="E24" s="28">
        <v>4</v>
      </c>
      <c r="F24" s="27">
        <f>(E24*D10)/D17</f>
        <v>170.66666666666669</v>
      </c>
    </row>
    <row r="26" spans="1:9">
      <c r="A26" s="1" t="s">
        <v>31</v>
      </c>
    </row>
    <row r="27" spans="1:9">
      <c r="I27" s="7"/>
    </row>
    <row r="28" spans="1:9">
      <c r="A28" s="3" t="s">
        <v>33</v>
      </c>
      <c r="B28" s="2" t="s">
        <v>32</v>
      </c>
      <c r="C28" t="s">
        <v>34</v>
      </c>
      <c r="D28" t="s">
        <v>3</v>
      </c>
      <c r="E28" t="s">
        <v>4</v>
      </c>
      <c r="F28" t="s">
        <v>35</v>
      </c>
      <c r="G28" t="s">
        <v>6</v>
      </c>
    </row>
    <row r="29" spans="1:9">
      <c r="A29">
        <f>(G17+G15)/2</f>
        <v>650</v>
      </c>
      <c r="B29">
        <v>600</v>
      </c>
      <c r="C29">
        <v>1051</v>
      </c>
      <c r="D29">
        <v>3.0580000000000002E-5</v>
      </c>
      <c r="E29">
        <v>4.6899999999999997E-2</v>
      </c>
      <c r="F29">
        <v>0.68500000000000005</v>
      </c>
      <c r="G29">
        <v>0.58040000000000003</v>
      </c>
    </row>
    <row r="30" spans="1:9" ht="15" thickBot="1">
      <c r="B30">
        <v>650</v>
      </c>
      <c r="C30">
        <v>1063</v>
      </c>
      <c r="D30">
        <v>3.2249999999999998E-5</v>
      </c>
      <c r="E30">
        <v>4.9700000000000001E-2</v>
      </c>
      <c r="F30">
        <v>0.69</v>
      </c>
      <c r="G30">
        <v>0.53559999999999997</v>
      </c>
    </row>
    <row r="31" spans="1:9" ht="15" thickBot="1">
      <c r="A31" s="40" t="s">
        <v>36</v>
      </c>
      <c r="B31" s="41"/>
      <c r="C31" s="26">
        <f>C30-(C30-C29)*((B30-A29)/(B30-B29))</f>
        <v>1063</v>
      </c>
      <c r="D31" s="26">
        <f>D30-(D30-D29)*((B30-A29)/(B30-B29))</f>
        <v>3.2249999999999998E-5</v>
      </c>
      <c r="E31" s="26">
        <f>E30-(E30-E29)*((B30-A29)/(B30-B29))</f>
        <v>4.9700000000000001E-2</v>
      </c>
      <c r="F31" s="26">
        <f>F30-(F30-F29)*((B30-A29)/(B30-B29))</f>
        <v>0.69</v>
      </c>
      <c r="G31" s="27">
        <f>G30-(G30-G29)*((B30-A29)/(B30-B29))</f>
        <v>0.53559999999999997</v>
      </c>
    </row>
    <row r="33" spans="1:15">
      <c r="A33" s="46" t="s">
        <v>37</v>
      </c>
      <c r="B33" t="s">
        <v>53</v>
      </c>
      <c r="C33" t="s">
        <v>38</v>
      </c>
      <c r="D33" t="s">
        <v>39</v>
      </c>
      <c r="E33" t="s">
        <v>27</v>
      </c>
      <c r="F33" t="s">
        <v>29</v>
      </c>
      <c r="G33" t="s">
        <v>41</v>
      </c>
    </row>
    <row r="34" spans="1:15" ht="15" thickBot="1">
      <c r="A34" s="46">
        <f>(C17*B10*(B17-A17))/(C31*(G15-G17))</f>
        <v>165.15522107243649</v>
      </c>
      <c r="B34">
        <f>A34*C31</f>
        <v>175560</v>
      </c>
      <c r="C34">
        <f>G17</f>
        <v>600</v>
      </c>
      <c r="D34">
        <f>F38*G31</f>
        <v>137.62935089369708</v>
      </c>
      <c r="E34">
        <f>(D34*E17)/D31</f>
        <v>85351.535437951679</v>
      </c>
      <c r="F34">
        <f>0.35*(E34^0.6)*(F31^0.36)</f>
        <v>278.47134984205451</v>
      </c>
      <c r="G34">
        <f>(F34*E31)/E17</f>
        <v>692.00130435750543</v>
      </c>
    </row>
    <row r="35" spans="1:15">
      <c r="C35" s="14" t="s">
        <v>42</v>
      </c>
      <c r="D35" s="15">
        <f>(C15^2+(B15/2)^2)^(1/2)</f>
        <v>4.4721359549995794E-2</v>
      </c>
      <c r="E35" s="15"/>
      <c r="F35" s="16"/>
    </row>
    <row r="36" spans="1:15">
      <c r="C36" s="17" t="s">
        <v>43</v>
      </c>
      <c r="D36" s="7">
        <f>A34/(2.4*G31)</f>
        <v>128.48147021442969</v>
      </c>
      <c r="E36" s="7"/>
      <c r="F36" s="18"/>
      <c r="I36" s="7"/>
    </row>
    <row r="37" spans="1:15">
      <c r="C37" s="17" t="s">
        <v>44</v>
      </c>
      <c r="D37" s="7">
        <f>(B15-E17)*2*D15</f>
        <v>1.2</v>
      </c>
      <c r="E37" s="7" t="s">
        <v>45</v>
      </c>
      <c r="F37" s="18">
        <v>2.9666000000000001</v>
      </c>
    </row>
    <row r="38" spans="1:15" ht="15" thickBot="1">
      <c r="C38" s="19" t="s">
        <v>46</v>
      </c>
      <c r="D38" s="20">
        <f>(D35+E17)/2</f>
        <v>3.2360679774997896E-2</v>
      </c>
      <c r="E38" s="20" t="s">
        <v>47</v>
      </c>
      <c r="F38" s="21">
        <f>(B15*D36)/(B15-E17)</f>
        <v>256.96294042885938</v>
      </c>
    </row>
    <row r="40" spans="1:15">
      <c r="A40" t="s">
        <v>48</v>
      </c>
      <c r="B40" t="s">
        <v>49</v>
      </c>
      <c r="C40" t="s">
        <v>50</v>
      </c>
      <c r="D40" t="s">
        <v>51</v>
      </c>
      <c r="E40" t="s">
        <v>61</v>
      </c>
      <c r="F40" t="s">
        <v>52</v>
      </c>
    </row>
    <row r="41" spans="1:15" ht="15" thickBot="1">
      <c r="A41">
        <f>B34</f>
        <v>175560</v>
      </c>
      <c r="B41">
        <f>F15</f>
        <v>292600</v>
      </c>
      <c r="C41">
        <f>A41/B41</f>
        <v>0.6</v>
      </c>
      <c r="D41">
        <f>A41*(G15-A17)</f>
        <v>71979600</v>
      </c>
      <c r="E41">
        <f>F17/D41</f>
        <v>0.24390243902439024</v>
      </c>
      <c r="F41">
        <f>-(1/C41)*LN(C41*LN(1-E41)+1)</f>
        <v>0.30603917459717739</v>
      </c>
    </row>
    <row r="42" spans="1:15" ht="15" thickBot="1">
      <c r="K42" s="33" t="s">
        <v>68</v>
      </c>
      <c r="L42" s="34"/>
      <c r="M42" s="34"/>
      <c r="N42" s="34"/>
      <c r="O42" s="35"/>
    </row>
    <row r="43" spans="1:15" ht="15" thickBot="1">
      <c r="A43" t="s">
        <v>55</v>
      </c>
      <c r="B43" t="s">
        <v>56</v>
      </c>
      <c r="C43" t="s">
        <v>62</v>
      </c>
      <c r="D43" t="s">
        <v>57</v>
      </c>
      <c r="E43" t="s">
        <v>63</v>
      </c>
      <c r="F43" t="s">
        <v>64</v>
      </c>
      <c r="G43" t="s">
        <v>58</v>
      </c>
      <c r="K43" s="29" t="s">
        <v>18</v>
      </c>
      <c r="L43" s="29" t="s">
        <v>37</v>
      </c>
      <c r="M43" s="29" t="s">
        <v>67</v>
      </c>
      <c r="N43" s="29" t="s">
        <v>60</v>
      </c>
      <c r="O43" s="29" t="s">
        <v>65</v>
      </c>
    </row>
    <row r="44" spans="1:15" ht="15" thickBot="1">
      <c r="A44">
        <f>PI()*D17*B13*A23*D15</f>
        <v>76.340701482231964</v>
      </c>
      <c r="B44">
        <f>PI()*E17*B13*D15*A23</f>
        <v>101.7876019763093</v>
      </c>
      <c r="C44">
        <f>1/(G34*B44)</f>
        <v>1.4197053013252548E-5</v>
      </c>
      <c r="D44">
        <f>LN(E17/D17)/(2*PI()*(D15*A23*B13)*E15)</f>
        <v>4.7104962828828936E-7</v>
      </c>
      <c r="E44">
        <f>1/(A44*F23)</f>
        <v>3.9570771087796008E-6</v>
      </c>
      <c r="F44">
        <f>C44+D44+E44</f>
        <v>1.8625179750320438E-5</v>
      </c>
      <c r="G44">
        <f>1/(F44*B44)</f>
        <v>527.47835644562792</v>
      </c>
      <c r="K44" s="31">
        <v>50</v>
      </c>
      <c r="L44" s="31">
        <v>40.231000000000002</v>
      </c>
      <c r="M44" s="31">
        <v>400</v>
      </c>
      <c r="N44" s="31">
        <v>98.75</v>
      </c>
      <c r="O44" s="31">
        <v>3.9550999999999998</v>
      </c>
    </row>
    <row r="45" spans="1:15" ht="15" thickBot="1">
      <c r="K45" s="31">
        <v>50</v>
      </c>
      <c r="L45" s="31">
        <v>67.986000000000004</v>
      </c>
      <c r="M45" s="31">
        <v>525</v>
      </c>
      <c r="N45" s="31">
        <v>39.15</v>
      </c>
      <c r="O45" s="31">
        <v>1.5663</v>
      </c>
    </row>
    <row r="46" spans="1:15" ht="15" thickBot="1">
      <c r="A46" s="8" t="s">
        <v>59</v>
      </c>
      <c r="B46" s="9" t="s">
        <v>60</v>
      </c>
      <c r="C46" s="10" t="s">
        <v>66</v>
      </c>
      <c r="G46" s="7"/>
      <c r="K46" s="31">
        <v>50</v>
      </c>
      <c r="L46" s="31">
        <v>117.968</v>
      </c>
      <c r="M46" s="31">
        <v>600</v>
      </c>
      <c r="N46" s="31">
        <v>23.35</v>
      </c>
      <c r="O46" s="31">
        <v>0.93410000000000004</v>
      </c>
    </row>
    <row r="47" spans="1:15" ht="15" thickBot="1">
      <c r="A47" s="11">
        <f>(F41*A41)/G44</f>
        <v>101.85865796337887</v>
      </c>
      <c r="B47" s="12">
        <f>A47/(PI()*E17*B13*D15)</f>
        <v>27.018848185963993</v>
      </c>
      <c r="C47" s="13">
        <f>B47*C15</f>
        <v>1.0807539274385598</v>
      </c>
      <c r="K47" s="32">
        <v>60</v>
      </c>
      <c r="L47" s="32">
        <v>48.277000000000001</v>
      </c>
      <c r="M47" s="32">
        <v>400</v>
      </c>
      <c r="N47" s="32">
        <v>103.55</v>
      </c>
      <c r="O47" s="32">
        <v>4.1429</v>
      </c>
    </row>
    <row r="48" spans="1:15" ht="15" thickBot="1">
      <c r="K48" s="32">
        <v>60</v>
      </c>
      <c r="L48" s="32">
        <v>63.817</v>
      </c>
      <c r="M48" s="32">
        <v>475</v>
      </c>
      <c r="N48" s="32">
        <v>57.95</v>
      </c>
      <c r="O48" s="32">
        <v>2.3178000000000001</v>
      </c>
    </row>
    <row r="49" spans="11:15" ht="15" thickBot="1">
      <c r="K49" s="32">
        <v>60</v>
      </c>
      <c r="L49" s="32">
        <v>141.56200000000001</v>
      </c>
      <c r="M49" s="32">
        <v>600</v>
      </c>
      <c r="N49" s="32">
        <v>25.25</v>
      </c>
      <c r="O49" s="32">
        <v>1.0105999999999999</v>
      </c>
    </row>
    <row r="50" spans="11:15" ht="15" thickBot="1">
      <c r="K50" s="30">
        <v>70</v>
      </c>
      <c r="L50" s="30">
        <v>56.323</v>
      </c>
      <c r="M50" s="30">
        <v>400</v>
      </c>
      <c r="N50" s="30">
        <v>108.65</v>
      </c>
      <c r="O50" s="30">
        <v>4.3459000000000003</v>
      </c>
    </row>
    <row r="51" spans="11:15" ht="15" thickBot="1">
      <c r="K51" s="30">
        <v>70</v>
      </c>
      <c r="L51" s="30">
        <v>83.52</v>
      </c>
      <c r="M51" s="30">
        <v>500</v>
      </c>
      <c r="N51" s="30">
        <v>52.7</v>
      </c>
      <c r="O51" s="30">
        <v>2.1082999999999998</v>
      </c>
    </row>
    <row r="52" spans="11:15" ht="15" thickBot="1">
      <c r="K52" s="30">
        <v>70</v>
      </c>
      <c r="L52" s="30">
        <v>165.155</v>
      </c>
      <c r="M52" s="30">
        <v>600</v>
      </c>
      <c r="N52" s="30">
        <v>27</v>
      </c>
      <c r="O52" s="30">
        <v>1.0807</v>
      </c>
    </row>
  </sheetData>
  <mergeCells count="8">
    <mergeCell ref="K42:O42"/>
    <mergeCell ref="G16:H16"/>
    <mergeCell ref="G17:H17"/>
    <mergeCell ref="A31:B31"/>
    <mergeCell ref="B12:C12"/>
    <mergeCell ref="D12:E12"/>
    <mergeCell ref="D13:E13"/>
    <mergeCell ref="B13:C13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Zach</cp:lastModifiedBy>
  <dcterms:created xsi:type="dcterms:W3CDTF">2018-05-15T00:33:26Z</dcterms:created>
  <dcterms:modified xsi:type="dcterms:W3CDTF">2018-05-15T18:36:06Z</dcterms:modified>
</cp:coreProperties>
</file>