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Bitnami\wampstack-7.1.29-0\apache2\htdocs\hr\"/>
    </mc:Choice>
  </mc:AlternateContent>
  <bookViews>
    <workbookView xWindow="0" yWindow="0" windowWidth="21600" windowHeight="9750" tabRatio="686" activeTab="2"/>
  </bookViews>
  <sheets>
    <sheet name="团队经理KPI" sheetId="16" r:id="rId1"/>
    <sheet name="团队经理预付费KPI" sheetId="1" r:id="rId2"/>
    <sheet name="团队经理薪酬" sheetId="17" r:id="rId3"/>
  </sheets>
  <definedNames>
    <definedName name="_xlnm._FilterDatabase" localSheetId="0" hidden="1">团队经理KPI!$B$1:$AN$7</definedName>
    <definedName name="_xlnm._FilterDatabase" localSheetId="1" hidden="1">团队经理预付费KPI!$A$1:$P$19</definedName>
  </definedNames>
  <calcPr calcId="152511"/>
</workbook>
</file>

<file path=xl/calcChain.xml><?xml version="1.0" encoding="utf-8"?>
<calcChain xmlns="http://schemas.openxmlformats.org/spreadsheetml/2006/main">
  <c r="G2" i="1" l="1"/>
  <c r="I2" i="1" s="1"/>
  <c r="S20" i="16" l="1"/>
  <c r="U20" i="16" s="1"/>
  <c r="V20" i="16" s="1"/>
  <c r="N14" i="16"/>
  <c r="G14" i="16"/>
  <c r="AH17" i="16"/>
  <c r="E18" i="1"/>
  <c r="G18" i="1" s="1"/>
  <c r="I18" i="1" s="1"/>
  <c r="E17" i="1"/>
  <c r="E15" i="1"/>
  <c r="E13" i="1"/>
  <c r="E12" i="1"/>
  <c r="G12" i="1" s="1"/>
  <c r="I12" i="1" s="1"/>
  <c r="E11" i="1"/>
  <c r="E10" i="1"/>
  <c r="G10" i="1" s="1"/>
  <c r="I10" i="1" s="1"/>
  <c r="E6" i="1"/>
  <c r="G6" i="1" s="1"/>
  <c r="I6" i="1" s="1"/>
  <c r="E5" i="1"/>
  <c r="E4" i="1"/>
  <c r="O15" i="1"/>
  <c r="J15" i="1"/>
  <c r="L15" i="1" s="1"/>
  <c r="N15" i="1" s="1"/>
  <c r="G15" i="1"/>
  <c r="I15" i="1" s="1"/>
  <c r="AH9" i="16"/>
  <c r="AH10" i="16"/>
  <c r="AH11" i="16"/>
  <c r="AH12" i="16"/>
  <c r="AH13" i="16"/>
  <c r="AH14" i="16"/>
  <c r="AH15" i="16"/>
  <c r="AH16" i="16"/>
  <c r="AH18" i="16"/>
  <c r="AH19" i="16"/>
  <c r="AH20" i="16"/>
  <c r="AH8" i="16"/>
  <c r="AH2" i="16"/>
  <c r="AJ18" i="16"/>
  <c r="AK18" i="16"/>
  <c r="AE18" i="16"/>
  <c r="AF18" i="16" s="1"/>
  <c r="Y18" i="16"/>
  <c r="AA18" i="16" s="1"/>
  <c r="AB18" i="16" s="1"/>
  <c r="U18" i="16"/>
  <c r="V18" i="16" s="1"/>
  <c r="O18" i="16"/>
  <c r="Q18" i="16" s="1"/>
  <c r="R18" i="16" s="1"/>
  <c r="H18" i="16"/>
  <c r="J18" i="16" s="1"/>
  <c r="K18" i="16" s="1"/>
  <c r="AJ20" i="16"/>
  <c r="AK20" i="16"/>
  <c r="AE20" i="16"/>
  <c r="AF20" i="16" s="1"/>
  <c r="Y20" i="16"/>
  <c r="AA20" i="16" s="1"/>
  <c r="AB20" i="16" s="1"/>
  <c r="O20" i="16"/>
  <c r="Q20" i="16" s="1"/>
  <c r="R20" i="16" s="1"/>
  <c r="H20" i="16"/>
  <c r="J20" i="16" s="1"/>
  <c r="K20" i="16" s="1"/>
  <c r="U8" i="16"/>
  <c r="V8" i="16" s="1"/>
  <c r="U14" i="16"/>
  <c r="V14" i="16" s="1"/>
  <c r="U9" i="16"/>
  <c r="V9" i="16" s="1"/>
  <c r="U19" i="16"/>
  <c r="V19" i="16" s="1"/>
  <c r="U16" i="16"/>
  <c r="V16" i="16" s="1"/>
  <c r="U2" i="16"/>
  <c r="V2" i="16" s="1"/>
  <c r="U3" i="16"/>
  <c r="V3" i="16" s="1"/>
  <c r="U5" i="16"/>
  <c r="V5" i="16" s="1"/>
  <c r="AJ12" i="16"/>
  <c r="AK12" i="16"/>
  <c r="AE12" i="16"/>
  <c r="AF12" i="16" s="1"/>
  <c r="Y12" i="16"/>
  <c r="AA12" i="16" s="1"/>
  <c r="AB12" i="16" s="1"/>
  <c r="U12" i="16"/>
  <c r="V12" i="16" s="1"/>
  <c r="O12" i="16"/>
  <c r="Q12" i="16" s="1"/>
  <c r="R12" i="16" s="1"/>
  <c r="H12" i="16"/>
  <c r="J12" i="16" s="1"/>
  <c r="K12" i="16" s="1"/>
  <c r="AJ10" i="16"/>
  <c r="AK10" i="16"/>
  <c r="AE10" i="16"/>
  <c r="AF10" i="16" s="1"/>
  <c r="Y10" i="16"/>
  <c r="AA10" i="16" s="1"/>
  <c r="AB10" i="16" s="1"/>
  <c r="U10" i="16"/>
  <c r="V10" i="16" s="1"/>
  <c r="O10" i="16"/>
  <c r="Q10" i="16" s="1"/>
  <c r="R10" i="16" s="1"/>
  <c r="H10" i="16"/>
  <c r="J10" i="16" s="1"/>
  <c r="K10" i="16" s="1"/>
  <c r="AJ8" i="16"/>
  <c r="AK8" i="16"/>
  <c r="AE8" i="16"/>
  <c r="AF8" i="16" s="1"/>
  <c r="Y8" i="16"/>
  <c r="AA8" i="16" s="1"/>
  <c r="AB8" i="16" s="1"/>
  <c r="O8" i="16"/>
  <c r="Q8" i="16" s="1"/>
  <c r="R8" i="16" s="1"/>
  <c r="H8" i="16"/>
  <c r="J8" i="16" s="1"/>
  <c r="K8" i="16" s="1"/>
  <c r="AJ14" i="16"/>
  <c r="AK14" i="16"/>
  <c r="AE14" i="16"/>
  <c r="AF14" i="16" s="1"/>
  <c r="Y14" i="16"/>
  <c r="AA14" i="16" s="1"/>
  <c r="AB14" i="16" s="1"/>
  <c r="O14" i="16"/>
  <c r="Q14" i="16" s="1"/>
  <c r="R14" i="16" s="1"/>
  <c r="H14" i="16"/>
  <c r="J14" i="16" s="1"/>
  <c r="K14" i="16" s="1"/>
  <c r="AJ15" i="16"/>
  <c r="AK15" i="16"/>
  <c r="AE15" i="16"/>
  <c r="AF15" i="16" s="1"/>
  <c r="Y15" i="16"/>
  <c r="AA15" i="16" s="1"/>
  <c r="AB15" i="16" s="1"/>
  <c r="U15" i="16"/>
  <c r="V15" i="16" s="1"/>
  <c r="O15" i="16"/>
  <c r="Q15" i="16" s="1"/>
  <c r="R15" i="16" s="1"/>
  <c r="H15" i="16"/>
  <c r="J15" i="16" s="1"/>
  <c r="K15" i="16" s="1"/>
  <c r="AJ11" i="16"/>
  <c r="AK11" i="16"/>
  <c r="AE11" i="16"/>
  <c r="AF11" i="16" s="1"/>
  <c r="Y11" i="16"/>
  <c r="AA11" i="16" s="1"/>
  <c r="AB11" i="16" s="1"/>
  <c r="U11" i="16"/>
  <c r="V11" i="16" s="1"/>
  <c r="O11" i="16"/>
  <c r="Q11" i="16" s="1"/>
  <c r="R11" i="16" s="1"/>
  <c r="H11" i="16"/>
  <c r="J11" i="16" s="1"/>
  <c r="K11" i="16" s="1"/>
  <c r="AJ9" i="16"/>
  <c r="AK9" i="16"/>
  <c r="AE9" i="16"/>
  <c r="AF9" i="16" s="1"/>
  <c r="Y9" i="16"/>
  <c r="AA9" i="16" s="1"/>
  <c r="AB9" i="16" s="1"/>
  <c r="O9" i="16"/>
  <c r="Q9" i="16" s="1"/>
  <c r="R9" i="16" s="1"/>
  <c r="H9" i="16"/>
  <c r="J9" i="16" s="1"/>
  <c r="K9" i="16" s="1"/>
  <c r="AJ19" i="16"/>
  <c r="AK19" i="16"/>
  <c r="AE19" i="16"/>
  <c r="AF19" i="16" s="1"/>
  <c r="Y19" i="16"/>
  <c r="AA19" i="16" s="1"/>
  <c r="AB19" i="16" s="1"/>
  <c r="O19" i="16"/>
  <c r="Q19" i="16" s="1"/>
  <c r="R19" i="16" s="1"/>
  <c r="H19" i="16"/>
  <c r="J19" i="16" s="1"/>
  <c r="K19" i="16" s="1"/>
  <c r="AJ17" i="16"/>
  <c r="AK17" i="16"/>
  <c r="AE17" i="16"/>
  <c r="AF17" i="16" s="1"/>
  <c r="Y17" i="16"/>
  <c r="AA17" i="16" s="1"/>
  <c r="AB17" i="16" s="1"/>
  <c r="U17" i="16"/>
  <c r="V17" i="16" s="1"/>
  <c r="O17" i="16"/>
  <c r="Q17" i="16" s="1"/>
  <c r="R17" i="16" s="1"/>
  <c r="H17" i="16"/>
  <c r="J17" i="16" s="1"/>
  <c r="K17" i="16" s="1"/>
  <c r="AJ13" i="16"/>
  <c r="AK13" i="16"/>
  <c r="AE13" i="16"/>
  <c r="AF13" i="16" s="1"/>
  <c r="Y13" i="16"/>
  <c r="AA13" i="16" s="1"/>
  <c r="AB13" i="16" s="1"/>
  <c r="U13" i="16"/>
  <c r="V13" i="16" s="1"/>
  <c r="O13" i="16"/>
  <c r="Q13" i="16" s="1"/>
  <c r="R13" i="16" s="1"/>
  <c r="H13" i="16"/>
  <c r="J13" i="16" s="1"/>
  <c r="K13" i="16" s="1"/>
  <c r="AJ16" i="16"/>
  <c r="AK16" i="16"/>
  <c r="AE16" i="16"/>
  <c r="AF16" i="16" s="1"/>
  <c r="Y16" i="16"/>
  <c r="AA16" i="16" s="1"/>
  <c r="AB16" i="16" s="1"/>
  <c r="O16" i="16"/>
  <c r="Q16" i="16" s="1"/>
  <c r="R16" i="16" s="1"/>
  <c r="H16" i="16"/>
  <c r="J16" i="16" s="1"/>
  <c r="K16" i="16" s="1"/>
  <c r="AJ2" i="16"/>
  <c r="AK2" i="16"/>
  <c r="AE2" i="16"/>
  <c r="AF2" i="16" s="1"/>
  <c r="Y2" i="16"/>
  <c r="AA2" i="16" s="1"/>
  <c r="AB2" i="16" s="1"/>
  <c r="O2" i="16"/>
  <c r="Q2" i="16" s="1"/>
  <c r="R2" i="16" s="1"/>
  <c r="H2" i="16"/>
  <c r="J2" i="16" s="1"/>
  <c r="K2" i="16" s="1"/>
  <c r="AJ6" i="16"/>
  <c r="AK6" i="16"/>
  <c r="AH6" i="16"/>
  <c r="AE6" i="16"/>
  <c r="AF6" i="16" s="1"/>
  <c r="Y6" i="16"/>
  <c r="AA6" i="16" s="1"/>
  <c r="AB6" i="16" s="1"/>
  <c r="U6" i="16"/>
  <c r="V6" i="16" s="1"/>
  <c r="O6" i="16"/>
  <c r="Q6" i="16" s="1"/>
  <c r="R6" i="16" s="1"/>
  <c r="H6" i="16"/>
  <c r="J6" i="16" s="1"/>
  <c r="K6" i="16" s="1"/>
  <c r="AJ4" i="16"/>
  <c r="AK4" i="16"/>
  <c r="AH4" i="16"/>
  <c r="AE4" i="16"/>
  <c r="AF4" i="16" s="1"/>
  <c r="Y4" i="16"/>
  <c r="AA4" i="16" s="1"/>
  <c r="AB4" i="16" s="1"/>
  <c r="U4" i="16"/>
  <c r="V4" i="16" s="1"/>
  <c r="O4" i="16"/>
  <c r="Q4" i="16" s="1"/>
  <c r="R4" i="16" s="1"/>
  <c r="H4" i="16"/>
  <c r="J4" i="16" s="1"/>
  <c r="K4" i="16" s="1"/>
  <c r="AJ3" i="16"/>
  <c r="AK3" i="16"/>
  <c r="AH3" i="16"/>
  <c r="AE3" i="16"/>
  <c r="AF3" i="16" s="1"/>
  <c r="Y3" i="16"/>
  <c r="AA3" i="16" s="1"/>
  <c r="AB3" i="16" s="1"/>
  <c r="O3" i="16"/>
  <c r="Q3" i="16" s="1"/>
  <c r="R3" i="16" s="1"/>
  <c r="H3" i="16"/>
  <c r="J3" i="16" s="1"/>
  <c r="K3" i="16" s="1"/>
  <c r="AJ5" i="16"/>
  <c r="AK5" i="16"/>
  <c r="AH5" i="16"/>
  <c r="AE5" i="16"/>
  <c r="AF5" i="16" s="1"/>
  <c r="Y5" i="16"/>
  <c r="AA5" i="16" s="1"/>
  <c r="AB5" i="16" s="1"/>
  <c r="O5" i="16"/>
  <c r="Q5" i="16" s="1"/>
  <c r="R5" i="16" s="1"/>
  <c r="H5" i="16"/>
  <c r="J5" i="16" s="1"/>
  <c r="K5" i="16" s="1"/>
  <c r="AJ7" i="16"/>
  <c r="AK7" i="16"/>
  <c r="AH7" i="16"/>
  <c r="AE7" i="16"/>
  <c r="AF7" i="16" s="1"/>
  <c r="Y7" i="16"/>
  <c r="AA7" i="16" s="1"/>
  <c r="AB7" i="16" s="1"/>
  <c r="U7" i="16"/>
  <c r="V7" i="16" s="1"/>
  <c r="O7" i="16"/>
  <c r="Q7" i="16" s="1"/>
  <c r="R7" i="16" s="1"/>
  <c r="H7" i="16"/>
  <c r="J7" i="16" s="1"/>
  <c r="K7" i="16" s="1"/>
  <c r="O3" i="1"/>
  <c r="O7" i="1"/>
  <c r="O11" i="1"/>
  <c r="O9" i="1"/>
  <c r="O18" i="1"/>
  <c r="O2" i="1"/>
  <c r="O4" i="1"/>
  <c r="O6" i="1"/>
  <c r="O16" i="1"/>
  <c r="O12" i="1"/>
  <c r="O8" i="1"/>
  <c r="O17" i="1"/>
  <c r="O14" i="1"/>
  <c r="O19" i="1"/>
  <c r="O10" i="1"/>
  <c r="O13" i="1"/>
  <c r="O20" i="1"/>
  <c r="O5" i="1"/>
  <c r="J3" i="1"/>
  <c r="J7" i="1"/>
  <c r="L7" i="1" s="1"/>
  <c r="N7" i="1" s="1"/>
  <c r="J11" i="1"/>
  <c r="L11" i="1" s="1"/>
  <c r="N11" i="1" s="1"/>
  <c r="J9" i="1"/>
  <c r="L9" i="1" s="1"/>
  <c r="N9" i="1" s="1"/>
  <c r="J18" i="1"/>
  <c r="L18" i="1" s="1"/>
  <c r="N18" i="1" s="1"/>
  <c r="J2" i="1"/>
  <c r="L2" i="1" s="1"/>
  <c r="N2" i="1" s="1"/>
  <c r="J4" i="1"/>
  <c r="J6" i="1"/>
  <c r="L6" i="1" s="1"/>
  <c r="N6" i="1" s="1"/>
  <c r="J16" i="1"/>
  <c r="J12" i="1"/>
  <c r="L12" i="1" s="1"/>
  <c r="N12" i="1" s="1"/>
  <c r="J8" i="1"/>
  <c r="L8" i="1" s="1"/>
  <c r="N8" i="1" s="1"/>
  <c r="J17" i="1"/>
  <c r="L17" i="1" s="1"/>
  <c r="N17" i="1" s="1"/>
  <c r="J14" i="1"/>
  <c r="L14" i="1" s="1"/>
  <c r="N14" i="1" s="1"/>
  <c r="J19" i="1"/>
  <c r="L19" i="1" s="1"/>
  <c r="N19" i="1" s="1"/>
  <c r="J10" i="1"/>
  <c r="J13" i="1"/>
  <c r="L13" i="1" s="1"/>
  <c r="N13" i="1" s="1"/>
  <c r="J20" i="1"/>
  <c r="J5" i="1"/>
  <c r="G3" i="1"/>
  <c r="I3" i="1" s="1"/>
  <c r="G7" i="1"/>
  <c r="G11" i="1"/>
  <c r="I11" i="1" s="1"/>
  <c r="G9" i="1"/>
  <c r="I9" i="1" s="1"/>
  <c r="G4" i="1"/>
  <c r="I4" i="1" s="1"/>
  <c r="G16" i="1"/>
  <c r="G8" i="1"/>
  <c r="G17" i="1"/>
  <c r="I17" i="1" s="1"/>
  <c r="G14" i="1"/>
  <c r="G19" i="1"/>
  <c r="I19" i="1" s="1"/>
  <c r="G13" i="1"/>
  <c r="I13" i="1" s="1"/>
  <c r="G20" i="1"/>
  <c r="I20" i="1" s="1"/>
  <c r="L20" i="1"/>
  <c r="L10" i="1"/>
  <c r="N10" i="1" s="1"/>
  <c r="L16" i="1"/>
  <c r="N16" i="1" s="1"/>
  <c r="L4" i="1"/>
  <c r="N4" i="1" s="1"/>
  <c r="L3" i="1"/>
  <c r="N3" i="1" s="1"/>
  <c r="N20" i="1"/>
  <c r="I14" i="1"/>
  <c r="I7" i="1"/>
  <c r="I8" i="1"/>
  <c r="I16" i="1"/>
  <c r="P15" i="1" l="1"/>
  <c r="AL18" i="16"/>
  <c r="AI18" i="16"/>
  <c r="AL20" i="16"/>
  <c r="AI20" i="16"/>
  <c r="AI7" i="16"/>
  <c r="AL7" i="16"/>
  <c r="AM7" i="16" s="1"/>
  <c r="AL3" i="16"/>
  <c r="AM3" i="16" s="1"/>
  <c r="AI3" i="16"/>
  <c r="AI4" i="16"/>
  <c r="AL4" i="16"/>
  <c r="AM4" i="16" s="1"/>
  <c r="AL16" i="16"/>
  <c r="AI16" i="16"/>
  <c r="AI13" i="16"/>
  <c r="AL13" i="16"/>
  <c r="AL9" i="16"/>
  <c r="AI9" i="16"/>
  <c r="AI11" i="16"/>
  <c r="AL11" i="16"/>
  <c r="AL8" i="16"/>
  <c r="AI8" i="16"/>
  <c r="AI10" i="16"/>
  <c r="AL10" i="16"/>
  <c r="AI5" i="16"/>
  <c r="AL5" i="16"/>
  <c r="AL6" i="16"/>
  <c r="AI6" i="16"/>
  <c r="AI2" i="16"/>
  <c r="AL2" i="16"/>
  <c r="AL17" i="16"/>
  <c r="AI17" i="16"/>
  <c r="AI19" i="16"/>
  <c r="AL19" i="16"/>
  <c r="AL15" i="16"/>
  <c r="AI15" i="16"/>
  <c r="AI14" i="16"/>
  <c r="AL14" i="16"/>
  <c r="AL12" i="16"/>
  <c r="AI12" i="16"/>
  <c r="P4" i="1"/>
  <c r="P11" i="1"/>
  <c r="AM18" i="16" l="1"/>
  <c r="AM20" i="16"/>
  <c r="AM12" i="16"/>
  <c r="AM10" i="16"/>
  <c r="AM8" i="16"/>
  <c r="AM14" i="16"/>
  <c r="AM15" i="16"/>
  <c r="AM11" i="16"/>
  <c r="AM9" i="16"/>
  <c r="AM19" i="16"/>
  <c r="AM17" i="16"/>
  <c r="AM13" i="16"/>
  <c r="AM16" i="16"/>
  <c r="AM2" i="16"/>
  <c r="AM6" i="16"/>
  <c r="AM5" i="16"/>
  <c r="P3" i="1" l="1"/>
  <c r="P19" i="1" l="1"/>
  <c r="P6" i="1" l="1"/>
  <c r="P20" i="1" l="1"/>
  <c r="P13" i="1"/>
  <c r="P2" i="1" l="1"/>
  <c r="P8" i="1"/>
  <c r="P10" i="1"/>
  <c r="P14" i="1"/>
  <c r="P17" i="1"/>
  <c r="P12" i="1"/>
  <c r="P16" i="1"/>
  <c r="P18" i="1"/>
  <c r="P9" i="1"/>
  <c r="P7" i="1"/>
  <c r="G5" i="1" l="1"/>
  <c r="I5" i="1" s="1"/>
  <c r="L5" i="1"/>
  <c r="N5" i="1" s="1"/>
  <c r="P5" i="1" l="1"/>
</calcChain>
</file>

<file path=xl/comments1.xml><?xml version="1.0" encoding="utf-8"?>
<comments xmlns="http://schemas.openxmlformats.org/spreadsheetml/2006/main">
  <authors>
    <author>邓维钦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COP</t>
        </r>
        <r>
          <rPr>
            <b/>
            <sz val="9"/>
            <color indexed="81"/>
            <rFont val="宋体"/>
            <family val="3"/>
            <charset val="134"/>
          </rPr>
          <t>收入</t>
        </r>
        <r>
          <rPr>
            <b/>
            <sz val="9"/>
            <color indexed="81"/>
            <rFont val="Tahoma"/>
            <family val="2"/>
          </rPr>
          <t>26504.90</t>
        </r>
        <r>
          <rPr>
            <b/>
            <sz val="9"/>
            <color indexed="81"/>
            <rFont val="宋体"/>
            <family val="3"/>
            <charset val="134"/>
          </rPr>
          <t>元。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>COP</t>
        </r>
        <r>
          <rPr>
            <b/>
            <sz val="9"/>
            <color indexed="81"/>
            <rFont val="宋体"/>
            <family val="3"/>
            <charset val="134"/>
          </rPr>
          <t>收入</t>
        </r>
        <r>
          <rPr>
            <b/>
            <sz val="9"/>
            <color indexed="81"/>
            <rFont val="Tahoma"/>
            <family val="2"/>
          </rPr>
          <t>26504.90</t>
        </r>
        <r>
          <rPr>
            <b/>
            <sz val="9"/>
            <color indexed="81"/>
            <rFont val="宋体"/>
            <family val="3"/>
            <charset val="134"/>
          </rPr>
          <t>元。</t>
        </r>
      </text>
    </comment>
  </commentList>
</comments>
</file>

<file path=xl/sharedStrings.xml><?xml version="1.0" encoding="utf-8"?>
<sst xmlns="http://schemas.openxmlformats.org/spreadsheetml/2006/main" count="191" uniqueCount="111">
  <si>
    <t>月份</t>
    <phoneticPr fontId="2" type="noConversion"/>
  </si>
  <si>
    <t>团队</t>
    <phoneticPr fontId="2" type="noConversion"/>
  </si>
  <si>
    <t>流失数</t>
    <phoneticPr fontId="2" type="noConversion"/>
  </si>
  <si>
    <t>流失率</t>
    <phoneticPr fontId="2" type="noConversion"/>
  </si>
  <si>
    <t>平均流失率</t>
    <phoneticPr fontId="2" type="noConversion"/>
  </si>
  <si>
    <t>流失率得分</t>
    <phoneticPr fontId="2" type="noConversion"/>
  </si>
  <si>
    <t>前三个月发展数</t>
    <phoneticPr fontId="2" type="noConversion"/>
  </si>
  <si>
    <t>前三个月充值数</t>
    <phoneticPr fontId="2" type="noConversion"/>
  </si>
  <si>
    <t>前三个月充值率</t>
    <phoneticPr fontId="2" type="noConversion"/>
  </si>
  <si>
    <t>前三个月平均充值率</t>
    <phoneticPr fontId="2" type="noConversion"/>
  </si>
  <si>
    <t>充值率得分</t>
    <phoneticPr fontId="2" type="noConversion"/>
  </si>
  <si>
    <t>KPI</t>
    <phoneticPr fontId="2" type="noConversion"/>
  </si>
  <si>
    <t>序号</t>
    <phoneticPr fontId="1" type="noConversion"/>
  </si>
  <si>
    <t>上月出账数</t>
    <phoneticPr fontId="2" type="noConversion"/>
  </si>
  <si>
    <t>三乡大客户团队</t>
  </si>
  <si>
    <t>南朗大客户团队</t>
  </si>
  <si>
    <t>城区大客户团队1部</t>
  </si>
  <si>
    <t>中山港大客户团队2部</t>
  </si>
  <si>
    <t>坦洲大客户团队</t>
  </si>
  <si>
    <t>古镇大客户团队</t>
  </si>
  <si>
    <t>小榄战略客户团队</t>
  </si>
  <si>
    <t>城区战略客户团队</t>
  </si>
  <si>
    <t>中山港大客户团队3部</t>
  </si>
  <si>
    <t>沙溪大涌大客户团队</t>
  </si>
  <si>
    <t>三角战略客户团队</t>
  </si>
  <si>
    <t>三乡战略客户团队</t>
  </si>
  <si>
    <t>0</t>
  </si>
  <si>
    <t>杨中良</t>
  </si>
  <si>
    <t>物联网基础产品销账奖励</t>
  </si>
  <si>
    <t>小榄大客户团队</t>
  </si>
  <si>
    <t>智能家居行业中心</t>
  </si>
  <si>
    <t>古镇战略客户团队</t>
  </si>
  <si>
    <t>三角大客户团队</t>
  </si>
  <si>
    <t>沙溪战略客户团队</t>
  </si>
  <si>
    <t>月份</t>
    <phoneticPr fontId="1" type="noConversion"/>
  </si>
  <si>
    <t>团队</t>
    <phoneticPr fontId="1" type="noConversion"/>
  </si>
  <si>
    <t>04月主营收入</t>
    <phoneticPr fontId="1" type="noConversion"/>
  </si>
  <si>
    <t>05月主营收入</t>
    <phoneticPr fontId="1" type="noConversion"/>
  </si>
  <si>
    <t>06月主营收入</t>
    <phoneticPr fontId="1" type="noConversion"/>
  </si>
  <si>
    <t>累计主营收入</t>
    <phoneticPr fontId="1" type="noConversion"/>
  </si>
  <si>
    <t>累计主营收入任务</t>
    <phoneticPr fontId="1" type="noConversion"/>
  </si>
  <si>
    <t>累计主营收入完成率</t>
    <phoneticPr fontId="1" type="noConversion"/>
  </si>
  <si>
    <t>累计收入完成率得分值</t>
    <phoneticPr fontId="1" type="noConversion"/>
  </si>
  <si>
    <t>04月新型业务收入</t>
    <phoneticPr fontId="1" type="noConversion"/>
  </si>
  <si>
    <t>05月新型业务收入</t>
    <phoneticPr fontId="1" type="noConversion"/>
  </si>
  <si>
    <t>06月新型业务收入</t>
    <phoneticPr fontId="1" type="noConversion"/>
  </si>
  <si>
    <t>累计新型业务收入</t>
    <phoneticPr fontId="1" type="noConversion"/>
  </si>
  <si>
    <t>累计新型业务收入任务</t>
    <phoneticPr fontId="1" type="noConversion"/>
  </si>
  <si>
    <t>累计新型业务收入完成率</t>
    <phoneticPr fontId="1" type="noConversion"/>
  </si>
  <si>
    <t>累计新型业务收入完成率得分值</t>
    <phoneticPr fontId="1" type="noConversion"/>
  </si>
  <si>
    <t>折算后当月双线用户发展线数</t>
    <phoneticPr fontId="1" type="noConversion"/>
  </si>
  <si>
    <t>当月双线用户发展任务</t>
    <phoneticPr fontId="1" type="noConversion"/>
  </si>
  <si>
    <t>双线用户发展完成率</t>
    <phoneticPr fontId="1" type="noConversion"/>
  </si>
  <si>
    <t>双线用户发展完成率得分值</t>
    <phoneticPr fontId="1" type="noConversion"/>
  </si>
  <si>
    <t>手机用户当月出账用户数</t>
    <phoneticPr fontId="1" type="noConversion"/>
  </si>
  <si>
    <t>手机用户上月出账用户数</t>
    <phoneticPr fontId="1" type="noConversion"/>
  </si>
  <si>
    <t>手机用户净增完成数</t>
    <phoneticPr fontId="1" type="noConversion"/>
  </si>
  <si>
    <t>手机用户净增任务</t>
    <phoneticPr fontId="1" type="noConversion"/>
  </si>
  <si>
    <t>手机用户净增完成率</t>
    <phoneticPr fontId="1" type="noConversion"/>
  </si>
  <si>
    <t>手机用户净增完成率得分值</t>
    <phoneticPr fontId="1" type="noConversion"/>
  </si>
  <si>
    <t>考核期内欠费</t>
    <phoneticPr fontId="1" type="noConversion"/>
  </si>
  <si>
    <t>考核期内出账收入</t>
    <phoneticPr fontId="1" type="noConversion"/>
  </si>
  <si>
    <t>欠费率</t>
    <phoneticPr fontId="1" type="noConversion"/>
  </si>
  <si>
    <t>欠费率扣分</t>
    <phoneticPr fontId="1" type="noConversion"/>
  </si>
  <si>
    <t>双线流失折算线数</t>
    <phoneticPr fontId="1" type="noConversion"/>
  </si>
  <si>
    <t>双线流失扣分</t>
    <phoneticPr fontId="1" type="noConversion"/>
  </si>
  <si>
    <t>KPI得分合计</t>
    <phoneticPr fontId="1" type="noConversion"/>
  </si>
  <si>
    <t>曾汝翔</t>
  </si>
  <si>
    <t>吴炬荣</t>
  </si>
  <si>
    <t>李有强</t>
  </si>
  <si>
    <t>曾德洪</t>
  </si>
  <si>
    <t>许潜</t>
  </si>
  <si>
    <t>吴永铭</t>
  </si>
  <si>
    <t>聂剑泉</t>
  </si>
  <si>
    <t>田月功</t>
  </si>
  <si>
    <t>萧锡云</t>
  </si>
  <si>
    <t>段鸿章</t>
  </si>
  <si>
    <t>李太旺</t>
  </si>
  <si>
    <t>唐勇胜</t>
  </si>
  <si>
    <t>卢云杰</t>
  </si>
  <si>
    <t>陈伊文</t>
  </si>
  <si>
    <t>陈翠芬</t>
  </si>
  <si>
    <t>方卫军</t>
  </si>
  <si>
    <t>李伟杰</t>
  </si>
  <si>
    <t>团队经理</t>
    <phoneticPr fontId="2" type="noConversion"/>
  </si>
  <si>
    <t>最终KPI得分</t>
    <phoneticPr fontId="1" type="noConversion"/>
  </si>
  <si>
    <t>团队经理</t>
    <phoneticPr fontId="1" type="noConversion"/>
  </si>
  <si>
    <t>团队KPI计算值</t>
    <phoneticPr fontId="1" type="noConversion"/>
  </si>
  <si>
    <t>吴钟明</t>
    <phoneticPr fontId="1" type="noConversion"/>
  </si>
  <si>
    <t>横栏大客户团队</t>
    <phoneticPr fontId="1" type="noConversion"/>
  </si>
  <si>
    <t>中山港大客户团队1部</t>
    <phoneticPr fontId="1" type="noConversion"/>
  </si>
  <si>
    <t>保护期</t>
    <phoneticPr fontId="1" type="noConversion"/>
  </si>
  <si>
    <t>备注</t>
    <phoneticPr fontId="1" type="noConversion"/>
  </si>
  <si>
    <t>横栏大客户团队</t>
  </si>
  <si>
    <t>中山港大客户团队1部</t>
  </si>
  <si>
    <t>序号</t>
  </si>
  <si>
    <t>月份</t>
  </si>
  <si>
    <t>团队</t>
  </si>
  <si>
    <t>团队经理</t>
  </si>
  <si>
    <t>岗位工资</t>
  </si>
  <si>
    <t>绩效</t>
  </si>
  <si>
    <t>KPI考核系数</t>
  </si>
  <si>
    <t>实收绩效</t>
  </si>
  <si>
    <t>预付费充值提成</t>
  </si>
  <si>
    <t>预付费KPI</t>
  </si>
  <si>
    <t>预付费充值提成*KPI</t>
  </si>
  <si>
    <t>后付费话费提成</t>
  </si>
  <si>
    <t>固网提成</t>
  </si>
  <si>
    <t>其他</t>
  </si>
  <si>
    <t>合计</t>
  </si>
  <si>
    <t>吴钟明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</si>
</sst>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_ "/>
    <numFmt numFmtId="178" formatCode="0.00_ 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64"/>
      <name val="宋体"/>
      <family val="3"/>
      <charset val="134"/>
    </font>
    <font>
      <b/>
      <sz val="10"/>
      <color indexed="64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color indexed="64"/>
      <name val="Arial"/>
      <family val="2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8" fillId="0" borderId="0"/>
  </cellStyleXfs>
  <cellXfs count="59">
    <xf numFmtId="0" fontId="0" fillId="0" borderId="0" xfId="0">
      <alignment vertical="center"/>
    </xf>
    <xf numFmtId="49" fontId="4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0" fontId="6" fillId="2" borderId="1" xfId="0" applyNumberFormat="1" applyFont="1" applyFill="1" applyBorder="1" applyAlignment="1">
      <alignment vertical="center"/>
    </xf>
    <xf numFmtId="10" fontId="5" fillId="3" borderId="1" xfId="0" applyNumberFormat="1" applyFont="1" applyFill="1" applyBorder="1" applyAlignment="1">
      <alignment horizontal="center" vertical="center"/>
    </xf>
    <xf numFmtId="10" fontId="5" fillId="0" borderId="0" xfId="0" applyNumberFormat="1" applyFont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1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5" fillId="0" borderId="1" xfId="0" applyNumberFormat="1" applyFont="1" applyBorder="1" applyAlignment="1">
      <alignment horizontal="right" vertical="center"/>
    </xf>
    <xf numFmtId="10" fontId="5" fillId="0" borderId="0" xfId="0" applyNumberFormat="1" applyFont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right" vertical="center"/>
    </xf>
    <xf numFmtId="177" fontId="5" fillId="0" borderId="0" xfId="0" applyNumberFormat="1" applyFont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0" fontId="9" fillId="0" borderId="1" xfId="0" applyNumberFormat="1" applyFont="1" applyFill="1" applyBorder="1" applyAlignment="1">
      <alignment horizontal="center" vertical="center"/>
    </xf>
    <xf numFmtId="10" fontId="9" fillId="3" borderId="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176" fontId="10" fillId="0" borderId="1" xfId="0" applyNumberFormat="1" applyFont="1" applyFill="1" applyBorder="1" applyAlignment="1">
      <alignment horizontal="right" vertical="center"/>
    </xf>
    <xf numFmtId="176" fontId="6" fillId="0" borderId="1" xfId="0" applyNumberFormat="1" applyFont="1" applyFill="1" applyBorder="1">
      <alignment vertical="center"/>
    </xf>
    <xf numFmtId="176" fontId="6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horizontal="right" vertical="center"/>
    </xf>
    <xf numFmtId="10" fontId="6" fillId="3" borderId="1" xfId="0" quotePrefix="1" applyNumberFormat="1" applyFont="1" applyFill="1" applyBorder="1">
      <alignment vertical="center"/>
    </xf>
    <xf numFmtId="10" fontId="6" fillId="0" borderId="1" xfId="0" applyNumberFormat="1" applyFont="1" applyFill="1" applyBorder="1">
      <alignment vertical="center"/>
    </xf>
    <xf numFmtId="176" fontId="6" fillId="0" borderId="1" xfId="0" quotePrefix="1" applyNumberFormat="1" applyFont="1" applyFill="1" applyBorder="1">
      <alignment vertical="center"/>
    </xf>
    <xf numFmtId="10" fontId="6" fillId="0" borderId="1" xfId="0" quotePrefix="1" applyNumberFormat="1" applyFont="1" applyFill="1" applyBorder="1">
      <alignment vertical="center"/>
    </xf>
    <xf numFmtId="10" fontId="6" fillId="0" borderId="1" xfId="0" quotePrefix="1" applyNumberFormat="1" applyFont="1" applyFill="1" applyBorder="1" applyAlignment="1">
      <alignment horizontal="right" vertical="center"/>
    </xf>
    <xf numFmtId="10" fontId="6" fillId="3" borderId="1" xfId="0" applyNumberFormat="1" applyFont="1" applyFill="1" applyBorder="1" applyAlignment="1">
      <alignment horizontal="right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176" fontId="6" fillId="0" borderId="0" xfId="0" applyNumberFormat="1" applyFont="1" applyFill="1">
      <alignment vertical="center"/>
    </xf>
    <xf numFmtId="10" fontId="6" fillId="0" borderId="0" xfId="0" applyNumberFormat="1" applyFont="1" applyFill="1">
      <alignment vertical="center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right" vertical="center"/>
    </xf>
    <xf numFmtId="176" fontId="6" fillId="2" borderId="1" xfId="0" applyNumberFormat="1" applyFont="1" applyFill="1" applyBorder="1" applyAlignment="1">
      <alignment horizontal="right" vertical="center"/>
    </xf>
    <xf numFmtId="10" fontId="6" fillId="2" borderId="1" xfId="0" applyNumberFormat="1" applyFont="1" applyFill="1" applyBorder="1" applyAlignment="1">
      <alignment horizontal="right" vertical="center"/>
    </xf>
    <xf numFmtId="10" fontId="6" fillId="2" borderId="1" xfId="0" quotePrefix="1" applyNumberFormat="1" applyFont="1" applyFill="1" applyBorder="1">
      <alignment vertical="center"/>
    </xf>
    <xf numFmtId="10" fontId="6" fillId="2" borderId="1" xfId="0" applyNumberFormat="1" applyFont="1" applyFill="1" applyBorder="1">
      <alignment vertical="center"/>
    </xf>
    <xf numFmtId="176" fontId="6" fillId="2" borderId="1" xfId="0" applyNumberFormat="1" applyFont="1" applyFill="1" applyBorder="1">
      <alignment vertical="center"/>
    </xf>
    <xf numFmtId="176" fontId="6" fillId="2" borderId="1" xfId="0" quotePrefix="1" applyNumberFormat="1" applyFont="1" applyFill="1" applyBorder="1">
      <alignment vertical="center"/>
    </xf>
    <xf numFmtId="10" fontId="6" fillId="2" borderId="1" xfId="0" quotePrefix="1" applyNumberFormat="1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>
      <alignment vertical="center"/>
    </xf>
    <xf numFmtId="178" fontId="0" fillId="0" borderId="0" xfId="0" applyNumberFormat="1">
      <alignment vertical="center"/>
    </xf>
  </cellXfs>
  <cellStyles count="3">
    <cellStyle name="常规" xfId="0" builtinId="0"/>
    <cellStyle name="常规 2" xfId="2"/>
    <cellStyle name="常规 2 2" xfId="1"/>
  </cellStyles>
  <dxfs count="0"/>
  <tableStyles count="0" defaultTableStyle="TableStyleMedium9" defaultPivotStyle="PivotStyleLight16"/>
  <colors>
    <mruColors>
      <color rgb="FFFFCCFF"/>
      <color rgb="FFFFFFCC"/>
      <color rgb="FFCCFF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N20"/>
  <sheetViews>
    <sheetView topLeftCell="AI1" workbookViewId="0">
      <selection activeCell="AO8" sqref="AO8"/>
    </sheetView>
  </sheetViews>
  <sheetFormatPr defaultRowHeight="15" customHeight="1" x14ac:dyDescent="0.15"/>
  <cols>
    <col min="1" max="1" width="5" style="5" bestFit="1" customWidth="1"/>
    <col min="2" max="2" width="6.75" style="44" bestFit="1" customWidth="1"/>
    <col min="3" max="3" width="17.75" style="43" bestFit="1" customWidth="1"/>
    <col min="4" max="4" width="8.5" style="43" bestFit="1" customWidth="1"/>
    <col min="5" max="7" width="12.5" style="43" bestFit="1" customWidth="1"/>
    <col min="8" max="8" width="12.25" style="43" bestFit="1" customWidth="1"/>
    <col min="9" max="9" width="16.125" style="43" bestFit="1" customWidth="1"/>
    <col min="10" max="10" width="18" style="43" bestFit="1" customWidth="1"/>
    <col min="11" max="11" width="20" style="43" bestFit="1" customWidth="1"/>
    <col min="12" max="14" width="16.375" style="43" bestFit="1" customWidth="1"/>
    <col min="15" max="15" width="16.125" style="43" bestFit="1" customWidth="1"/>
    <col min="16" max="16" width="20" style="43" customWidth="1"/>
    <col min="17" max="17" width="21.875" style="43" bestFit="1" customWidth="1"/>
    <col min="18" max="18" width="27.75" style="43" bestFit="1" customWidth="1"/>
    <col min="19" max="19" width="25.75" style="43" bestFit="1" customWidth="1"/>
    <col min="20" max="20" width="20" style="43" customWidth="1"/>
    <col min="21" max="21" width="18" style="43" bestFit="1" customWidth="1"/>
    <col min="22" max="22" width="23.875" style="43" bestFit="1" customWidth="1"/>
    <col min="23" max="24" width="21.875" style="43" bestFit="1" customWidth="1"/>
    <col min="25" max="25" width="18" style="43" bestFit="1" customWidth="1"/>
    <col min="26" max="26" width="16.125" style="45" bestFit="1" customWidth="1"/>
    <col min="27" max="27" width="18" style="43" bestFit="1" customWidth="1"/>
    <col min="28" max="28" width="23.875" style="43" bestFit="1" customWidth="1"/>
    <col min="29" max="29" width="12.25" style="45" bestFit="1" customWidth="1"/>
    <col min="30" max="30" width="16.125" style="45" bestFit="1" customWidth="1"/>
    <col min="31" max="31" width="6.75" style="46" bestFit="1" customWidth="1"/>
    <col min="32" max="32" width="10.25" style="43" bestFit="1" customWidth="1"/>
    <col min="33" max="33" width="16.125" style="45" bestFit="1" customWidth="1"/>
    <col min="34" max="34" width="12.25" style="46" bestFit="1" customWidth="1"/>
    <col min="35" max="35" width="13.625" style="43" bestFit="1" customWidth="1"/>
    <col min="36" max="36" width="13.875" style="43" customWidth="1"/>
    <col min="37" max="37" width="17.75" style="43" bestFit="1" customWidth="1"/>
    <col min="38" max="39" width="11.625" style="46" bestFit="1" customWidth="1"/>
    <col min="40" max="40" width="10.25" style="44" bestFit="1" customWidth="1"/>
    <col min="41" max="16384" width="9" style="43"/>
  </cols>
  <sheetData>
    <row r="1" spans="1:40" s="30" customFormat="1" ht="15" customHeight="1" x14ac:dyDescent="0.15">
      <c r="A1" s="1" t="s">
        <v>12</v>
      </c>
      <c r="B1" s="25" t="s">
        <v>34</v>
      </c>
      <c r="C1" s="25" t="s">
        <v>35</v>
      </c>
      <c r="D1" s="25" t="s">
        <v>86</v>
      </c>
      <c r="E1" s="25" t="s">
        <v>36</v>
      </c>
      <c r="F1" s="25" t="s">
        <v>37</v>
      </c>
      <c r="G1" s="25" t="s">
        <v>38</v>
      </c>
      <c r="H1" s="25" t="s">
        <v>39</v>
      </c>
      <c r="I1" s="25" t="s">
        <v>40</v>
      </c>
      <c r="J1" s="25" t="s">
        <v>41</v>
      </c>
      <c r="K1" s="26" t="s">
        <v>42</v>
      </c>
      <c r="L1" s="25" t="s">
        <v>43</v>
      </c>
      <c r="M1" s="25" t="s">
        <v>44</v>
      </c>
      <c r="N1" s="25" t="s">
        <v>45</v>
      </c>
      <c r="O1" s="25" t="s">
        <v>46</v>
      </c>
      <c r="P1" s="25" t="s">
        <v>47</v>
      </c>
      <c r="Q1" s="25" t="s">
        <v>48</v>
      </c>
      <c r="R1" s="26" t="s">
        <v>49</v>
      </c>
      <c r="S1" s="25" t="s">
        <v>50</v>
      </c>
      <c r="T1" s="25" t="s">
        <v>51</v>
      </c>
      <c r="U1" s="25" t="s">
        <v>52</v>
      </c>
      <c r="V1" s="26" t="s">
        <v>53</v>
      </c>
      <c r="W1" s="25" t="s">
        <v>54</v>
      </c>
      <c r="X1" s="25" t="s">
        <v>55</v>
      </c>
      <c r="Y1" s="25" t="s">
        <v>56</v>
      </c>
      <c r="Z1" s="27" t="s">
        <v>57</v>
      </c>
      <c r="AA1" s="25" t="s">
        <v>58</v>
      </c>
      <c r="AB1" s="26" t="s">
        <v>59</v>
      </c>
      <c r="AC1" s="27" t="s">
        <v>60</v>
      </c>
      <c r="AD1" s="27" t="s">
        <v>61</v>
      </c>
      <c r="AE1" s="28" t="s">
        <v>62</v>
      </c>
      <c r="AF1" s="26" t="s">
        <v>63</v>
      </c>
      <c r="AG1" s="27" t="s">
        <v>64</v>
      </c>
      <c r="AH1" s="29" t="s">
        <v>65</v>
      </c>
      <c r="AI1" s="25" t="s">
        <v>87</v>
      </c>
      <c r="AJ1" s="25" t="s">
        <v>86</v>
      </c>
      <c r="AK1" s="25" t="s">
        <v>35</v>
      </c>
      <c r="AL1" s="29" t="s">
        <v>66</v>
      </c>
      <c r="AM1" s="29" t="s">
        <v>85</v>
      </c>
      <c r="AN1" s="25" t="s">
        <v>92</v>
      </c>
    </row>
    <row r="2" spans="1:40" ht="15" customHeight="1" x14ac:dyDescent="0.15">
      <c r="A2" s="6">
        <v>1</v>
      </c>
      <c r="B2" s="31">
        <v>201906</v>
      </c>
      <c r="C2" s="32" t="s">
        <v>20</v>
      </c>
      <c r="D2" s="32" t="s">
        <v>81</v>
      </c>
      <c r="E2" s="33"/>
      <c r="F2" s="33">
        <v>120151.1</v>
      </c>
      <c r="G2" s="34">
        <v>178199.67999999999</v>
      </c>
      <c r="H2" s="33">
        <f t="shared" ref="H2:H7" si="0">SUM(E2:G2)</f>
        <v>298350.78000000003</v>
      </c>
      <c r="I2" s="35">
        <v>294344</v>
      </c>
      <c r="J2" s="36">
        <f t="shared" ref="J2:J7" si="1">H2/I2</f>
        <v>1.0136125757616938</v>
      </c>
      <c r="K2" s="37">
        <f t="shared" ref="K2:K7" si="2">IF((J2*0.6)&gt;=70%,70%,(J2*0.6))</f>
        <v>0.60816754545701623</v>
      </c>
      <c r="L2" s="33"/>
      <c r="M2" s="33">
        <v>8936.18</v>
      </c>
      <c r="N2" s="34">
        <v>9354.49</v>
      </c>
      <c r="O2" s="33">
        <f t="shared" ref="O2:O7" si="3">SUM(L2:N2)</f>
        <v>18290.669999999998</v>
      </c>
      <c r="P2" s="35">
        <v>37709</v>
      </c>
      <c r="Q2" s="38">
        <f t="shared" ref="Q2:Q7" si="4">O2/P2</f>
        <v>0.48504786655705528</v>
      </c>
      <c r="R2" s="37">
        <f t="shared" ref="R2:R7" si="5">IF((Q2*0.2)&gt;=20%,20%,(Q2*0.2))</f>
        <v>9.7009573311411065E-2</v>
      </c>
      <c r="S2" s="34">
        <v>1.6666666649999999</v>
      </c>
      <c r="T2" s="35">
        <v>3</v>
      </c>
      <c r="U2" s="38">
        <f t="shared" ref="U2:U7" si="6">S2/T2</f>
        <v>0.55555555499999998</v>
      </c>
      <c r="V2" s="37">
        <f t="shared" ref="V2:V7" si="7">IF((U2*0.1)&gt;=10%,10%,(U2*0.1))</f>
        <v>5.5555555499999999E-2</v>
      </c>
      <c r="W2" s="39">
        <v>5261</v>
      </c>
      <c r="X2" s="39">
        <v>4994</v>
      </c>
      <c r="Y2" s="39">
        <f t="shared" ref="Y2:Y7" si="8">W2-X2</f>
        <v>267</v>
      </c>
      <c r="Z2" s="39">
        <v>57</v>
      </c>
      <c r="AA2" s="40">
        <f t="shared" ref="AA2:AA7" si="9">IF((Y2/Z2)&lt;=0,0,(Y2/Z2))</f>
        <v>4.6842105263157894</v>
      </c>
      <c r="AB2" s="37">
        <f t="shared" ref="AB2:AB7" si="10">IF((AA2*0.1)&gt;=10%,10%,(AA2*0.1))</f>
        <v>0.1</v>
      </c>
      <c r="AC2" s="39">
        <v>7319.84</v>
      </c>
      <c r="AD2" s="39">
        <v>434467.69</v>
      </c>
      <c r="AE2" s="41">
        <f t="shared" ref="AE2:AE7" si="11">AC2/AD2</f>
        <v>1.6847835105989126E-2</v>
      </c>
      <c r="AF2" s="37">
        <f t="shared" ref="AF2:AF7" si="12">-IF(IF(AE2&gt;=3%,(AE2-3%)/1%*3%,0)&gt;=10%,10%,IF(AE2&gt;=3%,(AE2-3%)/1%*3%,0))</f>
        <v>0</v>
      </c>
      <c r="AG2" s="39">
        <v>1.6875</v>
      </c>
      <c r="AH2" s="42">
        <f>AG2*-1.5%</f>
        <v>-2.5312499999999998E-2</v>
      </c>
      <c r="AI2" s="38">
        <f t="shared" ref="AI2:AI7" si="13">K2+R2+V2+AB2+AF2+AH2</f>
        <v>0.8354201742684273</v>
      </c>
      <c r="AJ2" s="32" t="str">
        <f t="shared" ref="AJ2:AJ7" si="14">D2</f>
        <v>陈翠芬</v>
      </c>
      <c r="AK2" s="32" t="str">
        <f t="shared" ref="AK2:AK7" si="15">C2</f>
        <v>小榄战略客户团队</v>
      </c>
      <c r="AL2" s="42">
        <f t="shared" ref="AL2:AL7" si="16">K2+R2+V2+AB2+AF2+AH2</f>
        <v>0.8354201742684273</v>
      </c>
      <c r="AM2" s="42">
        <f t="shared" ref="AM2:AM6" si="17">IF(AL2&lt;40%,40%,AL2)</f>
        <v>0.8354201742684273</v>
      </c>
      <c r="AN2" s="31"/>
    </row>
    <row r="3" spans="1:40" ht="15" customHeight="1" x14ac:dyDescent="0.15">
      <c r="A3" s="6">
        <v>2</v>
      </c>
      <c r="B3" s="31">
        <v>201906</v>
      </c>
      <c r="C3" s="32" t="s">
        <v>31</v>
      </c>
      <c r="D3" s="32" t="s">
        <v>73</v>
      </c>
      <c r="E3" s="33"/>
      <c r="F3" s="33">
        <v>1348.22</v>
      </c>
      <c r="G3" s="34">
        <v>381.26</v>
      </c>
      <c r="H3" s="33">
        <f t="shared" si="0"/>
        <v>1729.48</v>
      </c>
      <c r="I3" s="35">
        <v>90851</v>
      </c>
      <c r="J3" s="36">
        <f t="shared" si="1"/>
        <v>1.9036444287899967E-2</v>
      </c>
      <c r="K3" s="37">
        <f t="shared" si="2"/>
        <v>1.142186657273998E-2</v>
      </c>
      <c r="L3" s="33"/>
      <c r="M3" s="33">
        <v>0</v>
      </c>
      <c r="N3" s="34">
        <v>0</v>
      </c>
      <c r="O3" s="33">
        <f t="shared" si="3"/>
        <v>0</v>
      </c>
      <c r="P3" s="35">
        <v>58617</v>
      </c>
      <c r="Q3" s="38">
        <f t="shared" si="4"/>
        <v>0</v>
      </c>
      <c r="R3" s="37">
        <f t="shared" si="5"/>
        <v>0</v>
      </c>
      <c r="S3" s="34">
        <v>0</v>
      </c>
      <c r="T3" s="35">
        <v>3</v>
      </c>
      <c r="U3" s="38">
        <f t="shared" si="6"/>
        <v>0</v>
      </c>
      <c r="V3" s="37">
        <f t="shared" si="7"/>
        <v>0</v>
      </c>
      <c r="W3" s="39">
        <v>16</v>
      </c>
      <c r="X3" s="39">
        <v>18</v>
      </c>
      <c r="Y3" s="39">
        <f t="shared" si="8"/>
        <v>-2</v>
      </c>
      <c r="Z3" s="39">
        <v>29</v>
      </c>
      <c r="AA3" s="40">
        <f t="shared" si="9"/>
        <v>0</v>
      </c>
      <c r="AB3" s="37">
        <f t="shared" si="10"/>
        <v>0</v>
      </c>
      <c r="AC3" s="39">
        <v>0</v>
      </c>
      <c r="AD3" s="39">
        <v>1512.81</v>
      </c>
      <c r="AE3" s="41">
        <f t="shared" si="11"/>
        <v>0</v>
      </c>
      <c r="AF3" s="37">
        <f t="shared" si="12"/>
        <v>0</v>
      </c>
      <c r="AG3" s="39">
        <v>0</v>
      </c>
      <c r="AH3" s="42">
        <f>AG3*-1%</f>
        <v>0</v>
      </c>
      <c r="AI3" s="38">
        <f t="shared" si="13"/>
        <v>1.142186657273998E-2</v>
      </c>
      <c r="AJ3" s="32" t="str">
        <f t="shared" si="14"/>
        <v>聂剑泉</v>
      </c>
      <c r="AK3" s="32" t="str">
        <f t="shared" si="15"/>
        <v>古镇战略客户团队</v>
      </c>
      <c r="AL3" s="42">
        <f t="shared" si="16"/>
        <v>1.142186657273998E-2</v>
      </c>
      <c r="AM3" s="42">
        <f>IF(AL3&lt;100%,100%,AL3)</f>
        <v>1</v>
      </c>
      <c r="AN3" s="31" t="s">
        <v>91</v>
      </c>
    </row>
    <row r="4" spans="1:40" ht="15" customHeight="1" x14ac:dyDescent="0.15">
      <c r="A4" s="6">
        <v>3</v>
      </c>
      <c r="B4" s="31">
        <v>201906</v>
      </c>
      <c r="C4" s="32" t="s">
        <v>25</v>
      </c>
      <c r="D4" s="32" t="s">
        <v>74</v>
      </c>
      <c r="E4" s="33"/>
      <c r="F4" s="33">
        <v>134966.01999999999</v>
      </c>
      <c r="G4" s="34">
        <v>229760.7</v>
      </c>
      <c r="H4" s="33">
        <f t="shared" si="0"/>
        <v>364726.72</v>
      </c>
      <c r="I4" s="35">
        <v>456596</v>
      </c>
      <c r="J4" s="36">
        <f t="shared" si="1"/>
        <v>0.79879525882837343</v>
      </c>
      <c r="K4" s="37">
        <f t="shared" si="2"/>
        <v>0.47927715529702403</v>
      </c>
      <c r="L4" s="33"/>
      <c r="M4" s="33">
        <v>396.66</v>
      </c>
      <c r="N4" s="34">
        <v>305.85000000000002</v>
      </c>
      <c r="O4" s="33">
        <f t="shared" si="3"/>
        <v>702.51</v>
      </c>
      <c r="P4" s="35">
        <v>77660</v>
      </c>
      <c r="Q4" s="38">
        <f t="shared" si="4"/>
        <v>9.0459696111254186E-3</v>
      </c>
      <c r="R4" s="37">
        <f t="shared" si="5"/>
        <v>1.8091939222250838E-3</v>
      </c>
      <c r="S4" s="34">
        <v>0</v>
      </c>
      <c r="T4" s="35">
        <v>3</v>
      </c>
      <c r="U4" s="38">
        <f t="shared" si="6"/>
        <v>0</v>
      </c>
      <c r="V4" s="37">
        <f t="shared" si="7"/>
        <v>0</v>
      </c>
      <c r="W4" s="39">
        <v>583</v>
      </c>
      <c r="X4" s="39">
        <v>607</v>
      </c>
      <c r="Y4" s="39">
        <f t="shared" si="8"/>
        <v>-24</v>
      </c>
      <c r="Z4" s="39">
        <v>2</v>
      </c>
      <c r="AA4" s="40">
        <f t="shared" si="9"/>
        <v>0</v>
      </c>
      <c r="AB4" s="37">
        <f t="shared" si="10"/>
        <v>0</v>
      </c>
      <c r="AC4" s="39">
        <v>248489.49</v>
      </c>
      <c r="AD4" s="39">
        <v>397782.35</v>
      </c>
      <c r="AE4" s="41">
        <f t="shared" si="11"/>
        <v>0.62468706819193964</v>
      </c>
      <c r="AF4" s="37">
        <f t="shared" si="12"/>
        <v>-0.1</v>
      </c>
      <c r="AG4" s="39">
        <v>0</v>
      </c>
      <c r="AH4" s="42">
        <f>AG4*-1%</f>
        <v>0</v>
      </c>
      <c r="AI4" s="38">
        <f t="shared" si="13"/>
        <v>0.38108634921924911</v>
      </c>
      <c r="AJ4" s="32" t="str">
        <f t="shared" si="14"/>
        <v>田月功</v>
      </c>
      <c r="AK4" s="32" t="str">
        <f t="shared" si="15"/>
        <v>三乡战略客户团队</v>
      </c>
      <c r="AL4" s="42">
        <f t="shared" si="16"/>
        <v>0.38108634921924911</v>
      </c>
      <c r="AM4" s="42">
        <f>IF(AL4&lt;100%,100%,AL4)</f>
        <v>1</v>
      </c>
      <c r="AN4" s="31" t="s">
        <v>91</v>
      </c>
    </row>
    <row r="5" spans="1:40" ht="15" customHeight="1" x14ac:dyDescent="0.15">
      <c r="A5" s="6">
        <v>4</v>
      </c>
      <c r="B5" s="31">
        <v>201906</v>
      </c>
      <c r="C5" s="32" t="s">
        <v>24</v>
      </c>
      <c r="D5" s="32" t="s">
        <v>71</v>
      </c>
      <c r="E5" s="33"/>
      <c r="F5" s="33">
        <v>226146.64</v>
      </c>
      <c r="G5" s="34">
        <v>221472.92</v>
      </c>
      <c r="H5" s="33">
        <f t="shared" si="0"/>
        <v>447619.56000000006</v>
      </c>
      <c r="I5" s="35">
        <v>566833</v>
      </c>
      <c r="J5" s="36">
        <f t="shared" si="1"/>
        <v>0.78968507479275207</v>
      </c>
      <c r="K5" s="37">
        <f t="shared" si="2"/>
        <v>0.47381104487565123</v>
      </c>
      <c r="L5" s="33"/>
      <c r="M5" s="33">
        <v>1451.47</v>
      </c>
      <c r="N5" s="34">
        <v>1846.93</v>
      </c>
      <c r="O5" s="33">
        <f t="shared" si="3"/>
        <v>3298.4</v>
      </c>
      <c r="P5" s="35">
        <v>66545</v>
      </c>
      <c r="Q5" s="38">
        <f t="shared" si="4"/>
        <v>4.9566458787286799E-2</v>
      </c>
      <c r="R5" s="37">
        <f t="shared" si="5"/>
        <v>9.9132917574573601E-3</v>
      </c>
      <c r="S5" s="34">
        <v>0</v>
      </c>
      <c r="T5" s="35">
        <v>3</v>
      </c>
      <c r="U5" s="38">
        <f t="shared" si="6"/>
        <v>0</v>
      </c>
      <c r="V5" s="37">
        <f t="shared" si="7"/>
        <v>0</v>
      </c>
      <c r="W5" s="39">
        <v>1666</v>
      </c>
      <c r="X5" s="39">
        <v>1714</v>
      </c>
      <c r="Y5" s="39">
        <f t="shared" si="8"/>
        <v>-48</v>
      </c>
      <c r="Z5" s="39">
        <v>60</v>
      </c>
      <c r="AA5" s="40">
        <f t="shared" si="9"/>
        <v>0</v>
      </c>
      <c r="AB5" s="37">
        <f t="shared" si="10"/>
        <v>0</v>
      </c>
      <c r="AC5" s="39">
        <v>239964.44</v>
      </c>
      <c r="AD5" s="39">
        <v>698458.83</v>
      </c>
      <c r="AE5" s="41">
        <f t="shared" si="11"/>
        <v>0.34356275515909795</v>
      </c>
      <c r="AF5" s="37">
        <f t="shared" si="12"/>
        <v>-0.1</v>
      </c>
      <c r="AG5" s="39">
        <v>0</v>
      </c>
      <c r="AH5" s="42">
        <f>AG5*-1%</f>
        <v>0</v>
      </c>
      <c r="AI5" s="38">
        <f t="shared" si="13"/>
        <v>0.38372433663310856</v>
      </c>
      <c r="AJ5" s="32" t="str">
        <f t="shared" si="14"/>
        <v>许潜</v>
      </c>
      <c r="AK5" s="32" t="str">
        <f t="shared" si="15"/>
        <v>三角战略客户团队</v>
      </c>
      <c r="AL5" s="42">
        <f t="shared" si="16"/>
        <v>0.38372433663310856</v>
      </c>
      <c r="AM5" s="42">
        <f t="shared" si="17"/>
        <v>0.4</v>
      </c>
      <c r="AN5" s="31"/>
    </row>
    <row r="6" spans="1:40" ht="15" customHeight="1" x14ac:dyDescent="0.15">
      <c r="A6" s="6">
        <v>5</v>
      </c>
      <c r="B6" s="31">
        <v>201906</v>
      </c>
      <c r="C6" s="32" t="s">
        <v>33</v>
      </c>
      <c r="D6" s="32" t="s">
        <v>27</v>
      </c>
      <c r="E6" s="33"/>
      <c r="F6" s="33">
        <v>185949.87</v>
      </c>
      <c r="G6" s="34">
        <v>183094.98</v>
      </c>
      <c r="H6" s="33">
        <f t="shared" si="0"/>
        <v>369044.85</v>
      </c>
      <c r="I6" s="35">
        <v>436382</v>
      </c>
      <c r="J6" s="36">
        <f t="shared" si="1"/>
        <v>0.84569219170359911</v>
      </c>
      <c r="K6" s="37">
        <f t="shared" si="2"/>
        <v>0.50741531502215942</v>
      </c>
      <c r="L6" s="33"/>
      <c r="M6" s="33">
        <v>0</v>
      </c>
      <c r="N6" s="34">
        <v>0</v>
      </c>
      <c r="O6" s="33">
        <f t="shared" si="3"/>
        <v>0</v>
      </c>
      <c r="P6" s="35">
        <v>33845</v>
      </c>
      <c r="Q6" s="38">
        <f t="shared" si="4"/>
        <v>0</v>
      </c>
      <c r="R6" s="37">
        <f t="shared" si="5"/>
        <v>0</v>
      </c>
      <c r="S6" s="34">
        <v>0</v>
      </c>
      <c r="T6" s="35">
        <v>3</v>
      </c>
      <c r="U6" s="38">
        <f t="shared" si="6"/>
        <v>0</v>
      </c>
      <c r="V6" s="37">
        <f t="shared" si="7"/>
        <v>0</v>
      </c>
      <c r="W6" s="39">
        <v>4094</v>
      </c>
      <c r="X6" s="39">
        <v>4371</v>
      </c>
      <c r="Y6" s="39">
        <f t="shared" si="8"/>
        <v>-277</v>
      </c>
      <c r="Z6" s="39">
        <v>4</v>
      </c>
      <c r="AA6" s="40">
        <f t="shared" si="9"/>
        <v>0</v>
      </c>
      <c r="AB6" s="37">
        <f t="shared" si="10"/>
        <v>0</v>
      </c>
      <c r="AC6" s="39">
        <v>4277.4399999999996</v>
      </c>
      <c r="AD6" s="39">
        <v>580385.48</v>
      </c>
      <c r="AE6" s="41">
        <f t="shared" si="11"/>
        <v>7.3699982983723156E-3</v>
      </c>
      <c r="AF6" s="37">
        <f t="shared" si="12"/>
        <v>0</v>
      </c>
      <c r="AG6" s="39">
        <v>0</v>
      </c>
      <c r="AH6" s="42">
        <f>AG6*-1%</f>
        <v>0</v>
      </c>
      <c r="AI6" s="38">
        <f t="shared" si="13"/>
        <v>0.50741531502215942</v>
      </c>
      <c r="AJ6" s="32" t="str">
        <f t="shared" si="14"/>
        <v>杨中良</v>
      </c>
      <c r="AK6" s="32" t="str">
        <f t="shared" si="15"/>
        <v>沙溪战略客户团队</v>
      </c>
      <c r="AL6" s="42">
        <f t="shared" si="16"/>
        <v>0.50741531502215942</v>
      </c>
      <c r="AM6" s="42">
        <f t="shared" si="17"/>
        <v>0.50741531502215942</v>
      </c>
      <c r="AN6" s="31"/>
    </row>
    <row r="7" spans="1:40" ht="15" customHeight="1" x14ac:dyDescent="0.15">
      <c r="A7" s="6">
        <v>6</v>
      </c>
      <c r="B7" s="31">
        <v>201906</v>
      </c>
      <c r="C7" s="32" t="s">
        <v>21</v>
      </c>
      <c r="D7" s="32" t="s">
        <v>67</v>
      </c>
      <c r="E7" s="33"/>
      <c r="F7" s="33">
        <v>364258.62</v>
      </c>
      <c r="G7" s="34">
        <v>300960.95</v>
      </c>
      <c r="H7" s="33">
        <f t="shared" si="0"/>
        <v>665219.57000000007</v>
      </c>
      <c r="I7" s="35">
        <v>904325</v>
      </c>
      <c r="J7" s="36">
        <f t="shared" si="1"/>
        <v>0.73559789898543115</v>
      </c>
      <c r="K7" s="37">
        <f t="shared" si="2"/>
        <v>0.44135873939125869</v>
      </c>
      <c r="L7" s="33"/>
      <c r="M7" s="33">
        <v>23699.17</v>
      </c>
      <c r="N7" s="34">
        <v>17846.54</v>
      </c>
      <c r="O7" s="33">
        <f t="shared" si="3"/>
        <v>41545.71</v>
      </c>
      <c r="P7" s="35">
        <v>105246</v>
      </c>
      <c r="Q7" s="38">
        <f t="shared" si="4"/>
        <v>0.39474858902001025</v>
      </c>
      <c r="R7" s="37">
        <f t="shared" si="5"/>
        <v>7.8949717804002062E-2</v>
      </c>
      <c r="S7" s="34">
        <v>0</v>
      </c>
      <c r="T7" s="35">
        <v>3</v>
      </c>
      <c r="U7" s="38">
        <f t="shared" si="6"/>
        <v>0</v>
      </c>
      <c r="V7" s="37">
        <f t="shared" si="7"/>
        <v>0</v>
      </c>
      <c r="W7" s="39">
        <v>2018</v>
      </c>
      <c r="X7" s="39">
        <v>2202</v>
      </c>
      <c r="Y7" s="39">
        <f t="shared" si="8"/>
        <v>-184</v>
      </c>
      <c r="Z7" s="39">
        <v>32</v>
      </c>
      <c r="AA7" s="40">
        <f t="shared" si="9"/>
        <v>0</v>
      </c>
      <c r="AB7" s="37">
        <f t="shared" si="10"/>
        <v>0</v>
      </c>
      <c r="AC7" s="39">
        <v>28324.39</v>
      </c>
      <c r="AD7" s="39">
        <v>916605.01</v>
      </c>
      <c r="AE7" s="41">
        <f t="shared" si="11"/>
        <v>3.0901413030679375E-2</v>
      </c>
      <c r="AF7" s="37">
        <f t="shared" si="12"/>
        <v>-2.7042390920381278E-3</v>
      </c>
      <c r="AG7" s="39">
        <v>0</v>
      </c>
      <c r="AH7" s="42">
        <f>AG7*-1%</f>
        <v>0</v>
      </c>
      <c r="AI7" s="38">
        <f t="shared" si="13"/>
        <v>0.51760421810322266</v>
      </c>
      <c r="AJ7" s="32" t="str">
        <f t="shared" si="14"/>
        <v>曾汝翔</v>
      </c>
      <c r="AK7" s="32" t="str">
        <f t="shared" si="15"/>
        <v>城区战略客户团队</v>
      </c>
      <c r="AL7" s="42">
        <f t="shared" si="16"/>
        <v>0.51760421810322266</v>
      </c>
      <c r="AM7" s="42">
        <f>IF(AL7&lt;100%,100%,AL7)</f>
        <v>1</v>
      </c>
      <c r="AN7" s="31" t="s">
        <v>91</v>
      </c>
    </row>
    <row r="8" spans="1:40" ht="15" customHeight="1" x14ac:dyDescent="0.15">
      <c r="A8" s="6">
        <v>7</v>
      </c>
      <c r="B8" s="31">
        <v>201906</v>
      </c>
      <c r="C8" s="32" t="s">
        <v>22</v>
      </c>
      <c r="D8" s="32" t="s">
        <v>80</v>
      </c>
      <c r="E8" s="33"/>
      <c r="F8" s="33">
        <v>184544.91</v>
      </c>
      <c r="G8" s="34">
        <v>187261</v>
      </c>
      <c r="H8" s="33">
        <f t="shared" ref="H8:H20" si="18">SUM(E8:G8)</f>
        <v>371805.91000000003</v>
      </c>
      <c r="I8" s="35">
        <v>360044</v>
      </c>
      <c r="J8" s="36">
        <f t="shared" ref="J8:J20" si="19">H8/I8</f>
        <v>1.032667979469176</v>
      </c>
      <c r="K8" s="37">
        <f t="shared" ref="K8:K20" si="20">IF((J8*0.5)&gt;=60%,60%,(J8*0.5))</f>
        <v>0.51633398973458799</v>
      </c>
      <c r="L8" s="33"/>
      <c r="M8" s="33">
        <v>24.5</v>
      </c>
      <c r="N8" s="34">
        <v>36.4</v>
      </c>
      <c r="O8" s="33">
        <f t="shared" ref="O8:O20" si="21">SUM(L8:N8)</f>
        <v>60.9</v>
      </c>
      <c r="P8" s="35">
        <v>63227</v>
      </c>
      <c r="Q8" s="38">
        <f t="shared" ref="Q8:Q20" si="22">O8/P8</f>
        <v>9.6319610293071E-4</v>
      </c>
      <c r="R8" s="37">
        <f t="shared" ref="R8:R20" si="23">IF((Q8*0.15)&gt;=15%,15%,(Q8*0.15))</f>
        <v>1.444794154396065E-4</v>
      </c>
      <c r="S8" s="34">
        <v>12.333333333000001</v>
      </c>
      <c r="T8" s="35">
        <v>3</v>
      </c>
      <c r="U8" s="38">
        <f t="shared" ref="U8:U20" si="24">S8/T8</f>
        <v>4.1111111110000005</v>
      </c>
      <c r="V8" s="37">
        <f t="shared" ref="V8:V20" si="25">IF((U8*0.15)&gt;=15%,15%,(U8*0.15))</f>
        <v>0.15</v>
      </c>
      <c r="W8" s="39">
        <v>2878</v>
      </c>
      <c r="X8" s="39">
        <v>2943</v>
      </c>
      <c r="Y8" s="39">
        <f t="shared" ref="Y8:Y20" si="26">W8-X8</f>
        <v>-65</v>
      </c>
      <c r="Z8" s="39">
        <v>58</v>
      </c>
      <c r="AA8" s="40">
        <f t="shared" ref="AA8:AA20" si="27">IF((Y8/Z8)&lt;=0,0,(Y8/Z8))</f>
        <v>0</v>
      </c>
      <c r="AB8" s="37">
        <f t="shared" ref="AB8:AB20" si="28">IF((AA8*0.2)&gt;=20%,20%,(AA8*0.2))</f>
        <v>0</v>
      </c>
      <c r="AC8" s="39">
        <v>7785.36</v>
      </c>
      <c r="AD8" s="39">
        <v>546181.69999999995</v>
      </c>
      <c r="AE8" s="41">
        <f t="shared" ref="AE8:AE20" si="29">AC8/AD8</f>
        <v>1.4254157545007459E-2</v>
      </c>
      <c r="AF8" s="37">
        <f t="shared" ref="AF8:AF20" si="30">-IF(IF(AE8&gt;=3%,(AE8-3%)/1%*3%,0)&gt;=10%,10%,IF(AE8&gt;=3%,(AE8-3%)/1%*3%,0))</f>
        <v>0</v>
      </c>
      <c r="AG8" s="39">
        <v>0</v>
      </c>
      <c r="AH8" s="42">
        <f>IF((AG8*-1%)&lt;=-10%,-10%,(AG8*-1%))</f>
        <v>0</v>
      </c>
      <c r="AI8" s="38">
        <f t="shared" ref="AI8:AI20" si="31">K8+R8+V8+AB8+AF8+AH8</f>
        <v>0.66647846915002762</v>
      </c>
      <c r="AJ8" s="32" t="str">
        <f t="shared" ref="AJ8:AJ20" si="32">D8</f>
        <v>陈伊文</v>
      </c>
      <c r="AK8" s="32" t="str">
        <f t="shared" ref="AK8:AK20" si="33">C8</f>
        <v>中山港大客户团队3部</v>
      </c>
      <c r="AL8" s="42">
        <f t="shared" ref="AL8:AL20" si="34">K8+R8+V8+AB8+AF8+AH8</f>
        <v>0.66647846915002762</v>
      </c>
      <c r="AM8" s="42">
        <f t="shared" ref="AM8:AM20" si="35">IF(AL8&lt;40%,40%,AL8)</f>
        <v>0.66647846915002762</v>
      </c>
      <c r="AN8" s="31"/>
    </row>
    <row r="9" spans="1:40" ht="15" customHeight="1" x14ac:dyDescent="0.15">
      <c r="A9" s="6">
        <v>8</v>
      </c>
      <c r="B9" s="31">
        <v>201906</v>
      </c>
      <c r="C9" s="32" t="s">
        <v>29</v>
      </c>
      <c r="D9" s="32" t="s">
        <v>76</v>
      </c>
      <c r="E9" s="33"/>
      <c r="F9" s="33">
        <v>195104.14</v>
      </c>
      <c r="G9" s="34">
        <v>188735.56</v>
      </c>
      <c r="H9" s="33">
        <f t="shared" si="18"/>
        <v>383839.7</v>
      </c>
      <c r="I9" s="35">
        <v>495728</v>
      </c>
      <c r="J9" s="36">
        <f t="shared" si="19"/>
        <v>0.77429497627731336</v>
      </c>
      <c r="K9" s="37">
        <f t="shared" si="20"/>
        <v>0.38714748813865668</v>
      </c>
      <c r="L9" s="33"/>
      <c r="M9" s="33">
        <v>0</v>
      </c>
      <c r="N9" s="34">
        <v>0</v>
      </c>
      <c r="O9" s="33">
        <f t="shared" si="21"/>
        <v>0</v>
      </c>
      <c r="P9" s="35">
        <v>66833</v>
      </c>
      <c r="Q9" s="38">
        <f t="shared" si="22"/>
        <v>0</v>
      </c>
      <c r="R9" s="37">
        <f t="shared" si="23"/>
        <v>0</v>
      </c>
      <c r="S9" s="34">
        <v>0</v>
      </c>
      <c r="T9" s="35">
        <v>3</v>
      </c>
      <c r="U9" s="38">
        <f t="shared" si="24"/>
        <v>0</v>
      </c>
      <c r="V9" s="37">
        <f t="shared" si="25"/>
        <v>0</v>
      </c>
      <c r="W9" s="39">
        <v>2397</v>
      </c>
      <c r="X9" s="39">
        <v>2520</v>
      </c>
      <c r="Y9" s="39">
        <f t="shared" si="26"/>
        <v>-123</v>
      </c>
      <c r="Z9" s="39">
        <v>105</v>
      </c>
      <c r="AA9" s="40">
        <f t="shared" si="27"/>
        <v>0</v>
      </c>
      <c r="AB9" s="37">
        <f t="shared" si="28"/>
        <v>0</v>
      </c>
      <c r="AC9" s="39">
        <v>11361.22</v>
      </c>
      <c r="AD9" s="39">
        <v>595450.38</v>
      </c>
      <c r="AE9" s="41">
        <f t="shared" si="29"/>
        <v>1.9080044923306623E-2</v>
      </c>
      <c r="AF9" s="37">
        <f t="shared" si="30"/>
        <v>0</v>
      </c>
      <c r="AG9" s="39">
        <v>0</v>
      </c>
      <c r="AH9" s="42">
        <f t="shared" ref="AH9:AH20" si="36">IF((AG9*-1%)&lt;=-10%,-10%,(AG9*-1%))</f>
        <v>0</v>
      </c>
      <c r="AI9" s="38">
        <f t="shared" si="31"/>
        <v>0.38714748813865668</v>
      </c>
      <c r="AJ9" s="32" t="str">
        <f t="shared" si="32"/>
        <v>段鸿章</v>
      </c>
      <c r="AK9" s="32" t="str">
        <f t="shared" si="33"/>
        <v>小榄大客户团队</v>
      </c>
      <c r="AL9" s="42">
        <f t="shared" si="34"/>
        <v>0.38714748813865668</v>
      </c>
      <c r="AM9" s="42">
        <f t="shared" si="35"/>
        <v>0.4</v>
      </c>
      <c r="AN9" s="31"/>
    </row>
    <row r="10" spans="1:40" ht="15" customHeight="1" x14ac:dyDescent="0.15">
      <c r="A10" s="6">
        <v>9</v>
      </c>
      <c r="B10" s="31">
        <v>201906</v>
      </c>
      <c r="C10" s="32" t="s">
        <v>16</v>
      </c>
      <c r="D10" s="32" t="s">
        <v>82</v>
      </c>
      <c r="E10" s="33"/>
      <c r="F10" s="33">
        <v>202869.3</v>
      </c>
      <c r="G10" s="34">
        <v>198085.06</v>
      </c>
      <c r="H10" s="33">
        <f t="shared" si="18"/>
        <v>400954.36</v>
      </c>
      <c r="I10" s="35">
        <v>534370</v>
      </c>
      <c r="J10" s="36">
        <f t="shared" si="19"/>
        <v>0.75033096917865894</v>
      </c>
      <c r="K10" s="37">
        <f t="shared" si="20"/>
        <v>0.37516548458932947</v>
      </c>
      <c r="L10" s="33"/>
      <c r="M10" s="33">
        <v>370.61</v>
      </c>
      <c r="N10" s="34">
        <v>4012.57</v>
      </c>
      <c r="O10" s="33">
        <f t="shared" si="21"/>
        <v>4383.18</v>
      </c>
      <c r="P10" s="35">
        <v>76978</v>
      </c>
      <c r="Q10" s="38">
        <f t="shared" si="22"/>
        <v>5.6940684351373123E-2</v>
      </c>
      <c r="R10" s="37">
        <f t="shared" si="23"/>
        <v>8.5411026527059675E-3</v>
      </c>
      <c r="S10" s="34">
        <v>0</v>
      </c>
      <c r="T10" s="35">
        <v>3</v>
      </c>
      <c r="U10" s="38">
        <f t="shared" si="24"/>
        <v>0</v>
      </c>
      <c r="V10" s="37">
        <f t="shared" si="25"/>
        <v>0</v>
      </c>
      <c r="W10" s="39">
        <v>2003</v>
      </c>
      <c r="X10" s="39">
        <v>2099</v>
      </c>
      <c r="Y10" s="39">
        <f t="shared" si="26"/>
        <v>-96</v>
      </c>
      <c r="Z10" s="39">
        <v>28</v>
      </c>
      <c r="AA10" s="40">
        <f t="shared" si="27"/>
        <v>0</v>
      </c>
      <c r="AB10" s="37">
        <f t="shared" si="28"/>
        <v>0</v>
      </c>
      <c r="AC10" s="39">
        <v>43066.38</v>
      </c>
      <c r="AD10" s="39">
        <v>639567.17000000004</v>
      </c>
      <c r="AE10" s="41">
        <f t="shared" si="29"/>
        <v>6.7336758389271292E-2</v>
      </c>
      <c r="AF10" s="37">
        <f t="shared" si="30"/>
        <v>-0.1</v>
      </c>
      <c r="AG10" s="39">
        <v>3.75</v>
      </c>
      <c r="AH10" s="42">
        <f t="shared" si="36"/>
        <v>-3.7499999999999999E-2</v>
      </c>
      <c r="AI10" s="38">
        <f t="shared" si="31"/>
        <v>0.24620658724203545</v>
      </c>
      <c r="AJ10" s="32" t="str">
        <f t="shared" si="32"/>
        <v>方卫军</v>
      </c>
      <c r="AK10" s="32" t="str">
        <f t="shared" si="33"/>
        <v>城区大客户团队1部</v>
      </c>
      <c r="AL10" s="42">
        <f t="shared" si="34"/>
        <v>0.24620658724203545</v>
      </c>
      <c r="AM10" s="42">
        <f t="shared" si="35"/>
        <v>0.4</v>
      </c>
      <c r="AN10" s="31"/>
    </row>
    <row r="11" spans="1:40" ht="15" customHeight="1" x14ac:dyDescent="0.15">
      <c r="A11" s="6">
        <v>10</v>
      </c>
      <c r="B11" s="31">
        <v>201906</v>
      </c>
      <c r="C11" s="32" t="s">
        <v>18</v>
      </c>
      <c r="D11" s="32" t="s">
        <v>77</v>
      </c>
      <c r="E11" s="33"/>
      <c r="F11" s="33">
        <v>232313.2065</v>
      </c>
      <c r="G11" s="34">
        <v>225102.76</v>
      </c>
      <c r="H11" s="33">
        <f t="shared" si="18"/>
        <v>457415.96649999998</v>
      </c>
      <c r="I11" s="35">
        <v>586553</v>
      </c>
      <c r="J11" s="36">
        <f t="shared" si="19"/>
        <v>0.77983740003034674</v>
      </c>
      <c r="K11" s="37">
        <f t="shared" si="20"/>
        <v>0.38991870001517337</v>
      </c>
      <c r="L11" s="33"/>
      <c r="M11" s="33">
        <v>602.44000000000005</v>
      </c>
      <c r="N11" s="34">
        <v>602.30999999999995</v>
      </c>
      <c r="O11" s="33">
        <f t="shared" si="21"/>
        <v>1204.75</v>
      </c>
      <c r="P11" s="35">
        <v>50000</v>
      </c>
      <c r="Q11" s="38">
        <f t="shared" si="22"/>
        <v>2.4094999999999998E-2</v>
      </c>
      <c r="R11" s="37">
        <f t="shared" si="23"/>
        <v>3.6142499999999994E-3</v>
      </c>
      <c r="S11" s="34">
        <v>1.6666666649999999</v>
      </c>
      <c r="T11" s="35">
        <v>3</v>
      </c>
      <c r="U11" s="38">
        <f t="shared" si="24"/>
        <v>0.55555555499999998</v>
      </c>
      <c r="V11" s="37">
        <f t="shared" si="25"/>
        <v>8.3333333249999988E-2</v>
      </c>
      <c r="W11" s="39">
        <v>2285</v>
      </c>
      <c r="X11" s="39">
        <v>2452</v>
      </c>
      <c r="Y11" s="39">
        <f t="shared" si="26"/>
        <v>-167</v>
      </c>
      <c r="Z11" s="39">
        <v>2</v>
      </c>
      <c r="AA11" s="40">
        <f t="shared" si="27"/>
        <v>0</v>
      </c>
      <c r="AB11" s="37">
        <f t="shared" si="28"/>
        <v>0</v>
      </c>
      <c r="AC11" s="39">
        <v>10737.94</v>
      </c>
      <c r="AD11" s="39">
        <v>710233.88379999995</v>
      </c>
      <c r="AE11" s="41">
        <f t="shared" si="29"/>
        <v>1.5118878787573837E-2</v>
      </c>
      <c r="AF11" s="37">
        <f t="shared" si="30"/>
        <v>0</v>
      </c>
      <c r="AG11" s="39">
        <v>0</v>
      </c>
      <c r="AH11" s="42">
        <f t="shared" si="36"/>
        <v>0</v>
      </c>
      <c r="AI11" s="38">
        <f t="shared" si="31"/>
        <v>0.47686628326517333</v>
      </c>
      <c r="AJ11" s="32" t="str">
        <f t="shared" si="32"/>
        <v>李太旺</v>
      </c>
      <c r="AK11" s="32" t="str">
        <f t="shared" si="33"/>
        <v>坦洲大客户团队</v>
      </c>
      <c r="AL11" s="42">
        <f t="shared" si="34"/>
        <v>0.47686628326517333</v>
      </c>
      <c r="AM11" s="42">
        <f t="shared" si="35"/>
        <v>0.47686628326517333</v>
      </c>
      <c r="AN11" s="31"/>
    </row>
    <row r="12" spans="1:40" ht="15" customHeight="1" x14ac:dyDescent="0.15">
      <c r="A12" s="6">
        <v>11</v>
      </c>
      <c r="B12" s="31">
        <v>201906</v>
      </c>
      <c r="C12" s="32" t="s">
        <v>17</v>
      </c>
      <c r="D12" s="32" t="s">
        <v>83</v>
      </c>
      <c r="E12" s="33"/>
      <c r="F12" s="33">
        <v>328492.25</v>
      </c>
      <c r="G12" s="33">
        <v>332304.96000000002</v>
      </c>
      <c r="H12" s="33">
        <f t="shared" si="18"/>
        <v>660797.21</v>
      </c>
      <c r="I12" s="35">
        <v>773579</v>
      </c>
      <c r="J12" s="36">
        <f t="shared" si="19"/>
        <v>0.85420779261070945</v>
      </c>
      <c r="K12" s="37">
        <f t="shared" si="20"/>
        <v>0.42710389630535472</v>
      </c>
      <c r="L12" s="33"/>
      <c r="M12" s="33">
        <v>7237.75</v>
      </c>
      <c r="N12" s="33">
        <v>7237.75</v>
      </c>
      <c r="O12" s="33">
        <f t="shared" si="21"/>
        <v>14475.5</v>
      </c>
      <c r="P12" s="35">
        <v>63227</v>
      </c>
      <c r="Q12" s="38">
        <f t="shared" si="22"/>
        <v>0.2289449127746058</v>
      </c>
      <c r="R12" s="37">
        <f t="shared" si="23"/>
        <v>3.4341736916190871E-2</v>
      </c>
      <c r="S12" s="34">
        <v>4.5833333319999996</v>
      </c>
      <c r="T12" s="35">
        <v>3</v>
      </c>
      <c r="U12" s="38">
        <f t="shared" si="24"/>
        <v>1.5277777773333332</v>
      </c>
      <c r="V12" s="37">
        <f t="shared" si="25"/>
        <v>0.15</v>
      </c>
      <c r="W12" s="39">
        <v>3679</v>
      </c>
      <c r="X12" s="39">
        <v>3701</v>
      </c>
      <c r="Y12" s="39">
        <f t="shared" si="26"/>
        <v>-22</v>
      </c>
      <c r="Z12" s="39">
        <v>47</v>
      </c>
      <c r="AA12" s="40">
        <f t="shared" si="27"/>
        <v>0</v>
      </c>
      <c r="AB12" s="37">
        <f t="shared" si="28"/>
        <v>0</v>
      </c>
      <c r="AC12" s="39">
        <v>24149.51</v>
      </c>
      <c r="AD12" s="39">
        <v>1000685.8003</v>
      </c>
      <c r="AE12" s="41">
        <f t="shared" si="29"/>
        <v>2.4132959609060218E-2</v>
      </c>
      <c r="AF12" s="37">
        <f t="shared" si="30"/>
        <v>0</v>
      </c>
      <c r="AG12" s="39">
        <v>0</v>
      </c>
      <c r="AH12" s="42">
        <f t="shared" si="36"/>
        <v>0</v>
      </c>
      <c r="AI12" s="38">
        <f t="shared" si="31"/>
        <v>0.61144563322154555</v>
      </c>
      <c r="AJ12" s="32" t="str">
        <f t="shared" si="32"/>
        <v>李伟杰</v>
      </c>
      <c r="AK12" s="32" t="str">
        <f t="shared" si="33"/>
        <v>中山港大客户团队2部</v>
      </c>
      <c r="AL12" s="42">
        <f t="shared" si="34"/>
        <v>0.61144563322154555</v>
      </c>
      <c r="AM12" s="42">
        <f t="shared" si="35"/>
        <v>0.61144563322154555</v>
      </c>
      <c r="AN12" s="31"/>
    </row>
    <row r="13" spans="1:40" ht="15" customHeight="1" x14ac:dyDescent="0.15">
      <c r="A13" s="6">
        <v>12</v>
      </c>
      <c r="B13" s="31">
        <v>201906</v>
      </c>
      <c r="C13" s="32" t="s">
        <v>14</v>
      </c>
      <c r="D13" s="32" t="s">
        <v>69</v>
      </c>
      <c r="E13" s="33"/>
      <c r="F13" s="33">
        <v>406942.723</v>
      </c>
      <c r="G13" s="34">
        <v>404162.83799999999</v>
      </c>
      <c r="H13" s="33">
        <f t="shared" si="18"/>
        <v>811105.56099999999</v>
      </c>
      <c r="I13" s="35">
        <v>936170</v>
      </c>
      <c r="J13" s="36">
        <f t="shared" si="19"/>
        <v>0.86640840979736589</v>
      </c>
      <c r="K13" s="37">
        <f t="shared" si="20"/>
        <v>0.43320420489868294</v>
      </c>
      <c r="L13" s="33"/>
      <c r="M13" s="33">
        <v>7553.4</v>
      </c>
      <c r="N13" s="34">
        <v>7581.3</v>
      </c>
      <c r="O13" s="33">
        <f t="shared" si="21"/>
        <v>15134.7</v>
      </c>
      <c r="P13" s="35">
        <v>119149</v>
      </c>
      <c r="Q13" s="38">
        <f t="shared" si="22"/>
        <v>0.12702330695179986</v>
      </c>
      <c r="R13" s="37">
        <f t="shared" si="23"/>
        <v>1.9053496042769978E-2</v>
      </c>
      <c r="S13" s="34">
        <v>0.66666666600000002</v>
      </c>
      <c r="T13" s="35">
        <v>3</v>
      </c>
      <c r="U13" s="38">
        <f t="shared" si="24"/>
        <v>0.222222222</v>
      </c>
      <c r="V13" s="37">
        <f t="shared" si="25"/>
        <v>3.3333333299999997E-2</v>
      </c>
      <c r="W13" s="39">
        <v>5723</v>
      </c>
      <c r="X13" s="39">
        <v>5883</v>
      </c>
      <c r="Y13" s="39">
        <f t="shared" si="26"/>
        <v>-160</v>
      </c>
      <c r="Z13" s="39">
        <v>5</v>
      </c>
      <c r="AA13" s="40">
        <f t="shared" si="27"/>
        <v>0</v>
      </c>
      <c r="AB13" s="37">
        <f t="shared" si="28"/>
        <v>0</v>
      </c>
      <c r="AC13" s="39">
        <v>30100.5</v>
      </c>
      <c r="AD13" s="39">
        <v>1239917.5212999999</v>
      </c>
      <c r="AE13" s="41">
        <f t="shared" si="29"/>
        <v>2.4276211508359787E-2</v>
      </c>
      <c r="AF13" s="37">
        <f t="shared" si="30"/>
        <v>0</v>
      </c>
      <c r="AG13" s="39">
        <v>0</v>
      </c>
      <c r="AH13" s="42">
        <f t="shared" si="36"/>
        <v>0</v>
      </c>
      <c r="AI13" s="38">
        <f t="shared" si="31"/>
        <v>0.48559103424145289</v>
      </c>
      <c r="AJ13" s="32" t="str">
        <f t="shared" si="32"/>
        <v>李有强</v>
      </c>
      <c r="AK13" s="32" t="str">
        <f t="shared" si="33"/>
        <v>三乡大客户团队</v>
      </c>
      <c r="AL13" s="42">
        <f t="shared" si="34"/>
        <v>0.48559103424145289</v>
      </c>
      <c r="AM13" s="42">
        <f t="shared" si="35"/>
        <v>0.48559103424145289</v>
      </c>
      <c r="AN13" s="31"/>
    </row>
    <row r="14" spans="1:40" ht="15" customHeight="1" x14ac:dyDescent="0.15">
      <c r="A14" s="6">
        <v>13</v>
      </c>
      <c r="B14" s="31">
        <v>201906</v>
      </c>
      <c r="C14" s="32" t="s">
        <v>30</v>
      </c>
      <c r="D14" s="32" t="s">
        <v>79</v>
      </c>
      <c r="E14" s="33"/>
      <c r="F14" s="33">
        <v>718018.47</v>
      </c>
      <c r="G14" s="33">
        <f>237411.53+26504.9</f>
        <v>263916.43</v>
      </c>
      <c r="H14" s="33">
        <f t="shared" si="18"/>
        <v>981934.89999999991</v>
      </c>
      <c r="I14" s="35">
        <v>735813</v>
      </c>
      <c r="J14" s="36">
        <f t="shared" si="19"/>
        <v>1.3344897412793739</v>
      </c>
      <c r="K14" s="37">
        <f t="shared" si="20"/>
        <v>0.6</v>
      </c>
      <c r="L14" s="33"/>
      <c r="M14" s="33">
        <v>10394.98</v>
      </c>
      <c r="N14" s="33">
        <f>11367.07+26504.9</f>
        <v>37871.97</v>
      </c>
      <c r="O14" s="33">
        <f t="shared" si="21"/>
        <v>48266.95</v>
      </c>
      <c r="P14" s="35">
        <v>75234</v>
      </c>
      <c r="Q14" s="38">
        <f t="shared" si="22"/>
        <v>0.64155767339234915</v>
      </c>
      <c r="R14" s="37">
        <f t="shared" si="23"/>
        <v>9.6233651008852367E-2</v>
      </c>
      <c r="S14" s="34">
        <v>4</v>
      </c>
      <c r="T14" s="35">
        <v>3</v>
      </c>
      <c r="U14" s="38">
        <f t="shared" si="24"/>
        <v>1.3333333333333333</v>
      </c>
      <c r="V14" s="37">
        <f t="shared" si="25"/>
        <v>0.15</v>
      </c>
      <c r="W14" s="39">
        <v>1565</v>
      </c>
      <c r="X14" s="39">
        <v>1604</v>
      </c>
      <c r="Y14" s="39">
        <f t="shared" si="26"/>
        <v>-39</v>
      </c>
      <c r="Z14" s="39">
        <v>71</v>
      </c>
      <c r="AA14" s="40">
        <f t="shared" si="27"/>
        <v>0</v>
      </c>
      <c r="AB14" s="37">
        <f t="shared" si="28"/>
        <v>0</v>
      </c>
      <c r="AC14" s="39">
        <v>19917.509999999998</v>
      </c>
      <c r="AD14" s="39">
        <v>730905.49</v>
      </c>
      <c r="AE14" s="41">
        <f t="shared" si="29"/>
        <v>2.7250458879437337E-2</v>
      </c>
      <c r="AF14" s="37">
        <f t="shared" si="30"/>
        <v>0</v>
      </c>
      <c r="AG14" s="39">
        <v>0</v>
      </c>
      <c r="AH14" s="42">
        <f t="shared" si="36"/>
        <v>0</v>
      </c>
      <c r="AI14" s="38">
        <f t="shared" si="31"/>
        <v>0.84623365100885239</v>
      </c>
      <c r="AJ14" s="32" t="str">
        <f t="shared" si="32"/>
        <v>卢云杰</v>
      </c>
      <c r="AK14" s="32" t="str">
        <f t="shared" si="33"/>
        <v>智能家居行业中心</v>
      </c>
      <c r="AL14" s="42">
        <f t="shared" si="34"/>
        <v>0.84623365100885239</v>
      </c>
      <c r="AM14" s="42">
        <f t="shared" si="35"/>
        <v>0.84623365100885239</v>
      </c>
      <c r="AN14" s="31"/>
    </row>
    <row r="15" spans="1:40" ht="15" customHeight="1" x14ac:dyDescent="0.15">
      <c r="A15" s="6">
        <v>14</v>
      </c>
      <c r="B15" s="31">
        <v>201906</v>
      </c>
      <c r="C15" s="32" t="s">
        <v>15</v>
      </c>
      <c r="D15" s="32" t="s">
        <v>78</v>
      </c>
      <c r="E15" s="33"/>
      <c r="F15" s="33">
        <v>72847.64</v>
      </c>
      <c r="G15" s="34">
        <v>73116.070000000007</v>
      </c>
      <c r="H15" s="33">
        <f t="shared" si="18"/>
        <v>145963.71000000002</v>
      </c>
      <c r="I15" s="35">
        <v>184320</v>
      </c>
      <c r="J15" s="36">
        <f t="shared" si="19"/>
        <v>0.79190380859375009</v>
      </c>
      <c r="K15" s="37">
        <f t="shared" si="20"/>
        <v>0.39595190429687505</v>
      </c>
      <c r="L15" s="33"/>
      <c r="M15" s="33">
        <v>4747.1899999999996</v>
      </c>
      <c r="N15" s="34">
        <v>3340.99</v>
      </c>
      <c r="O15" s="33">
        <f t="shared" si="21"/>
        <v>8088.1799999999994</v>
      </c>
      <c r="P15" s="35">
        <v>63227</v>
      </c>
      <c r="Q15" s="38">
        <f t="shared" si="22"/>
        <v>0.12792288104765367</v>
      </c>
      <c r="R15" s="37">
        <f t="shared" si="23"/>
        <v>1.918843215714805E-2</v>
      </c>
      <c r="S15" s="34">
        <v>0</v>
      </c>
      <c r="T15" s="35">
        <v>3</v>
      </c>
      <c r="U15" s="38">
        <f t="shared" si="24"/>
        <v>0</v>
      </c>
      <c r="V15" s="37">
        <f t="shared" si="25"/>
        <v>0</v>
      </c>
      <c r="W15" s="39">
        <v>206</v>
      </c>
      <c r="X15" s="39">
        <v>158</v>
      </c>
      <c r="Y15" s="39">
        <f t="shared" si="26"/>
        <v>48</v>
      </c>
      <c r="Z15" s="39">
        <v>1.1E-4</v>
      </c>
      <c r="AA15" s="40">
        <f t="shared" si="27"/>
        <v>436363.63636363635</v>
      </c>
      <c r="AB15" s="37">
        <f t="shared" si="28"/>
        <v>0.2</v>
      </c>
      <c r="AC15" s="39">
        <v>4804.6400000000003</v>
      </c>
      <c r="AD15" s="39">
        <v>231459.55</v>
      </c>
      <c r="AE15" s="41">
        <f t="shared" si="29"/>
        <v>2.0758011497041279E-2</v>
      </c>
      <c r="AF15" s="37">
        <f t="shared" si="30"/>
        <v>0</v>
      </c>
      <c r="AG15" s="39">
        <v>0</v>
      </c>
      <c r="AH15" s="42">
        <f t="shared" si="36"/>
        <v>0</v>
      </c>
      <c r="AI15" s="38">
        <f t="shared" si="31"/>
        <v>0.61514033645402311</v>
      </c>
      <c r="AJ15" s="32" t="str">
        <f t="shared" si="32"/>
        <v>唐勇胜</v>
      </c>
      <c r="AK15" s="32" t="str">
        <f t="shared" si="33"/>
        <v>南朗大客户团队</v>
      </c>
      <c r="AL15" s="42">
        <f t="shared" si="34"/>
        <v>0.61514033645402311</v>
      </c>
      <c r="AM15" s="42">
        <f t="shared" si="35"/>
        <v>0.61514033645402311</v>
      </c>
      <c r="AN15" s="31"/>
    </row>
    <row r="16" spans="1:40" ht="15" customHeight="1" x14ac:dyDescent="0.15">
      <c r="A16" s="6">
        <v>15</v>
      </c>
      <c r="B16" s="31">
        <v>201906</v>
      </c>
      <c r="C16" s="32" t="s">
        <v>19</v>
      </c>
      <c r="D16" s="32" t="s">
        <v>68</v>
      </c>
      <c r="E16" s="33"/>
      <c r="F16" s="33">
        <v>456820.83</v>
      </c>
      <c r="G16" s="33">
        <v>426798.09</v>
      </c>
      <c r="H16" s="33">
        <f t="shared" si="18"/>
        <v>883618.92</v>
      </c>
      <c r="I16" s="35">
        <v>916489</v>
      </c>
      <c r="J16" s="36">
        <f t="shared" si="19"/>
        <v>0.96413477957727811</v>
      </c>
      <c r="K16" s="37">
        <f t="shared" si="20"/>
        <v>0.48206738978863906</v>
      </c>
      <c r="L16" s="33"/>
      <c r="M16" s="33">
        <v>27005.22</v>
      </c>
      <c r="N16" s="33">
        <v>7013.92</v>
      </c>
      <c r="O16" s="33">
        <f t="shared" si="21"/>
        <v>34019.14</v>
      </c>
      <c r="P16" s="35">
        <v>154362</v>
      </c>
      <c r="Q16" s="38">
        <f t="shared" si="22"/>
        <v>0.22038545756079864</v>
      </c>
      <c r="R16" s="37">
        <f t="shared" si="23"/>
        <v>3.3057818634119794E-2</v>
      </c>
      <c r="S16" s="34">
        <v>6.6666666650000002</v>
      </c>
      <c r="T16" s="35">
        <v>3</v>
      </c>
      <c r="U16" s="38">
        <f t="shared" si="24"/>
        <v>2.2222222216666667</v>
      </c>
      <c r="V16" s="37">
        <f t="shared" si="25"/>
        <v>0.15</v>
      </c>
      <c r="W16" s="39">
        <v>5230</v>
      </c>
      <c r="X16" s="39">
        <v>5409</v>
      </c>
      <c r="Y16" s="39">
        <f t="shared" si="26"/>
        <v>-179</v>
      </c>
      <c r="Z16" s="39">
        <v>145</v>
      </c>
      <c r="AA16" s="40">
        <f t="shared" si="27"/>
        <v>0</v>
      </c>
      <c r="AB16" s="37">
        <f t="shared" si="28"/>
        <v>0</v>
      </c>
      <c r="AC16" s="39">
        <v>70922.14</v>
      </c>
      <c r="AD16" s="39">
        <v>1308953.1100000001</v>
      </c>
      <c r="AE16" s="41">
        <f t="shared" si="29"/>
        <v>5.4182338128216059E-2</v>
      </c>
      <c r="AF16" s="37">
        <f t="shared" si="30"/>
        <v>-7.2547014384648167E-2</v>
      </c>
      <c r="AG16" s="39">
        <v>13.75</v>
      </c>
      <c r="AH16" s="42">
        <f t="shared" si="36"/>
        <v>-0.1</v>
      </c>
      <c r="AI16" s="38">
        <f t="shared" si="31"/>
        <v>0.49257819403811076</v>
      </c>
      <c r="AJ16" s="32" t="str">
        <f t="shared" si="32"/>
        <v>吴炬荣</v>
      </c>
      <c r="AK16" s="32" t="str">
        <f t="shared" si="33"/>
        <v>古镇大客户团队</v>
      </c>
      <c r="AL16" s="42">
        <f t="shared" si="34"/>
        <v>0.49257819403811076</v>
      </c>
      <c r="AM16" s="42">
        <f t="shared" si="35"/>
        <v>0.49257819403811076</v>
      </c>
      <c r="AN16" s="31"/>
    </row>
    <row r="17" spans="1:40" ht="15" customHeight="1" x14ac:dyDescent="0.15">
      <c r="A17" s="6">
        <v>16</v>
      </c>
      <c r="B17" s="31">
        <v>201906</v>
      </c>
      <c r="C17" s="32" t="s">
        <v>32</v>
      </c>
      <c r="D17" s="32" t="s">
        <v>72</v>
      </c>
      <c r="E17" s="33"/>
      <c r="F17" s="33">
        <v>335657.6</v>
      </c>
      <c r="G17" s="33">
        <v>318964.09999999998</v>
      </c>
      <c r="H17" s="33">
        <f t="shared" si="18"/>
        <v>654621.69999999995</v>
      </c>
      <c r="I17" s="35">
        <v>772332</v>
      </c>
      <c r="J17" s="36">
        <f t="shared" si="19"/>
        <v>0.84759106187494493</v>
      </c>
      <c r="K17" s="37">
        <f t="shared" si="20"/>
        <v>0.42379553093747246</v>
      </c>
      <c r="L17" s="33"/>
      <c r="M17" s="33">
        <v>12514.15</v>
      </c>
      <c r="N17" s="33">
        <v>545.9</v>
      </c>
      <c r="O17" s="33">
        <f t="shared" si="21"/>
        <v>13060.05</v>
      </c>
      <c r="P17" s="35">
        <v>24555</v>
      </c>
      <c r="Q17" s="38">
        <f t="shared" si="22"/>
        <v>0.53186927306047649</v>
      </c>
      <c r="R17" s="37">
        <f t="shared" si="23"/>
        <v>7.9780390959071468E-2</v>
      </c>
      <c r="S17" s="34">
        <v>0</v>
      </c>
      <c r="T17" s="35">
        <v>3</v>
      </c>
      <c r="U17" s="38">
        <f t="shared" si="24"/>
        <v>0</v>
      </c>
      <c r="V17" s="37">
        <f t="shared" si="25"/>
        <v>0</v>
      </c>
      <c r="W17" s="39">
        <v>3975</v>
      </c>
      <c r="X17" s="39">
        <v>4010</v>
      </c>
      <c r="Y17" s="39">
        <f t="shared" si="26"/>
        <v>-35</v>
      </c>
      <c r="Z17" s="39">
        <v>73</v>
      </c>
      <c r="AA17" s="40">
        <f t="shared" si="27"/>
        <v>0</v>
      </c>
      <c r="AB17" s="37">
        <f t="shared" si="28"/>
        <v>0</v>
      </c>
      <c r="AC17" s="39">
        <v>26979.87</v>
      </c>
      <c r="AD17" s="39">
        <v>981565.27</v>
      </c>
      <c r="AE17" s="41">
        <f t="shared" si="29"/>
        <v>2.7486577637368934E-2</v>
      </c>
      <c r="AF17" s="37">
        <f t="shared" si="30"/>
        <v>0</v>
      </c>
      <c r="AG17" s="39">
        <v>4</v>
      </c>
      <c r="AH17" s="42">
        <f>IF((AG17*-1%)&lt;=-10%,-10%,(AG17*-1%))-1%</f>
        <v>-0.05</v>
      </c>
      <c r="AI17" s="38">
        <f t="shared" si="31"/>
        <v>0.45357592189654389</v>
      </c>
      <c r="AJ17" s="32" t="str">
        <f t="shared" si="32"/>
        <v>吴永铭</v>
      </c>
      <c r="AK17" s="32" t="str">
        <f t="shared" si="33"/>
        <v>三角大客户团队</v>
      </c>
      <c r="AL17" s="42">
        <f t="shared" si="34"/>
        <v>0.45357592189654389</v>
      </c>
      <c r="AM17" s="42">
        <f t="shared" si="35"/>
        <v>0.45357592189654389</v>
      </c>
      <c r="AN17" s="31"/>
    </row>
    <row r="18" spans="1:40" ht="15" customHeight="1" x14ac:dyDescent="0.15">
      <c r="A18" s="6">
        <v>17</v>
      </c>
      <c r="B18" s="31">
        <v>201906</v>
      </c>
      <c r="C18" s="32" t="s">
        <v>89</v>
      </c>
      <c r="D18" s="32" t="s">
        <v>88</v>
      </c>
      <c r="E18" s="33"/>
      <c r="F18" s="33">
        <v>0</v>
      </c>
      <c r="G18" s="33">
        <v>107580.27</v>
      </c>
      <c r="H18" s="33">
        <f t="shared" si="18"/>
        <v>107580.27</v>
      </c>
      <c r="I18" s="35">
        <v>168036</v>
      </c>
      <c r="J18" s="36">
        <f t="shared" si="19"/>
        <v>0.64022155966578598</v>
      </c>
      <c r="K18" s="37">
        <f t="shared" si="20"/>
        <v>0.32011077983289299</v>
      </c>
      <c r="L18" s="33"/>
      <c r="M18" s="33">
        <v>0</v>
      </c>
      <c r="N18" s="33">
        <v>3610.55</v>
      </c>
      <c r="O18" s="33">
        <f t="shared" si="21"/>
        <v>3610.55</v>
      </c>
      <c r="P18" s="35">
        <v>39574</v>
      </c>
      <c r="Q18" s="38">
        <f t="shared" si="22"/>
        <v>9.1235407085460157E-2</v>
      </c>
      <c r="R18" s="37">
        <f t="shared" si="23"/>
        <v>1.3685311062819023E-2</v>
      </c>
      <c r="S18" s="34">
        <v>0</v>
      </c>
      <c r="T18" s="35">
        <v>3</v>
      </c>
      <c r="U18" s="38">
        <f t="shared" si="24"/>
        <v>0</v>
      </c>
      <c r="V18" s="37">
        <f t="shared" si="25"/>
        <v>0</v>
      </c>
      <c r="W18" s="39">
        <v>1245</v>
      </c>
      <c r="X18" s="39">
        <v>0</v>
      </c>
      <c r="Y18" s="39">
        <f t="shared" si="26"/>
        <v>1245</v>
      </c>
      <c r="Z18" s="39">
        <v>87</v>
      </c>
      <c r="AA18" s="40">
        <f t="shared" si="27"/>
        <v>14.310344827586206</v>
      </c>
      <c r="AB18" s="37">
        <f t="shared" si="28"/>
        <v>0.2</v>
      </c>
      <c r="AC18" s="39">
        <v>25161.14</v>
      </c>
      <c r="AD18" s="39">
        <v>334294.26</v>
      </c>
      <c r="AE18" s="41">
        <f t="shared" si="29"/>
        <v>7.5266443402288746E-2</v>
      </c>
      <c r="AF18" s="37">
        <f t="shared" si="30"/>
        <v>-0.1</v>
      </c>
      <c r="AG18" s="39">
        <v>0</v>
      </c>
      <c r="AH18" s="42">
        <f t="shared" si="36"/>
        <v>0</v>
      </c>
      <c r="AI18" s="38">
        <f t="shared" si="31"/>
        <v>0.43379609089571203</v>
      </c>
      <c r="AJ18" s="32" t="str">
        <f t="shared" si="32"/>
        <v>吴钟明</v>
      </c>
      <c r="AK18" s="32" t="str">
        <f t="shared" si="33"/>
        <v>横栏大客户团队</v>
      </c>
      <c r="AL18" s="42">
        <f t="shared" si="34"/>
        <v>0.43379609089571203</v>
      </c>
      <c r="AM18" s="42">
        <f>IF(AL18&lt;100%,100%,AL18)</f>
        <v>1</v>
      </c>
      <c r="AN18" s="31" t="s">
        <v>91</v>
      </c>
    </row>
    <row r="19" spans="1:40" ht="15" customHeight="1" x14ac:dyDescent="0.15">
      <c r="A19" s="6">
        <v>18</v>
      </c>
      <c r="B19" s="31">
        <v>201906</v>
      </c>
      <c r="C19" s="32" t="s">
        <v>23</v>
      </c>
      <c r="D19" s="32" t="s">
        <v>75</v>
      </c>
      <c r="E19" s="33"/>
      <c r="F19" s="33">
        <v>188887.99100000001</v>
      </c>
      <c r="G19" s="33">
        <v>191738.78599999999</v>
      </c>
      <c r="H19" s="33">
        <f t="shared" si="18"/>
        <v>380626.777</v>
      </c>
      <c r="I19" s="35">
        <v>436382</v>
      </c>
      <c r="J19" s="36">
        <f t="shared" si="19"/>
        <v>0.87223299081996963</v>
      </c>
      <c r="K19" s="37">
        <f t="shared" si="20"/>
        <v>0.43611649540998482</v>
      </c>
      <c r="L19" s="33"/>
      <c r="M19" s="33">
        <v>6025.08</v>
      </c>
      <c r="N19" s="33">
        <v>9933.3700000000008</v>
      </c>
      <c r="O19" s="33">
        <f t="shared" si="21"/>
        <v>15958.45</v>
      </c>
      <c r="P19" s="35">
        <v>33845</v>
      </c>
      <c r="Q19" s="38">
        <f t="shared" si="22"/>
        <v>0.47151573349091447</v>
      </c>
      <c r="R19" s="37">
        <f t="shared" si="23"/>
        <v>7.0727360023637165E-2</v>
      </c>
      <c r="S19" s="34">
        <v>1.6666666649999999</v>
      </c>
      <c r="T19" s="35">
        <v>3</v>
      </c>
      <c r="U19" s="38">
        <f t="shared" si="24"/>
        <v>0.55555555499999998</v>
      </c>
      <c r="V19" s="37">
        <f t="shared" si="25"/>
        <v>8.3333333249999988E-2</v>
      </c>
      <c r="W19" s="39">
        <v>2590</v>
      </c>
      <c r="X19" s="39">
        <v>2601</v>
      </c>
      <c r="Y19" s="39">
        <f t="shared" si="26"/>
        <v>-11</v>
      </c>
      <c r="Z19" s="39">
        <v>6</v>
      </c>
      <c r="AA19" s="40">
        <f t="shared" si="27"/>
        <v>0</v>
      </c>
      <c r="AB19" s="37">
        <f t="shared" si="28"/>
        <v>0</v>
      </c>
      <c r="AC19" s="39">
        <v>6248.93</v>
      </c>
      <c r="AD19" s="39">
        <v>588921.33640000003</v>
      </c>
      <c r="AE19" s="41">
        <f t="shared" si="29"/>
        <v>1.0610805915436689E-2</v>
      </c>
      <c r="AF19" s="37">
        <f t="shared" si="30"/>
        <v>0</v>
      </c>
      <c r="AG19" s="39">
        <v>0</v>
      </c>
      <c r="AH19" s="42">
        <f t="shared" si="36"/>
        <v>0</v>
      </c>
      <c r="AI19" s="38">
        <f t="shared" si="31"/>
        <v>0.59017718868362201</v>
      </c>
      <c r="AJ19" s="32" t="str">
        <f t="shared" si="32"/>
        <v>萧锡云</v>
      </c>
      <c r="AK19" s="32" t="str">
        <f t="shared" si="33"/>
        <v>沙溪大涌大客户团队</v>
      </c>
      <c r="AL19" s="42">
        <f t="shared" si="34"/>
        <v>0.59017718868362201</v>
      </c>
      <c r="AM19" s="42">
        <f t="shared" si="35"/>
        <v>0.59017718868362201</v>
      </c>
      <c r="AN19" s="31"/>
    </row>
    <row r="20" spans="1:40" ht="15" customHeight="1" x14ac:dyDescent="0.15">
      <c r="A20" s="6">
        <v>19</v>
      </c>
      <c r="B20" s="48">
        <v>201906</v>
      </c>
      <c r="C20" s="47" t="s">
        <v>90</v>
      </c>
      <c r="D20" s="47" t="s">
        <v>70</v>
      </c>
      <c r="E20" s="49"/>
      <c r="F20" s="49">
        <v>34729.68</v>
      </c>
      <c r="G20" s="49">
        <v>53309.02</v>
      </c>
      <c r="H20" s="49">
        <f t="shared" si="18"/>
        <v>88038.7</v>
      </c>
      <c r="I20" s="50">
        <v>63227</v>
      </c>
      <c r="J20" s="51">
        <f t="shared" si="19"/>
        <v>1.3924225410030524</v>
      </c>
      <c r="K20" s="52">
        <f t="shared" si="20"/>
        <v>0.6</v>
      </c>
      <c r="L20" s="49"/>
      <c r="M20" s="49">
        <v>389.01</v>
      </c>
      <c r="N20" s="49">
        <v>110.72</v>
      </c>
      <c r="O20" s="49">
        <f t="shared" si="21"/>
        <v>499.73</v>
      </c>
      <c r="P20" s="50">
        <v>63227</v>
      </c>
      <c r="Q20" s="53">
        <f t="shared" si="22"/>
        <v>7.9037436538187799E-3</v>
      </c>
      <c r="R20" s="52">
        <f t="shared" si="23"/>
        <v>1.1855615480728169E-3</v>
      </c>
      <c r="S20" s="54">
        <f>0.333333333+2.5</f>
        <v>2.8333333330000001</v>
      </c>
      <c r="T20" s="50">
        <v>3</v>
      </c>
      <c r="U20" s="53">
        <f t="shared" si="24"/>
        <v>0.94444444433333341</v>
      </c>
      <c r="V20" s="52">
        <f t="shared" si="25"/>
        <v>0.14166666664999999</v>
      </c>
      <c r="W20" s="55">
        <v>518</v>
      </c>
      <c r="X20" s="55">
        <v>260</v>
      </c>
      <c r="Y20" s="55">
        <f t="shared" si="26"/>
        <v>258</v>
      </c>
      <c r="Z20" s="55">
        <v>12</v>
      </c>
      <c r="AA20" s="52">
        <f t="shared" si="27"/>
        <v>21.5</v>
      </c>
      <c r="AB20" s="52">
        <f t="shared" si="28"/>
        <v>0.2</v>
      </c>
      <c r="AC20" s="55">
        <v>1708.17</v>
      </c>
      <c r="AD20" s="55">
        <v>130661.85</v>
      </c>
      <c r="AE20" s="56">
        <f t="shared" si="29"/>
        <v>1.3073211499760642E-2</v>
      </c>
      <c r="AF20" s="52">
        <f t="shared" si="30"/>
        <v>0</v>
      </c>
      <c r="AG20" s="55">
        <v>0</v>
      </c>
      <c r="AH20" s="51">
        <f t="shared" si="36"/>
        <v>0</v>
      </c>
      <c r="AI20" s="53">
        <f t="shared" si="31"/>
        <v>0.94285222819807268</v>
      </c>
      <c r="AJ20" s="47" t="str">
        <f t="shared" si="32"/>
        <v>曾德洪</v>
      </c>
      <c r="AK20" s="47" t="str">
        <f t="shared" si="33"/>
        <v>中山港大客户团队1部</v>
      </c>
      <c r="AL20" s="51">
        <f t="shared" si="34"/>
        <v>0.94285222819807268</v>
      </c>
      <c r="AM20" s="51">
        <f t="shared" si="35"/>
        <v>0.94285222819807268</v>
      </c>
      <c r="AN20" s="48"/>
    </row>
  </sheetData>
  <sortState ref="B9:AY21">
    <sortCondition ref="D9:D21"/>
  </sortState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O8:O20" emptyCellReferenc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1"/>
  <sheetViews>
    <sheetView topLeftCell="N1" workbookViewId="0">
      <selection activeCell="Q1" sqref="Q1:AE1048576"/>
    </sheetView>
  </sheetViews>
  <sheetFormatPr defaultRowHeight="15" customHeight="1" x14ac:dyDescent="0.15"/>
  <cols>
    <col min="1" max="1" width="5" style="5" bestFit="1" customWidth="1"/>
    <col min="2" max="2" width="6.75" style="16" bestFit="1" customWidth="1"/>
    <col min="3" max="3" width="20.625" style="24" customWidth="1"/>
    <col min="4" max="4" width="8.5" style="24" bestFit="1" customWidth="1"/>
    <col min="5" max="5" width="10.875" style="22" customWidth="1"/>
    <col min="6" max="6" width="11.875" style="22" customWidth="1"/>
    <col min="7" max="7" width="8.5" style="15" bestFit="1" customWidth="1"/>
    <col min="8" max="8" width="10.375" style="15" bestFit="1" customWidth="1"/>
    <col min="9" max="9" width="10.375" style="9" bestFit="1" customWidth="1"/>
    <col min="10" max="11" width="14.125" style="20" bestFit="1" customWidth="1"/>
    <col min="12" max="12" width="14.25" style="15" bestFit="1" customWidth="1"/>
    <col min="13" max="13" width="18.125" style="15" bestFit="1" customWidth="1"/>
    <col min="14" max="14" width="10.375" style="9" bestFit="1" customWidth="1"/>
    <col min="15" max="15" width="10.375" style="12" customWidth="1"/>
    <col min="16" max="16" width="11.875" style="9" customWidth="1"/>
    <col min="17" max="16384" width="9" style="5"/>
  </cols>
  <sheetData>
    <row r="1" spans="1:16" s="13" customFormat="1" ht="16.5" customHeight="1" x14ac:dyDescent="0.15">
      <c r="A1" s="1" t="s">
        <v>12</v>
      </c>
      <c r="B1" s="10" t="s">
        <v>0</v>
      </c>
      <c r="C1" s="10" t="s">
        <v>1</v>
      </c>
      <c r="D1" s="10" t="s">
        <v>84</v>
      </c>
      <c r="E1" s="10" t="s">
        <v>13</v>
      </c>
      <c r="F1" s="10" t="s">
        <v>2</v>
      </c>
      <c r="G1" s="2" t="s">
        <v>3</v>
      </c>
      <c r="H1" s="2" t="s">
        <v>4</v>
      </c>
      <c r="I1" s="3" t="s">
        <v>5</v>
      </c>
      <c r="J1" s="18" t="s">
        <v>6</v>
      </c>
      <c r="K1" s="18" t="s">
        <v>7</v>
      </c>
      <c r="L1" s="2" t="s">
        <v>8</v>
      </c>
      <c r="M1" s="2" t="s">
        <v>9</v>
      </c>
      <c r="N1" s="3" t="s">
        <v>10</v>
      </c>
      <c r="O1" s="10" t="s">
        <v>84</v>
      </c>
      <c r="P1" s="4" t="s">
        <v>11</v>
      </c>
    </row>
    <row r="2" spans="1:16" ht="15" customHeight="1" x14ac:dyDescent="0.15">
      <c r="A2" s="6">
        <v>1</v>
      </c>
      <c r="B2" s="17">
        <v>201906</v>
      </c>
      <c r="C2" s="57" t="s">
        <v>20</v>
      </c>
      <c r="D2" s="23" t="s">
        <v>81</v>
      </c>
      <c r="E2" s="21">
        <v>22</v>
      </c>
      <c r="F2" s="21">
        <v>14</v>
      </c>
      <c r="G2" s="14">
        <f t="shared" ref="G2:G20" si="0">F2/E2</f>
        <v>0.63636363636363635</v>
      </c>
      <c r="H2" s="14">
        <v>0.1895</v>
      </c>
      <c r="I2" s="7">
        <f>IF((IF(G2&lt;=H2,60%,60%-(G2-H2)/1%*3%))&lt;=30%,30%,(IF(G2&lt;=H2,60%,60%-(G2-H2)/1%*3%)))</f>
        <v>0.3</v>
      </c>
      <c r="J2" s="19">
        <f t="shared" ref="J2:J20" si="1">0.001</f>
        <v>1E-3</v>
      </c>
      <c r="K2" s="19">
        <v>0</v>
      </c>
      <c r="L2" s="14">
        <f t="shared" ref="L2:L20" si="2">K2/J2</f>
        <v>0</v>
      </c>
      <c r="M2" s="14">
        <v>0.3679</v>
      </c>
      <c r="N2" s="7">
        <f t="shared" ref="N2:N20" si="3">IF((IF(L2&gt;=M2,40%,40%-(M2-L2)/1%*3%))&lt;=20%,20%,(IF(L2&gt;=M2,40%,40%-(M2-L2)/1%*3%)))</f>
        <v>0.2</v>
      </c>
      <c r="O2" s="11" t="str">
        <f t="shared" ref="O2:O20" si="4">D2</f>
        <v>陈翠芬</v>
      </c>
      <c r="P2" s="8">
        <f t="shared" ref="P2:P20" si="5">I2+N2</f>
        <v>0.5</v>
      </c>
    </row>
    <row r="3" spans="1:16" ht="15" customHeight="1" x14ac:dyDescent="0.15">
      <c r="A3" s="6">
        <v>2</v>
      </c>
      <c r="B3" s="17">
        <v>201906</v>
      </c>
      <c r="C3" s="57" t="s">
        <v>22</v>
      </c>
      <c r="D3" s="23" t="s">
        <v>80</v>
      </c>
      <c r="E3" s="21">
        <v>10</v>
      </c>
      <c r="F3" s="21">
        <v>1</v>
      </c>
      <c r="G3" s="14">
        <f t="shared" si="0"/>
        <v>0.1</v>
      </c>
      <c r="H3" s="14">
        <v>0.1895</v>
      </c>
      <c r="I3" s="7">
        <f t="shared" ref="I3:I20" si="6">IF((IF(G3&lt;=H3,60%,60%-(G3-H3)/1%*3%))&lt;=30%,30%,(IF(G3&lt;=H3,60%,60%-(G3-H3)/1%*3%)))</f>
        <v>0.6</v>
      </c>
      <c r="J3" s="19">
        <f t="shared" si="1"/>
        <v>1E-3</v>
      </c>
      <c r="K3" s="19">
        <v>0</v>
      </c>
      <c r="L3" s="14">
        <f t="shared" si="2"/>
        <v>0</v>
      </c>
      <c r="M3" s="14">
        <v>0.3679</v>
      </c>
      <c r="N3" s="7">
        <f t="shared" si="3"/>
        <v>0.2</v>
      </c>
      <c r="O3" s="11" t="str">
        <f t="shared" si="4"/>
        <v>陈伊文</v>
      </c>
      <c r="P3" s="8">
        <f t="shared" si="5"/>
        <v>0.8</v>
      </c>
    </row>
    <row r="4" spans="1:16" ht="15" customHeight="1" x14ac:dyDescent="0.15">
      <c r="A4" s="6">
        <v>3</v>
      </c>
      <c r="B4" s="17">
        <v>201906</v>
      </c>
      <c r="C4" s="57" t="s">
        <v>29</v>
      </c>
      <c r="D4" s="23" t="s">
        <v>76</v>
      </c>
      <c r="E4" s="21">
        <f>0.001</f>
        <v>1E-3</v>
      </c>
      <c r="F4" s="21"/>
      <c r="G4" s="14">
        <f t="shared" si="0"/>
        <v>0</v>
      </c>
      <c r="H4" s="14">
        <v>0.1895</v>
      </c>
      <c r="I4" s="7">
        <f t="shared" si="6"/>
        <v>0.6</v>
      </c>
      <c r="J4" s="19">
        <f t="shared" si="1"/>
        <v>1E-3</v>
      </c>
      <c r="K4" s="19">
        <v>0</v>
      </c>
      <c r="L4" s="14">
        <f t="shared" si="2"/>
        <v>0</v>
      </c>
      <c r="M4" s="14">
        <v>0.3679</v>
      </c>
      <c r="N4" s="7">
        <f t="shared" si="3"/>
        <v>0.2</v>
      </c>
      <c r="O4" s="11" t="str">
        <f t="shared" si="4"/>
        <v>段鸿章</v>
      </c>
      <c r="P4" s="8">
        <f t="shared" si="5"/>
        <v>0.8</v>
      </c>
    </row>
    <row r="5" spans="1:16" ht="15" customHeight="1" x14ac:dyDescent="0.15">
      <c r="A5" s="6">
        <v>4</v>
      </c>
      <c r="B5" s="17">
        <v>201906</v>
      </c>
      <c r="C5" s="57" t="s">
        <v>16</v>
      </c>
      <c r="D5" s="23" t="s">
        <v>82</v>
      </c>
      <c r="E5" s="21">
        <f>0.001</f>
        <v>1E-3</v>
      </c>
      <c r="F5" s="21"/>
      <c r="G5" s="14">
        <f t="shared" si="0"/>
        <v>0</v>
      </c>
      <c r="H5" s="14">
        <v>0.1895</v>
      </c>
      <c r="I5" s="7">
        <f t="shared" si="6"/>
        <v>0.6</v>
      </c>
      <c r="J5" s="19">
        <f t="shared" si="1"/>
        <v>1E-3</v>
      </c>
      <c r="K5" s="19">
        <v>0</v>
      </c>
      <c r="L5" s="14">
        <f t="shared" si="2"/>
        <v>0</v>
      </c>
      <c r="M5" s="14">
        <v>0.3679</v>
      </c>
      <c r="N5" s="7">
        <f t="shared" si="3"/>
        <v>0.2</v>
      </c>
      <c r="O5" s="11" t="str">
        <f t="shared" si="4"/>
        <v>方卫军</v>
      </c>
      <c r="P5" s="8">
        <f t="shared" si="5"/>
        <v>0.8</v>
      </c>
    </row>
    <row r="6" spans="1:16" ht="15" customHeight="1" x14ac:dyDescent="0.15">
      <c r="A6" s="6">
        <v>5</v>
      </c>
      <c r="B6" s="17">
        <v>201906</v>
      </c>
      <c r="C6" s="57" t="s">
        <v>18</v>
      </c>
      <c r="D6" s="23" t="s">
        <v>77</v>
      </c>
      <c r="E6" s="21">
        <f>0.001</f>
        <v>1E-3</v>
      </c>
      <c r="F6" s="21"/>
      <c r="G6" s="14">
        <f t="shared" si="0"/>
        <v>0</v>
      </c>
      <c r="H6" s="14">
        <v>0.1895</v>
      </c>
      <c r="I6" s="7">
        <f t="shared" si="6"/>
        <v>0.6</v>
      </c>
      <c r="J6" s="19">
        <f t="shared" si="1"/>
        <v>1E-3</v>
      </c>
      <c r="K6" s="19">
        <v>0</v>
      </c>
      <c r="L6" s="14">
        <f t="shared" si="2"/>
        <v>0</v>
      </c>
      <c r="M6" s="14">
        <v>0.3679</v>
      </c>
      <c r="N6" s="7">
        <f t="shared" si="3"/>
        <v>0.2</v>
      </c>
      <c r="O6" s="11" t="str">
        <f t="shared" si="4"/>
        <v>李太旺</v>
      </c>
      <c r="P6" s="8">
        <f t="shared" si="5"/>
        <v>0.8</v>
      </c>
    </row>
    <row r="7" spans="1:16" ht="15" customHeight="1" x14ac:dyDescent="0.15">
      <c r="A7" s="6">
        <v>6</v>
      </c>
      <c r="B7" s="17">
        <v>201906</v>
      </c>
      <c r="C7" s="57" t="s">
        <v>17</v>
      </c>
      <c r="D7" s="23" t="s">
        <v>83</v>
      </c>
      <c r="E7" s="21">
        <v>9</v>
      </c>
      <c r="F7" s="21">
        <v>6</v>
      </c>
      <c r="G7" s="14">
        <f t="shared" si="0"/>
        <v>0.66666666666666663</v>
      </c>
      <c r="H7" s="14">
        <v>0.1895</v>
      </c>
      <c r="I7" s="7">
        <f t="shared" si="6"/>
        <v>0.3</v>
      </c>
      <c r="J7" s="19">
        <f t="shared" si="1"/>
        <v>1E-3</v>
      </c>
      <c r="K7" s="19">
        <v>0</v>
      </c>
      <c r="L7" s="14">
        <f t="shared" si="2"/>
        <v>0</v>
      </c>
      <c r="M7" s="14">
        <v>0.3679</v>
      </c>
      <c r="N7" s="7">
        <f t="shared" si="3"/>
        <v>0.2</v>
      </c>
      <c r="O7" s="11" t="str">
        <f t="shared" si="4"/>
        <v>李伟杰</v>
      </c>
      <c r="P7" s="8">
        <f t="shared" si="5"/>
        <v>0.5</v>
      </c>
    </row>
    <row r="8" spans="1:16" ht="15" customHeight="1" x14ac:dyDescent="0.15">
      <c r="A8" s="6">
        <v>7</v>
      </c>
      <c r="B8" s="17">
        <v>201906</v>
      </c>
      <c r="C8" s="57" t="s">
        <v>14</v>
      </c>
      <c r="D8" s="23" t="s">
        <v>69</v>
      </c>
      <c r="E8" s="21">
        <v>3</v>
      </c>
      <c r="F8" s="21">
        <v>0</v>
      </c>
      <c r="G8" s="14">
        <f t="shared" si="0"/>
        <v>0</v>
      </c>
      <c r="H8" s="14">
        <v>0.1895</v>
      </c>
      <c r="I8" s="7">
        <f t="shared" si="6"/>
        <v>0.6</v>
      </c>
      <c r="J8" s="19">
        <f t="shared" si="1"/>
        <v>1E-3</v>
      </c>
      <c r="K8" s="19">
        <v>0</v>
      </c>
      <c r="L8" s="14">
        <f t="shared" si="2"/>
        <v>0</v>
      </c>
      <c r="M8" s="14">
        <v>0.3679</v>
      </c>
      <c r="N8" s="7">
        <f t="shared" si="3"/>
        <v>0.2</v>
      </c>
      <c r="O8" s="11" t="str">
        <f t="shared" si="4"/>
        <v>李有强</v>
      </c>
      <c r="P8" s="8">
        <f t="shared" si="5"/>
        <v>0.8</v>
      </c>
    </row>
    <row r="9" spans="1:16" ht="15" customHeight="1" x14ac:dyDescent="0.15">
      <c r="A9" s="6">
        <v>8</v>
      </c>
      <c r="B9" s="17">
        <v>201906</v>
      </c>
      <c r="C9" s="57" t="s">
        <v>30</v>
      </c>
      <c r="D9" s="23" t="s">
        <v>79</v>
      </c>
      <c r="E9" s="21">
        <v>2</v>
      </c>
      <c r="F9" s="21">
        <v>0</v>
      </c>
      <c r="G9" s="14">
        <f t="shared" si="0"/>
        <v>0</v>
      </c>
      <c r="H9" s="14">
        <v>0.1895</v>
      </c>
      <c r="I9" s="7">
        <f t="shared" si="6"/>
        <v>0.6</v>
      </c>
      <c r="J9" s="19">
        <f t="shared" si="1"/>
        <v>1E-3</v>
      </c>
      <c r="K9" s="19">
        <v>0</v>
      </c>
      <c r="L9" s="14">
        <f t="shared" si="2"/>
        <v>0</v>
      </c>
      <c r="M9" s="14">
        <v>0.3679</v>
      </c>
      <c r="N9" s="7">
        <f t="shared" si="3"/>
        <v>0.2</v>
      </c>
      <c r="O9" s="11" t="str">
        <f t="shared" si="4"/>
        <v>卢云杰</v>
      </c>
      <c r="P9" s="8">
        <f t="shared" si="5"/>
        <v>0.8</v>
      </c>
    </row>
    <row r="10" spans="1:16" ht="15" customHeight="1" x14ac:dyDescent="0.15">
      <c r="A10" s="6">
        <v>9</v>
      </c>
      <c r="B10" s="17">
        <v>201906</v>
      </c>
      <c r="C10" s="57" t="s">
        <v>31</v>
      </c>
      <c r="D10" s="23" t="s">
        <v>73</v>
      </c>
      <c r="E10" s="21">
        <f>0.001</f>
        <v>1E-3</v>
      </c>
      <c r="F10" s="21"/>
      <c r="G10" s="14">
        <f t="shared" si="0"/>
        <v>0</v>
      </c>
      <c r="H10" s="14">
        <v>0.1895</v>
      </c>
      <c r="I10" s="7">
        <f t="shared" si="6"/>
        <v>0.6</v>
      </c>
      <c r="J10" s="19">
        <f t="shared" si="1"/>
        <v>1E-3</v>
      </c>
      <c r="K10" s="19">
        <v>0</v>
      </c>
      <c r="L10" s="14">
        <f t="shared" si="2"/>
        <v>0</v>
      </c>
      <c r="M10" s="14">
        <v>0.3679</v>
      </c>
      <c r="N10" s="7">
        <f t="shared" si="3"/>
        <v>0.2</v>
      </c>
      <c r="O10" s="11" t="str">
        <f t="shared" si="4"/>
        <v>聂剑泉</v>
      </c>
      <c r="P10" s="8">
        <f t="shared" si="5"/>
        <v>0.8</v>
      </c>
    </row>
    <row r="11" spans="1:16" ht="15" customHeight="1" x14ac:dyDescent="0.15">
      <c r="A11" s="6">
        <v>10</v>
      </c>
      <c r="B11" s="17">
        <v>201906</v>
      </c>
      <c r="C11" s="57" t="s">
        <v>15</v>
      </c>
      <c r="D11" s="23" t="s">
        <v>78</v>
      </c>
      <c r="E11" s="21">
        <f>0.001</f>
        <v>1E-3</v>
      </c>
      <c r="F11" s="21"/>
      <c r="G11" s="14">
        <f t="shared" si="0"/>
        <v>0</v>
      </c>
      <c r="H11" s="14">
        <v>0.1895</v>
      </c>
      <c r="I11" s="7">
        <f t="shared" si="6"/>
        <v>0.6</v>
      </c>
      <c r="J11" s="19">
        <f t="shared" si="1"/>
        <v>1E-3</v>
      </c>
      <c r="K11" s="19">
        <v>0</v>
      </c>
      <c r="L11" s="14">
        <f t="shared" si="2"/>
        <v>0</v>
      </c>
      <c r="M11" s="14">
        <v>0.3679</v>
      </c>
      <c r="N11" s="7">
        <f t="shared" si="3"/>
        <v>0.2</v>
      </c>
      <c r="O11" s="11" t="str">
        <f t="shared" si="4"/>
        <v>唐勇胜</v>
      </c>
      <c r="P11" s="8">
        <f t="shared" si="5"/>
        <v>0.8</v>
      </c>
    </row>
    <row r="12" spans="1:16" ht="15" customHeight="1" x14ac:dyDescent="0.15">
      <c r="A12" s="6">
        <v>11</v>
      </c>
      <c r="B12" s="17">
        <v>201906</v>
      </c>
      <c r="C12" s="57" t="s">
        <v>25</v>
      </c>
      <c r="D12" s="23" t="s">
        <v>74</v>
      </c>
      <c r="E12" s="21">
        <f>0.001</f>
        <v>1E-3</v>
      </c>
      <c r="F12" s="21"/>
      <c r="G12" s="14">
        <f t="shared" si="0"/>
        <v>0</v>
      </c>
      <c r="H12" s="14">
        <v>0.1895</v>
      </c>
      <c r="I12" s="7">
        <f t="shared" si="6"/>
        <v>0.6</v>
      </c>
      <c r="J12" s="19">
        <f t="shared" si="1"/>
        <v>1E-3</v>
      </c>
      <c r="K12" s="19">
        <v>0</v>
      </c>
      <c r="L12" s="14">
        <f t="shared" si="2"/>
        <v>0</v>
      </c>
      <c r="M12" s="14">
        <v>0.3679</v>
      </c>
      <c r="N12" s="7">
        <f t="shared" si="3"/>
        <v>0.2</v>
      </c>
      <c r="O12" s="11" t="str">
        <f t="shared" si="4"/>
        <v>田月功</v>
      </c>
      <c r="P12" s="8">
        <f t="shared" si="5"/>
        <v>0.8</v>
      </c>
    </row>
    <row r="13" spans="1:16" ht="15" customHeight="1" x14ac:dyDescent="0.15">
      <c r="A13" s="6">
        <v>12</v>
      </c>
      <c r="B13" s="17">
        <v>201906</v>
      </c>
      <c r="C13" s="57" t="s">
        <v>19</v>
      </c>
      <c r="D13" s="23" t="s">
        <v>68</v>
      </c>
      <c r="E13" s="21">
        <f>0.001</f>
        <v>1E-3</v>
      </c>
      <c r="F13" s="21"/>
      <c r="G13" s="14">
        <f t="shared" si="0"/>
        <v>0</v>
      </c>
      <c r="H13" s="14">
        <v>0.1895</v>
      </c>
      <c r="I13" s="7">
        <f t="shared" si="6"/>
        <v>0.6</v>
      </c>
      <c r="J13" s="19">
        <f t="shared" si="1"/>
        <v>1E-3</v>
      </c>
      <c r="K13" s="19">
        <v>0</v>
      </c>
      <c r="L13" s="14">
        <f t="shared" si="2"/>
        <v>0</v>
      </c>
      <c r="M13" s="14">
        <v>0.3679</v>
      </c>
      <c r="N13" s="7">
        <f t="shared" si="3"/>
        <v>0.2</v>
      </c>
      <c r="O13" s="11" t="str">
        <f t="shared" si="4"/>
        <v>吴炬荣</v>
      </c>
      <c r="P13" s="8">
        <f t="shared" si="5"/>
        <v>0.8</v>
      </c>
    </row>
    <row r="14" spans="1:16" ht="15" customHeight="1" x14ac:dyDescent="0.15">
      <c r="A14" s="6">
        <v>13</v>
      </c>
      <c r="B14" s="17">
        <v>201906</v>
      </c>
      <c r="C14" s="57" t="s">
        <v>32</v>
      </c>
      <c r="D14" s="23" t="s">
        <v>72</v>
      </c>
      <c r="E14" s="21">
        <v>1</v>
      </c>
      <c r="F14" s="21">
        <v>0</v>
      </c>
      <c r="G14" s="14">
        <f t="shared" si="0"/>
        <v>0</v>
      </c>
      <c r="H14" s="14">
        <v>0.1895</v>
      </c>
      <c r="I14" s="7">
        <f t="shared" si="6"/>
        <v>0.6</v>
      </c>
      <c r="J14" s="19">
        <f t="shared" si="1"/>
        <v>1E-3</v>
      </c>
      <c r="K14" s="19">
        <v>0</v>
      </c>
      <c r="L14" s="14">
        <f t="shared" si="2"/>
        <v>0</v>
      </c>
      <c r="M14" s="14">
        <v>0.3679</v>
      </c>
      <c r="N14" s="7">
        <f t="shared" si="3"/>
        <v>0.2</v>
      </c>
      <c r="O14" s="11" t="str">
        <f t="shared" si="4"/>
        <v>吴永铭</v>
      </c>
      <c r="P14" s="8">
        <f t="shared" si="5"/>
        <v>0.8</v>
      </c>
    </row>
    <row r="15" spans="1:16" ht="15" customHeight="1" x14ac:dyDescent="0.15">
      <c r="A15" s="6">
        <v>14</v>
      </c>
      <c r="B15" s="17">
        <v>201906</v>
      </c>
      <c r="C15" s="57" t="s">
        <v>93</v>
      </c>
      <c r="D15" s="23" t="s">
        <v>88</v>
      </c>
      <c r="E15" s="21">
        <f>0.001</f>
        <v>1E-3</v>
      </c>
      <c r="F15" s="21"/>
      <c r="G15" s="14">
        <f t="shared" si="0"/>
        <v>0</v>
      </c>
      <c r="H15" s="14">
        <v>0.1895</v>
      </c>
      <c r="I15" s="7">
        <f t="shared" si="6"/>
        <v>0.6</v>
      </c>
      <c r="J15" s="19">
        <f t="shared" si="1"/>
        <v>1E-3</v>
      </c>
      <c r="K15" s="19">
        <v>0</v>
      </c>
      <c r="L15" s="14">
        <f t="shared" si="2"/>
        <v>0</v>
      </c>
      <c r="M15" s="14">
        <v>0.3679</v>
      </c>
      <c r="N15" s="7">
        <f t="shared" si="3"/>
        <v>0.2</v>
      </c>
      <c r="O15" s="11" t="str">
        <f t="shared" si="4"/>
        <v>吴钟明</v>
      </c>
      <c r="P15" s="8">
        <f t="shared" si="5"/>
        <v>0.8</v>
      </c>
    </row>
    <row r="16" spans="1:16" ht="15" customHeight="1" x14ac:dyDescent="0.15">
      <c r="A16" s="6">
        <v>15</v>
      </c>
      <c r="B16" s="17">
        <v>201906</v>
      </c>
      <c r="C16" s="57" t="s">
        <v>23</v>
      </c>
      <c r="D16" s="23" t="s">
        <v>75</v>
      </c>
      <c r="E16" s="21">
        <v>13</v>
      </c>
      <c r="F16" s="21">
        <v>6</v>
      </c>
      <c r="G16" s="14">
        <f t="shared" si="0"/>
        <v>0.46153846153846156</v>
      </c>
      <c r="H16" s="14">
        <v>0.1895</v>
      </c>
      <c r="I16" s="7">
        <f t="shared" si="6"/>
        <v>0.3</v>
      </c>
      <c r="J16" s="19">
        <f t="shared" si="1"/>
        <v>1E-3</v>
      </c>
      <c r="K16" s="19">
        <v>0</v>
      </c>
      <c r="L16" s="14">
        <f t="shared" si="2"/>
        <v>0</v>
      </c>
      <c r="M16" s="14">
        <v>0.3679</v>
      </c>
      <c r="N16" s="7">
        <f t="shared" si="3"/>
        <v>0.2</v>
      </c>
      <c r="O16" s="11" t="str">
        <f t="shared" si="4"/>
        <v>萧锡云</v>
      </c>
      <c r="P16" s="8">
        <f t="shared" si="5"/>
        <v>0.5</v>
      </c>
    </row>
    <row r="17" spans="1:16" ht="15" customHeight="1" x14ac:dyDescent="0.15">
      <c r="A17" s="6">
        <v>16</v>
      </c>
      <c r="B17" s="17">
        <v>201906</v>
      </c>
      <c r="C17" s="57" t="s">
        <v>24</v>
      </c>
      <c r="D17" s="23" t="s">
        <v>71</v>
      </c>
      <c r="E17" s="21">
        <f>0.001</f>
        <v>1E-3</v>
      </c>
      <c r="F17" s="21"/>
      <c r="G17" s="14">
        <f t="shared" si="0"/>
        <v>0</v>
      </c>
      <c r="H17" s="14">
        <v>0.1895</v>
      </c>
      <c r="I17" s="7">
        <f t="shared" si="6"/>
        <v>0.6</v>
      </c>
      <c r="J17" s="19">
        <f t="shared" si="1"/>
        <v>1E-3</v>
      </c>
      <c r="K17" s="19">
        <v>0</v>
      </c>
      <c r="L17" s="14">
        <f t="shared" si="2"/>
        <v>0</v>
      </c>
      <c r="M17" s="14">
        <v>0.3679</v>
      </c>
      <c r="N17" s="7">
        <f t="shared" si="3"/>
        <v>0.2</v>
      </c>
      <c r="O17" s="11" t="str">
        <f t="shared" si="4"/>
        <v>许潜</v>
      </c>
      <c r="P17" s="8">
        <f t="shared" si="5"/>
        <v>0.8</v>
      </c>
    </row>
    <row r="18" spans="1:16" ht="15" customHeight="1" x14ac:dyDescent="0.15">
      <c r="A18" s="6">
        <v>17</v>
      </c>
      <c r="B18" s="17">
        <v>201906</v>
      </c>
      <c r="C18" s="57" t="s">
        <v>33</v>
      </c>
      <c r="D18" s="23" t="s">
        <v>27</v>
      </c>
      <c r="E18" s="21">
        <f>0.001</f>
        <v>1E-3</v>
      </c>
      <c r="F18" s="21"/>
      <c r="G18" s="14">
        <f t="shared" si="0"/>
        <v>0</v>
      </c>
      <c r="H18" s="14">
        <v>0.1895</v>
      </c>
      <c r="I18" s="7">
        <f t="shared" si="6"/>
        <v>0.6</v>
      </c>
      <c r="J18" s="19">
        <f t="shared" si="1"/>
        <v>1E-3</v>
      </c>
      <c r="K18" s="19">
        <v>0</v>
      </c>
      <c r="L18" s="14">
        <f t="shared" si="2"/>
        <v>0</v>
      </c>
      <c r="M18" s="14">
        <v>0.3679</v>
      </c>
      <c r="N18" s="7">
        <f t="shared" si="3"/>
        <v>0.2</v>
      </c>
      <c r="O18" s="11" t="str">
        <f t="shared" si="4"/>
        <v>杨中良</v>
      </c>
      <c r="P18" s="8">
        <f t="shared" si="5"/>
        <v>0.8</v>
      </c>
    </row>
    <row r="19" spans="1:16" ht="15" customHeight="1" x14ac:dyDescent="0.15">
      <c r="A19" s="6">
        <v>18</v>
      </c>
      <c r="B19" s="17">
        <v>201906</v>
      </c>
      <c r="C19" s="57" t="s">
        <v>94</v>
      </c>
      <c r="D19" s="23" t="s">
        <v>70</v>
      </c>
      <c r="E19" s="21">
        <v>1</v>
      </c>
      <c r="F19" s="21">
        <v>0</v>
      </c>
      <c r="G19" s="14">
        <f t="shared" si="0"/>
        <v>0</v>
      </c>
      <c r="H19" s="14">
        <v>0.1895</v>
      </c>
      <c r="I19" s="7">
        <f t="shared" si="6"/>
        <v>0.6</v>
      </c>
      <c r="J19" s="19">
        <f t="shared" si="1"/>
        <v>1E-3</v>
      </c>
      <c r="K19" s="19">
        <v>0</v>
      </c>
      <c r="L19" s="14">
        <f t="shared" si="2"/>
        <v>0</v>
      </c>
      <c r="M19" s="14">
        <v>0.3679</v>
      </c>
      <c r="N19" s="7">
        <f t="shared" si="3"/>
        <v>0.2</v>
      </c>
      <c r="O19" s="11" t="str">
        <f t="shared" si="4"/>
        <v>曾德洪</v>
      </c>
      <c r="P19" s="8">
        <f t="shared" si="5"/>
        <v>0.8</v>
      </c>
    </row>
    <row r="20" spans="1:16" ht="15" customHeight="1" x14ac:dyDescent="0.15">
      <c r="A20" s="6">
        <v>19</v>
      </c>
      <c r="B20" s="17">
        <v>201906</v>
      </c>
      <c r="C20" s="57" t="s">
        <v>21</v>
      </c>
      <c r="D20" s="23" t="s">
        <v>67</v>
      </c>
      <c r="E20" s="21">
        <v>1</v>
      </c>
      <c r="F20" s="21" t="s">
        <v>26</v>
      </c>
      <c r="G20" s="14">
        <f t="shared" si="0"/>
        <v>0</v>
      </c>
      <c r="H20" s="14">
        <v>0.1895</v>
      </c>
      <c r="I20" s="7">
        <f t="shared" si="6"/>
        <v>0.6</v>
      </c>
      <c r="J20" s="19">
        <f t="shared" si="1"/>
        <v>1E-3</v>
      </c>
      <c r="K20" s="19">
        <v>0</v>
      </c>
      <c r="L20" s="14">
        <f t="shared" si="2"/>
        <v>0</v>
      </c>
      <c r="M20" s="14">
        <v>0.3679</v>
      </c>
      <c r="N20" s="7">
        <f t="shared" si="3"/>
        <v>0.2</v>
      </c>
      <c r="O20" s="11" t="str">
        <f t="shared" si="4"/>
        <v>曾汝翔</v>
      </c>
      <c r="P20" s="8">
        <f t="shared" si="5"/>
        <v>0.8</v>
      </c>
    </row>
    <row r="21" spans="1:16" ht="15" customHeight="1" x14ac:dyDescent="0.15">
      <c r="D21" s="22"/>
    </row>
    <row r="22" spans="1:16" ht="15" customHeight="1" x14ac:dyDescent="0.15">
      <c r="D22" s="22"/>
    </row>
    <row r="23" spans="1:16" ht="15" customHeight="1" x14ac:dyDescent="0.15">
      <c r="D23" s="22"/>
    </row>
    <row r="24" spans="1:16" ht="15" customHeight="1" x14ac:dyDescent="0.15">
      <c r="D24" s="22"/>
    </row>
    <row r="25" spans="1:16" ht="15" customHeight="1" x14ac:dyDescent="0.15">
      <c r="D25" s="22"/>
    </row>
    <row r="26" spans="1:16" ht="15" customHeight="1" x14ac:dyDescent="0.15">
      <c r="D26" s="22"/>
    </row>
    <row r="27" spans="1:16" ht="15" customHeight="1" x14ac:dyDescent="0.15">
      <c r="D27" s="22"/>
    </row>
    <row r="28" spans="1:16" ht="15" customHeight="1" x14ac:dyDescent="0.15">
      <c r="D28" s="22"/>
    </row>
    <row r="29" spans="1:16" ht="15" customHeight="1" x14ac:dyDescent="0.15">
      <c r="D29" s="22"/>
    </row>
    <row r="30" spans="1:16" ht="15" customHeight="1" x14ac:dyDescent="0.15">
      <c r="D30" s="22"/>
    </row>
    <row r="31" spans="1:16" ht="15" customHeight="1" x14ac:dyDescent="0.15">
      <c r="D31" s="22"/>
    </row>
    <row r="32" spans="1:16" ht="15" customHeight="1" x14ac:dyDescent="0.15">
      <c r="D32" s="22"/>
    </row>
    <row r="33" spans="4:4" ht="15" customHeight="1" x14ac:dyDescent="0.15">
      <c r="D33" s="22"/>
    </row>
    <row r="34" spans="4:4" ht="15" customHeight="1" x14ac:dyDescent="0.15">
      <c r="D34" s="22"/>
    </row>
    <row r="35" spans="4:4" ht="15" customHeight="1" x14ac:dyDescent="0.15">
      <c r="D35" s="22"/>
    </row>
    <row r="36" spans="4:4" ht="15" customHeight="1" x14ac:dyDescent="0.15">
      <c r="D36" s="22"/>
    </row>
    <row r="37" spans="4:4" ht="15" customHeight="1" x14ac:dyDescent="0.15">
      <c r="D37" s="22"/>
    </row>
    <row r="38" spans="4:4" ht="15" customHeight="1" x14ac:dyDescent="0.15">
      <c r="D38" s="22"/>
    </row>
    <row r="39" spans="4:4" ht="15" customHeight="1" x14ac:dyDescent="0.15">
      <c r="D39" s="22"/>
    </row>
    <row r="40" spans="4:4" ht="15" customHeight="1" x14ac:dyDescent="0.15">
      <c r="D40" s="22"/>
    </row>
    <row r="41" spans="4:4" ht="15" customHeight="1" x14ac:dyDescent="0.15">
      <c r="D41" s="22"/>
    </row>
  </sheetData>
  <sortState ref="A2:P20">
    <sortCondition ref="D2:D20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F28" sqref="F28"/>
    </sheetView>
  </sheetViews>
  <sheetFormatPr defaultRowHeight="13.5" x14ac:dyDescent="0.15"/>
  <cols>
    <col min="7" max="7" width="9.125" bestFit="1" customWidth="1"/>
    <col min="8" max="8" width="9.5" bestFit="1" customWidth="1"/>
    <col min="12" max="13" width="9.5" bestFit="1" customWidth="1"/>
    <col min="15" max="15" width="9.5" bestFit="1" customWidth="1"/>
    <col min="16" max="16" width="10.5" bestFit="1" customWidth="1"/>
  </cols>
  <sheetData>
    <row r="1" spans="1:16" x14ac:dyDescent="0.1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28</v>
      </c>
      <c r="O1" t="s">
        <v>108</v>
      </c>
      <c r="P1" t="s">
        <v>109</v>
      </c>
    </row>
    <row r="2" spans="1:16" x14ac:dyDescent="0.15">
      <c r="A2">
        <v>1</v>
      </c>
      <c r="B2">
        <v>201906</v>
      </c>
      <c r="C2" t="s">
        <v>20</v>
      </c>
      <c r="D2" t="s">
        <v>81</v>
      </c>
      <c r="E2">
        <v>2712</v>
      </c>
      <c r="F2">
        <v>6000</v>
      </c>
      <c r="G2" s="58">
        <v>0.8354201742684273</v>
      </c>
      <c r="H2" s="58">
        <v>5012.5210456105642</v>
      </c>
      <c r="I2">
        <v>0</v>
      </c>
      <c r="J2" s="58">
        <v>0.5</v>
      </c>
      <c r="K2">
        <v>0</v>
      </c>
      <c r="L2" s="58">
        <v>2435.77</v>
      </c>
      <c r="M2" s="58">
        <v>3782.51</v>
      </c>
      <c r="O2" s="58"/>
      <c r="P2" s="58">
        <v>13942.801045610566</v>
      </c>
    </row>
    <row r="3" spans="1:16" x14ac:dyDescent="0.15">
      <c r="A3">
        <v>2</v>
      </c>
      <c r="B3">
        <v>201906</v>
      </c>
      <c r="C3" t="s">
        <v>22</v>
      </c>
      <c r="D3" t="s">
        <v>80</v>
      </c>
      <c r="E3">
        <v>1885</v>
      </c>
      <c r="F3">
        <v>6000</v>
      </c>
      <c r="G3" s="58">
        <v>0.66647846915002762</v>
      </c>
      <c r="H3" s="58">
        <v>3998.8708149001659</v>
      </c>
      <c r="I3">
        <v>0</v>
      </c>
      <c r="J3" s="58">
        <v>0.8</v>
      </c>
      <c r="K3">
        <v>0</v>
      </c>
      <c r="L3" s="58">
        <v>240.85</v>
      </c>
      <c r="M3" s="58">
        <v>0</v>
      </c>
      <c r="O3" s="58"/>
      <c r="P3" s="58">
        <v>6124.7208149001663</v>
      </c>
    </row>
    <row r="4" spans="1:16" x14ac:dyDescent="0.15">
      <c r="A4">
        <v>3</v>
      </c>
      <c r="B4">
        <v>201906</v>
      </c>
      <c r="C4" t="s">
        <v>29</v>
      </c>
      <c r="D4" t="s">
        <v>76</v>
      </c>
      <c r="E4">
        <v>3002</v>
      </c>
      <c r="F4">
        <v>7000</v>
      </c>
      <c r="G4" s="58">
        <v>0.4</v>
      </c>
      <c r="H4" s="58">
        <v>2800</v>
      </c>
      <c r="I4">
        <v>0</v>
      </c>
      <c r="J4" s="58">
        <v>0.8</v>
      </c>
      <c r="K4">
        <v>0</v>
      </c>
      <c r="L4" s="58">
        <v>0</v>
      </c>
      <c r="M4" s="58">
        <v>0</v>
      </c>
      <c r="O4" s="58"/>
      <c r="P4" s="58">
        <v>5802</v>
      </c>
    </row>
    <row r="5" spans="1:16" x14ac:dyDescent="0.15">
      <c r="A5">
        <v>4</v>
      </c>
      <c r="B5">
        <v>201906</v>
      </c>
      <c r="C5" t="s">
        <v>16</v>
      </c>
      <c r="D5" t="s">
        <v>82</v>
      </c>
      <c r="E5">
        <v>2306</v>
      </c>
      <c r="F5">
        <v>5000</v>
      </c>
      <c r="G5" s="58">
        <v>0.4</v>
      </c>
      <c r="H5" s="58">
        <v>2000</v>
      </c>
      <c r="I5">
        <v>0</v>
      </c>
      <c r="J5" s="58">
        <v>0.8</v>
      </c>
      <c r="K5">
        <v>0</v>
      </c>
      <c r="L5" s="58">
        <v>0</v>
      </c>
      <c r="M5" s="58">
        <v>1289.55</v>
      </c>
      <c r="O5" s="58">
        <v>1635.165</v>
      </c>
      <c r="P5" s="58">
        <v>7230.7150000000001</v>
      </c>
    </row>
    <row r="6" spans="1:16" x14ac:dyDescent="0.15">
      <c r="A6">
        <v>5</v>
      </c>
      <c r="B6">
        <v>201906</v>
      </c>
      <c r="C6" t="s">
        <v>18</v>
      </c>
      <c r="D6" t="s">
        <v>77</v>
      </c>
      <c r="E6">
        <v>2552</v>
      </c>
      <c r="F6">
        <v>6000</v>
      </c>
      <c r="G6" s="58">
        <v>0.47686628326517333</v>
      </c>
      <c r="H6" s="58">
        <v>2861.19769959104</v>
      </c>
      <c r="I6">
        <v>0</v>
      </c>
      <c r="J6" s="58">
        <v>0.8</v>
      </c>
      <c r="K6">
        <v>0</v>
      </c>
      <c r="L6" s="58">
        <v>87.02</v>
      </c>
      <c r="M6" s="58">
        <v>793.47</v>
      </c>
      <c r="O6" s="58"/>
      <c r="P6" s="58">
        <v>6293.6876995910397</v>
      </c>
    </row>
    <row r="7" spans="1:16" x14ac:dyDescent="0.15">
      <c r="A7">
        <v>6</v>
      </c>
      <c r="B7">
        <v>201906</v>
      </c>
      <c r="C7" t="s">
        <v>17</v>
      </c>
      <c r="D7" t="s">
        <v>83</v>
      </c>
      <c r="E7">
        <v>1885</v>
      </c>
      <c r="F7">
        <v>7000</v>
      </c>
      <c r="G7" s="58">
        <v>0.61144563322154555</v>
      </c>
      <c r="H7" s="58">
        <v>4280.1194325508186</v>
      </c>
      <c r="I7">
        <v>0</v>
      </c>
      <c r="J7" s="58">
        <v>0.5</v>
      </c>
      <c r="K7">
        <v>0</v>
      </c>
      <c r="L7" s="58">
        <v>10.69</v>
      </c>
      <c r="M7" s="58">
        <v>0</v>
      </c>
      <c r="O7" s="58"/>
      <c r="P7" s="58">
        <v>6175.8094325508182</v>
      </c>
    </row>
    <row r="8" spans="1:16" x14ac:dyDescent="0.15">
      <c r="A8">
        <v>17</v>
      </c>
      <c r="B8">
        <v>201906</v>
      </c>
      <c r="C8" t="s">
        <v>14</v>
      </c>
      <c r="D8" t="s">
        <v>69</v>
      </c>
      <c r="E8">
        <v>1987</v>
      </c>
      <c r="F8">
        <v>7000</v>
      </c>
      <c r="G8" s="58">
        <v>0.48559103424145289</v>
      </c>
      <c r="H8" s="58">
        <v>3399.1372396901702</v>
      </c>
      <c r="I8">
        <v>0</v>
      </c>
      <c r="J8" s="58">
        <v>0.8</v>
      </c>
      <c r="K8">
        <v>0</v>
      </c>
      <c r="L8" s="58">
        <v>0</v>
      </c>
      <c r="M8" s="58">
        <v>0</v>
      </c>
      <c r="O8" s="58"/>
      <c r="P8" s="58">
        <v>5386.1372396901697</v>
      </c>
    </row>
    <row r="9" spans="1:16" x14ac:dyDescent="0.15">
      <c r="A9">
        <v>18</v>
      </c>
      <c r="B9">
        <v>201906</v>
      </c>
      <c r="C9" t="s">
        <v>30</v>
      </c>
      <c r="D9" t="s">
        <v>79</v>
      </c>
      <c r="E9">
        <v>1595</v>
      </c>
      <c r="F9">
        <v>5000</v>
      </c>
      <c r="G9" s="58">
        <v>0.84623365100885239</v>
      </c>
      <c r="H9" s="58">
        <v>4231.168255044262</v>
      </c>
      <c r="I9">
        <v>0</v>
      </c>
      <c r="J9" s="58">
        <v>0.8</v>
      </c>
      <c r="K9">
        <v>0</v>
      </c>
      <c r="L9" s="58">
        <v>0</v>
      </c>
      <c r="M9" s="58">
        <v>0</v>
      </c>
      <c r="O9" s="58"/>
      <c r="P9" s="58">
        <v>5826.168255044262</v>
      </c>
    </row>
    <row r="10" spans="1:16" x14ac:dyDescent="0.15">
      <c r="A10">
        <v>14</v>
      </c>
      <c r="B10">
        <v>201906</v>
      </c>
      <c r="C10" t="s">
        <v>31</v>
      </c>
      <c r="D10" t="s">
        <v>73</v>
      </c>
      <c r="E10">
        <v>3582</v>
      </c>
      <c r="F10">
        <v>8000</v>
      </c>
      <c r="G10" s="58">
        <v>1</v>
      </c>
      <c r="H10" s="58">
        <v>8000</v>
      </c>
      <c r="I10">
        <v>0</v>
      </c>
      <c r="J10" s="58">
        <v>0.8</v>
      </c>
      <c r="K10">
        <v>0</v>
      </c>
      <c r="L10" s="58">
        <v>0</v>
      </c>
      <c r="M10" s="58">
        <v>0</v>
      </c>
      <c r="O10" s="58"/>
      <c r="P10" s="58">
        <v>11582</v>
      </c>
    </row>
    <row r="11" spans="1:16" x14ac:dyDescent="0.15">
      <c r="A11">
        <v>7</v>
      </c>
      <c r="B11">
        <v>201906</v>
      </c>
      <c r="C11" t="s">
        <v>15</v>
      </c>
      <c r="D11" t="s">
        <v>78</v>
      </c>
      <c r="E11">
        <v>1885</v>
      </c>
      <c r="F11">
        <v>4000</v>
      </c>
      <c r="G11" s="58">
        <v>0.61514033645402311</v>
      </c>
      <c r="H11" s="58">
        <v>2460.5613458160924</v>
      </c>
      <c r="I11">
        <v>0</v>
      </c>
      <c r="J11" s="58">
        <v>0.8</v>
      </c>
      <c r="K11">
        <v>0</v>
      </c>
      <c r="L11" s="58">
        <v>696.45</v>
      </c>
      <c r="M11" s="58">
        <v>105</v>
      </c>
      <c r="O11" s="58"/>
      <c r="P11" s="58">
        <v>5147.0113458160922</v>
      </c>
    </row>
    <row r="12" spans="1:16" x14ac:dyDescent="0.15">
      <c r="A12">
        <v>15</v>
      </c>
      <c r="B12">
        <v>201906</v>
      </c>
      <c r="C12" t="s">
        <v>25</v>
      </c>
      <c r="D12" t="s">
        <v>74</v>
      </c>
      <c r="E12">
        <v>3292</v>
      </c>
      <c r="F12">
        <v>6000</v>
      </c>
      <c r="G12" s="58">
        <v>1</v>
      </c>
      <c r="H12" s="58">
        <v>6000</v>
      </c>
      <c r="I12">
        <v>0</v>
      </c>
      <c r="J12" s="58">
        <v>0.8</v>
      </c>
      <c r="K12">
        <v>0</v>
      </c>
      <c r="L12" s="58">
        <v>0</v>
      </c>
      <c r="M12" s="58">
        <v>0</v>
      </c>
      <c r="O12" s="58"/>
      <c r="P12" s="58">
        <v>9292</v>
      </c>
    </row>
    <row r="13" spans="1:16" x14ac:dyDescent="0.15">
      <c r="A13">
        <v>12</v>
      </c>
      <c r="B13">
        <v>201906</v>
      </c>
      <c r="C13" t="s">
        <v>19</v>
      </c>
      <c r="D13" t="s">
        <v>68</v>
      </c>
      <c r="E13">
        <v>2088</v>
      </c>
      <c r="F13">
        <v>7000</v>
      </c>
      <c r="G13" s="58">
        <v>0.49257819403811076</v>
      </c>
      <c r="H13" s="58">
        <v>3448.0473582667755</v>
      </c>
      <c r="I13">
        <v>0</v>
      </c>
      <c r="J13" s="58">
        <v>0.8</v>
      </c>
      <c r="K13">
        <v>0</v>
      </c>
      <c r="L13" s="58">
        <v>0</v>
      </c>
      <c r="M13" s="58">
        <v>3960</v>
      </c>
      <c r="O13" s="58"/>
      <c r="P13" s="58">
        <v>9496.0473582667764</v>
      </c>
    </row>
    <row r="14" spans="1:16" x14ac:dyDescent="0.15">
      <c r="A14">
        <v>8</v>
      </c>
      <c r="B14">
        <v>201906</v>
      </c>
      <c r="C14" t="s">
        <v>32</v>
      </c>
      <c r="D14" t="s">
        <v>72</v>
      </c>
      <c r="E14">
        <v>1595</v>
      </c>
      <c r="F14">
        <v>7000</v>
      </c>
      <c r="G14" s="58">
        <v>0.45357592189654389</v>
      </c>
      <c r="H14" s="58">
        <v>3175.0314532758071</v>
      </c>
      <c r="I14">
        <v>0</v>
      </c>
      <c r="J14" s="58">
        <v>0.8</v>
      </c>
      <c r="K14">
        <v>0</v>
      </c>
      <c r="L14" s="58">
        <v>0</v>
      </c>
      <c r="M14" s="58">
        <v>0</v>
      </c>
      <c r="O14" s="58"/>
      <c r="P14" s="58">
        <v>4770.0314532758075</v>
      </c>
    </row>
    <row r="15" spans="1:16" x14ac:dyDescent="0.15">
      <c r="A15">
        <v>18</v>
      </c>
      <c r="B15">
        <v>201906</v>
      </c>
      <c r="C15" t="s">
        <v>93</v>
      </c>
      <c r="D15" t="s">
        <v>110</v>
      </c>
      <c r="E15">
        <v>1987</v>
      </c>
      <c r="F15">
        <v>3000</v>
      </c>
      <c r="G15" s="58">
        <v>1</v>
      </c>
      <c r="H15" s="58">
        <v>3000</v>
      </c>
      <c r="I15">
        <v>0</v>
      </c>
      <c r="J15" s="58">
        <v>0.8</v>
      </c>
      <c r="K15">
        <v>0</v>
      </c>
      <c r="L15" s="58">
        <v>0</v>
      </c>
      <c r="M15" s="58">
        <v>0</v>
      </c>
      <c r="O15" s="58"/>
      <c r="P15" s="58">
        <v>4987</v>
      </c>
    </row>
    <row r="16" spans="1:16" x14ac:dyDescent="0.15">
      <c r="A16">
        <v>9</v>
      </c>
      <c r="B16">
        <v>201906</v>
      </c>
      <c r="C16" t="s">
        <v>23</v>
      </c>
      <c r="D16" t="s">
        <v>75</v>
      </c>
      <c r="E16">
        <v>2306</v>
      </c>
      <c r="F16">
        <v>5000</v>
      </c>
      <c r="G16" s="58">
        <v>0.59017718868362201</v>
      </c>
      <c r="H16" s="58">
        <v>2950.8859434181099</v>
      </c>
      <c r="I16">
        <v>0</v>
      </c>
      <c r="J16" s="58">
        <v>0.5</v>
      </c>
      <c r="K16">
        <v>0</v>
      </c>
      <c r="L16" s="58">
        <v>315.48</v>
      </c>
      <c r="M16" s="58">
        <v>58.3</v>
      </c>
      <c r="O16" s="58"/>
      <c r="P16" s="58">
        <v>5630.6659434181101</v>
      </c>
    </row>
    <row r="17" spans="1:16" x14ac:dyDescent="0.15">
      <c r="A17">
        <v>13</v>
      </c>
      <c r="B17">
        <v>201906</v>
      </c>
      <c r="C17" t="s">
        <v>24</v>
      </c>
      <c r="D17" t="s">
        <v>71</v>
      </c>
      <c r="E17">
        <v>0</v>
      </c>
      <c r="F17">
        <v>0</v>
      </c>
      <c r="G17" s="58">
        <v>0.4</v>
      </c>
      <c r="H17" s="58">
        <v>0</v>
      </c>
      <c r="I17">
        <v>0</v>
      </c>
      <c r="J17" s="58">
        <v>0.8</v>
      </c>
      <c r="K17">
        <v>0</v>
      </c>
      <c r="L17" s="58">
        <v>0</v>
      </c>
      <c r="M17" s="58">
        <v>0</v>
      </c>
      <c r="O17" s="58"/>
      <c r="P17" s="58">
        <v>0</v>
      </c>
    </row>
    <row r="18" spans="1:16" x14ac:dyDescent="0.15">
      <c r="A18">
        <v>16</v>
      </c>
      <c r="B18">
        <v>201906</v>
      </c>
      <c r="C18" t="s">
        <v>33</v>
      </c>
      <c r="D18" t="s">
        <v>27</v>
      </c>
      <c r="E18">
        <v>2857</v>
      </c>
      <c r="F18">
        <v>8000</v>
      </c>
      <c r="G18" s="58">
        <v>0.50741531502215942</v>
      </c>
      <c r="H18" s="58">
        <v>4059.3225201772752</v>
      </c>
      <c r="I18">
        <v>0</v>
      </c>
      <c r="J18" s="58">
        <v>0.8</v>
      </c>
      <c r="K18">
        <v>0</v>
      </c>
      <c r="L18" s="58">
        <v>0</v>
      </c>
      <c r="M18" s="58">
        <v>0</v>
      </c>
      <c r="O18" s="58"/>
      <c r="P18" s="58">
        <v>6916.3225201772748</v>
      </c>
    </row>
    <row r="19" spans="1:16" x14ac:dyDescent="0.15">
      <c r="A19">
        <v>10</v>
      </c>
      <c r="B19">
        <v>201906</v>
      </c>
      <c r="C19" t="s">
        <v>94</v>
      </c>
      <c r="D19" t="s">
        <v>70</v>
      </c>
      <c r="E19">
        <v>2857</v>
      </c>
      <c r="F19">
        <v>6000</v>
      </c>
      <c r="G19" s="58">
        <v>0.94285222819807268</v>
      </c>
      <c r="H19" s="58">
        <v>5657.1133691884361</v>
      </c>
      <c r="I19">
        <v>0</v>
      </c>
      <c r="J19" s="58">
        <v>0.8</v>
      </c>
      <c r="K19">
        <v>0</v>
      </c>
      <c r="L19" s="58">
        <v>0</v>
      </c>
      <c r="M19" s="58">
        <v>0</v>
      </c>
      <c r="O19" s="58"/>
      <c r="P19" s="58">
        <v>8514.1133691884352</v>
      </c>
    </row>
    <row r="20" spans="1:16" x14ac:dyDescent="0.15">
      <c r="A20">
        <v>11</v>
      </c>
      <c r="B20">
        <v>201906</v>
      </c>
      <c r="C20" t="s">
        <v>21</v>
      </c>
      <c r="D20" t="s">
        <v>67</v>
      </c>
      <c r="E20">
        <v>3147</v>
      </c>
      <c r="F20">
        <v>6000</v>
      </c>
      <c r="G20" s="58">
        <v>1</v>
      </c>
      <c r="H20" s="58">
        <v>6000</v>
      </c>
      <c r="I20">
        <v>0</v>
      </c>
      <c r="J20" s="58">
        <v>0.8</v>
      </c>
      <c r="K20">
        <v>0</v>
      </c>
      <c r="L20" s="58">
        <v>0</v>
      </c>
      <c r="M20" s="58">
        <v>0</v>
      </c>
      <c r="O20" s="58"/>
      <c r="P20" s="58">
        <v>9147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团队经理KPI</vt:lpstr>
      <vt:lpstr>团队经理预付费KPI</vt:lpstr>
      <vt:lpstr>团队经理薪酬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刘伟河</dc:creator>
  <cp:lastModifiedBy>冯雪香</cp:lastModifiedBy>
  <cp:lastPrinted>2018-02-01T01:44:52Z</cp:lastPrinted>
  <dcterms:created xsi:type="dcterms:W3CDTF">2015-06-16T07:26:21Z</dcterms:created>
  <dcterms:modified xsi:type="dcterms:W3CDTF">2019-08-05T08:15:54Z</dcterms:modified>
</cp:coreProperties>
</file>