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8000" yWindow="-6000" windowWidth="19200" windowHeight="2356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8" i="1" l="1"/>
  <c r="D200" i="1"/>
  <c r="E195" i="1"/>
  <c r="E192" i="1"/>
  <c r="D194" i="1"/>
  <c r="E203" i="1"/>
  <c r="D198" i="1"/>
  <c r="C180" i="1"/>
  <c r="C177" i="1"/>
  <c r="C134" i="1"/>
  <c r="C137" i="1"/>
  <c r="D63" i="1"/>
  <c r="D64" i="1"/>
  <c r="C64" i="1"/>
  <c r="C28" i="1"/>
  <c r="C30" i="1"/>
  <c r="C54" i="1"/>
  <c r="C51" i="1"/>
  <c r="C49" i="1"/>
  <c r="D52" i="1"/>
  <c r="C52" i="1"/>
  <c r="C60" i="1"/>
  <c r="C65" i="1"/>
  <c r="E151" i="1"/>
  <c r="D185" i="1"/>
  <c r="C133" i="1"/>
  <c r="C136" i="1"/>
  <c r="D187" i="1"/>
  <c r="D186" i="1"/>
  <c r="G58" i="1"/>
  <c r="G55" i="1"/>
  <c r="G56" i="1"/>
  <c r="G57" i="1"/>
  <c r="G61" i="1"/>
  <c r="G60" i="1"/>
  <c r="H56" i="1"/>
  <c r="C66" i="1"/>
  <c r="C70" i="1"/>
  <c r="C138" i="1"/>
  <c r="H46" i="1"/>
  <c r="H47" i="1"/>
  <c r="H48" i="1"/>
  <c r="H49" i="1"/>
  <c r="I46" i="1"/>
  <c r="C27" i="1"/>
  <c r="C29" i="1"/>
  <c r="C59" i="1"/>
  <c r="C45" i="1"/>
  <c r="C62" i="1"/>
  <c r="C63" i="1"/>
  <c r="C50" i="1"/>
  <c r="D50" i="1"/>
  <c r="D51" i="1"/>
  <c r="D54" i="1"/>
  <c r="D59" i="1"/>
  <c r="D60" i="1"/>
  <c r="C53" i="1"/>
  <c r="D53" i="1"/>
  <c r="F103" i="1"/>
  <c r="D103" i="1"/>
  <c r="D102" i="1"/>
  <c r="F102" i="1"/>
  <c r="D97" i="1"/>
  <c r="D98" i="1"/>
  <c r="D99" i="1"/>
  <c r="D100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<sst xmlns="http://schemas.openxmlformats.org/spreadsheetml/2006/main" count="245" uniqueCount="209">
  <si>
    <t>Communication Assumptions</t>
  </si>
  <si>
    <t>Constants</t>
  </si>
  <si>
    <t>c</t>
  </si>
  <si>
    <t>k</t>
  </si>
  <si>
    <t>Variables</t>
  </si>
  <si>
    <t>Maximum range of communication will be 2.52 AU</t>
  </si>
  <si>
    <t>AU</t>
  </si>
  <si>
    <t>θbw</t>
  </si>
  <si>
    <t>αdsn</t>
  </si>
  <si>
    <t>Max radius orbiter-earth</t>
  </si>
  <si>
    <t>α orbiter</t>
  </si>
  <si>
    <t>ηcomm orbiter</t>
  </si>
  <si>
    <t>Bandwidth orbiter-earth</t>
  </si>
  <si>
    <t>Bandwidth orbiter-lander</t>
  </si>
  <si>
    <t>min</t>
  </si>
  <si>
    <t>max</t>
  </si>
  <si>
    <t>Atmospheric loss</t>
  </si>
  <si>
    <t>Pointing loss</t>
  </si>
  <si>
    <t>Communication with DSN 34 m BWG dish</t>
  </si>
  <si>
    <t>Orbiter-Earth Uplink frequency will be X-band 7190 MHz since S-Band will not be accepted for future space missions</t>
  </si>
  <si>
    <t>Orbiter-Earth Downlink frequency will be X-band 8450 MHz since S-Band will not be accepted</t>
  </si>
  <si>
    <t>Equipment</t>
  </si>
  <si>
    <t>Power</t>
  </si>
  <si>
    <t>Qty</t>
  </si>
  <si>
    <t>Unit Mass</t>
  </si>
  <si>
    <t>Total Mass</t>
  </si>
  <si>
    <t>X-band Medium gain antenna</t>
  </si>
  <si>
    <t>Notes</t>
  </si>
  <si>
    <t>X-band High gain antenna</t>
  </si>
  <si>
    <t>0.3m waveguide horn with 5 deg beamwith (3dB)</t>
  </si>
  <si>
    <t xml:space="preserve">Electra UHF transeiver </t>
  </si>
  <si>
    <t>Total Power</t>
  </si>
  <si>
    <t>http://www2.l-3com.com/eti/downloads/x_quad.pdf</t>
  </si>
  <si>
    <t>http://trs-new.jpl.nasa.gov/dspace/bitstream/2014/7832/1/03-2150.pdf</t>
  </si>
  <si>
    <t>X-band TWTA</t>
  </si>
  <si>
    <t>X-band SDST transponder</t>
  </si>
  <si>
    <t>http://descanso.jpl.nasa.gov/DPSummary/090924dawn-FinalCorrex--update5G.pdf</t>
  </si>
  <si>
    <t>X-band diplexer</t>
  </si>
  <si>
    <t>New SMAD 21-8</t>
  </si>
  <si>
    <t>All Cables</t>
  </si>
  <si>
    <t>Need cables for UHF and x-band comm</t>
  </si>
  <si>
    <t>All</t>
  </si>
  <si>
    <t>Efficiencies for antennas are 60%</t>
  </si>
  <si>
    <t>Comunication efficiancy is 35%</t>
  </si>
  <si>
    <t>Ultrastable oscillator</t>
  </si>
  <si>
    <t>freq. orbiter uplink</t>
  </si>
  <si>
    <t>freq. orbiter downlink</t>
  </si>
  <si>
    <t>λ uplink</t>
  </si>
  <si>
    <t>λ downlink</t>
  </si>
  <si>
    <t>Diameter of orbiter dish</t>
  </si>
  <si>
    <t>Diameter of DSN dish</t>
  </si>
  <si>
    <t>HGA orbiter Gain uplink</t>
  </si>
  <si>
    <t>HGA orbiter Gain downlink</t>
  </si>
  <si>
    <t>DSN Gain uplink</t>
  </si>
  <si>
    <t>DSN Gain downlink</t>
  </si>
  <si>
    <t>minimum Eb/No required</t>
  </si>
  <si>
    <t>Space loss uplink</t>
  </si>
  <si>
    <t>Space loss downlink</t>
  </si>
  <si>
    <t>Half power beam width is 4 degrees</t>
  </si>
  <si>
    <t>Pointing error</t>
  </si>
  <si>
    <t>Implentation loss</t>
  </si>
  <si>
    <t>EbNo Req Margin</t>
  </si>
  <si>
    <t>EbNo Design</t>
  </si>
  <si>
    <t>Power required for TX</t>
  </si>
  <si>
    <t>Ts orbiter</t>
  </si>
  <si>
    <t>Pointing error of 0.25 degree, this is up to the attitude system designer. This would give the ability to have a less acurate attitude system, anymore than 0.25 degrees will have a large effect on power requirements for transmitting a signal</t>
  </si>
  <si>
    <t>Design Variables</t>
  </si>
  <si>
    <t>α DSN</t>
  </si>
  <si>
    <t>Implentation loss of 3 dB, since this is a typical amount</t>
  </si>
  <si>
    <t xml:space="preserve">An atmospheric loss of -7 dB would give about 98% availability even with rain storms. This has a big effect on power required to transmit signals from the SC. We will choose to only receive data on clear days with a loss of -2 dB. This can be mitigated by sending the data from the orbiter, and if it was not recieved by the station, keeping the data on a recording device, then retransmitting. </t>
  </si>
  <si>
    <t>Communications</t>
  </si>
  <si>
    <t>Transmit on clear days only, so -2 dB atmospheric loss</t>
  </si>
  <si>
    <t>System noiser should be 30 K since we are using the DSN.</t>
  </si>
  <si>
    <t>Using QPSK coded rate 0.25 with spectral efficiency of 0.49, The Eb/No requrired is now around 0.75</t>
  </si>
  <si>
    <t>Eb/No Margin of about 50% of req, so around 0.375 dB</t>
  </si>
  <si>
    <t>Using X-band communication, since S-Band will no longer be allowed for space missions</t>
  </si>
  <si>
    <t>Had to use acceptable uplink and downlink frequencies for DSN</t>
  </si>
  <si>
    <t>Gave the attitude system designer a window of 0.25 degrees of pointing error.</t>
  </si>
  <si>
    <t>Used the maximum of the typical range for implementation loss of 3 dB</t>
  </si>
  <si>
    <t>Dish size</t>
  </si>
  <si>
    <t>Element</t>
  </si>
  <si>
    <t>Level 2</t>
  </si>
  <si>
    <t>Level 1</t>
  </si>
  <si>
    <t>Power Required</t>
  </si>
  <si>
    <t>Orbiter Science Payload</t>
  </si>
  <si>
    <t>Propulsion</t>
  </si>
  <si>
    <t>ADCS</t>
  </si>
  <si>
    <t>C&amp;DH</t>
  </si>
  <si>
    <t>Structure &amp; Mechanisms</t>
  </si>
  <si>
    <t>Thermal</t>
  </si>
  <si>
    <t>1.0 Total Payload During Earth Escape</t>
  </si>
  <si>
    <t xml:space="preserve">       1.1 Orbiter Science Payload</t>
  </si>
  <si>
    <t xml:space="preserve">       1.2 Lander Capsule</t>
  </si>
  <si>
    <t>2.0 Orbiter Bus (dry)</t>
  </si>
  <si>
    <t xml:space="preserve">       2.1 Propulsion</t>
  </si>
  <si>
    <t xml:space="preserve">       2.2 ADCS</t>
  </si>
  <si>
    <t xml:space="preserve">       2.3 Communication</t>
  </si>
  <si>
    <t xml:space="preserve">       2.4 C&amp;DH</t>
  </si>
  <si>
    <t xml:space="preserve">       2.5 Power</t>
  </si>
  <si>
    <t xml:space="preserve">       2.6 Structure</t>
  </si>
  <si>
    <t xml:space="preserve">       2.7 Pyro &amp; Cabling</t>
  </si>
  <si>
    <t>3.0 Total System Dry Mass</t>
  </si>
  <si>
    <t>4.0 Consumables</t>
  </si>
  <si>
    <t>5.0 Propellant</t>
  </si>
  <si>
    <t>6.0 Total System Loaded Mass</t>
  </si>
  <si>
    <t>Power Assumptions</t>
  </si>
  <si>
    <t>Distance from sun</t>
  </si>
  <si>
    <t>Se</t>
  </si>
  <si>
    <t>Using Ultra Triple Junction GaInP2/GaAs/Ge
 Solar arrays with a 330 W/m^2 BOL performance</t>
  </si>
  <si>
    <t>Using Li-Ion batteries</t>
  </si>
  <si>
    <t>Battery Energy Density</t>
  </si>
  <si>
    <t>BOL Solar array performance</t>
  </si>
  <si>
    <t xml:space="preserve">Solar Array Density </t>
  </si>
  <si>
    <t>In order to keep the lifecycle of the batteries at a relativly long maximum, a DOD of 30% is used</t>
  </si>
  <si>
    <t>Battery DOD</t>
  </si>
  <si>
    <t>Resources</t>
  </si>
  <si>
    <t xml:space="preserve">http://www.google.com/url?sa=t&amp;rct=j&amp;q=&amp;esrc=s&amp;source=web&amp;cd=5&amp;ved=0CFIQFjAE&amp;url=http%3A%2F%2Fwww.researchgate.net%2Fpublication%2F37467903_Ultra-Light_Amorphous_Silicon_Cell_for_Space_Applications%2Ffile%2F3deec520dda9b688ed.pdf&amp;ei=UP5_UpmHA821kAed8IH4DQ&amp;usg=AFQjCNFcOSQuLQv2RMMKk0rBfNjvgJdZPg&amp;sig2=mvC2jf3LdXmhuK_2QSYMEA&amp;bvm=bv.56146854,d.cWc </t>
  </si>
  <si>
    <t>Time</t>
  </si>
  <si>
    <t>Orbit</t>
  </si>
  <si>
    <t>Periapsis Altitude</t>
  </si>
  <si>
    <t>Eccentricity</t>
  </si>
  <si>
    <t>Bandwidth is equal to bytes per second</t>
  </si>
  <si>
    <t>Bandwidth for X-Band up to several Mbps</t>
  </si>
  <si>
    <t>BER set to 10^-6</t>
  </si>
  <si>
    <t>BER of 10^-6, since we are sending science data, can not be in the 10^-2 range since this is not video</t>
  </si>
  <si>
    <t>Monte Carlos simulation</t>
  </si>
  <si>
    <t>Variable</t>
  </si>
  <si>
    <t>Distribution</t>
  </si>
  <si>
    <t>Nominal</t>
  </si>
  <si>
    <t>1 sigma or Min Max</t>
  </si>
  <si>
    <t>Atmospheric Loss</t>
  </si>
  <si>
    <t>System Noise Temperature</t>
  </si>
  <si>
    <t>Antenna Pointing Error</t>
  </si>
  <si>
    <t>Uniform</t>
  </si>
  <si>
    <t xml:space="preserve"> -4.5 dB</t>
  </si>
  <si>
    <t>[-2 -9] dB</t>
  </si>
  <si>
    <t>Normal</t>
  </si>
  <si>
    <t>25 K</t>
  </si>
  <si>
    <t>[18 40] K</t>
  </si>
  <si>
    <t>0.75 deg</t>
  </si>
  <si>
    <t>0 deg</t>
  </si>
  <si>
    <t>Rmars</t>
  </si>
  <si>
    <t>T</t>
  </si>
  <si>
    <t>km</t>
  </si>
  <si>
    <t>hr</t>
  </si>
  <si>
    <t>Rapo</t>
  </si>
  <si>
    <t>a</t>
  </si>
  <si>
    <t>delta Theta</t>
  </si>
  <si>
    <t>delta E</t>
  </si>
  <si>
    <t>e</t>
  </si>
  <si>
    <t>delta M</t>
  </si>
  <si>
    <t>t</t>
  </si>
  <si>
    <t>Gravitational Constant</t>
  </si>
  <si>
    <t>Mass of mars</t>
  </si>
  <si>
    <t>3.67 hours</t>
  </si>
  <si>
    <t>BOL @ Mars</t>
  </si>
  <si>
    <t>Solar array degradation rate</t>
  </si>
  <si>
    <t>EOL @ Mars</t>
  </si>
  <si>
    <t>Minimum Array area @ EOL</t>
  </si>
  <si>
    <t>Array area @ BOL</t>
  </si>
  <si>
    <t>Solar array mass</t>
  </si>
  <si>
    <t>Power mode</t>
  </si>
  <si>
    <t>Communicating with Earth</t>
  </si>
  <si>
    <t>Collecting Orbiter-based scientific data</t>
  </si>
  <si>
    <t>Idle orbiter mode</t>
  </si>
  <si>
    <t>Variables orbiter-earth comm</t>
  </si>
  <si>
    <t>Lander Dipole Gain</t>
  </si>
  <si>
    <t>Orbiter-Lander Gain</t>
  </si>
  <si>
    <t>Orbiter-Earth Communications</t>
  </si>
  <si>
    <t>Term</t>
  </si>
  <si>
    <t>Value</t>
  </si>
  <si>
    <t>Frequency</t>
  </si>
  <si>
    <t>Bandwidth</t>
  </si>
  <si>
    <t>Transmitting antenna gain</t>
  </si>
  <si>
    <t>Receiving antenna gain</t>
  </si>
  <si>
    <t>Space loss</t>
  </si>
  <si>
    <t>Atmosphereic Loss</t>
  </si>
  <si>
    <t>Input power</t>
  </si>
  <si>
    <t>Received Power</t>
  </si>
  <si>
    <t>Received power</t>
  </si>
  <si>
    <t>Eb/No</t>
  </si>
  <si>
    <t>Orbiter-Lander Communications</t>
  </si>
  <si>
    <t>3.9 dB</t>
  </si>
  <si>
    <t>Lander Space loss</t>
  </si>
  <si>
    <t>freq</t>
  </si>
  <si>
    <t>Gain</t>
  </si>
  <si>
    <t>Pin</t>
  </si>
  <si>
    <t>EbNo</t>
  </si>
  <si>
    <t>2.5 m diameter</t>
  </si>
  <si>
    <t>UHF Low gain antenna</t>
  </si>
  <si>
    <t>Prec</t>
  </si>
  <si>
    <t>Solar array element</t>
  </si>
  <si>
    <t>Solar array Type</t>
  </si>
  <si>
    <t>Ultra Triple Junction GaInP2/GaAs/Ge</t>
  </si>
  <si>
    <t>BOL performance at 1 AU</t>
  </si>
  <si>
    <t>BOL performance at Mars</t>
  </si>
  <si>
    <t>Areal density</t>
  </si>
  <si>
    <t>EOL performance at Mars</t>
  </si>
  <si>
    <t>Anticipated degradation/year</t>
  </si>
  <si>
    <t>Total Power supplied at EOL</t>
  </si>
  <si>
    <t>Area of solar arrays</t>
  </si>
  <si>
    <t>Mass of solar arrays</t>
  </si>
  <si>
    <t>Battery element</t>
  </si>
  <si>
    <t>Battery type</t>
  </si>
  <si>
    <t>Total battery capacity</t>
  </si>
  <si>
    <t>Depth-of-discharge</t>
  </si>
  <si>
    <t>Specific energy density</t>
  </si>
  <si>
    <t>Mass of the batteries</t>
  </si>
  <si>
    <t>Li-Ion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</si>
</sst>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0.00E+00\ &quot;m/s&quot;"/>
    <numFmt numFmtId="165" formatCode="0.00E+00\ &quot;J/K&quot;"/>
    <numFmt numFmtId="166" formatCode="0.00E+00\ &quot;m&quot;"/>
    <numFmt numFmtId="167" formatCode="0.00\ &quot;m&quot;"/>
    <numFmt numFmtId="168" formatCode="0.00E+00\ &quot;Hz&quot;"/>
    <numFmt numFmtId="169" formatCode="0.00\ &quot;AU&quot;"/>
    <numFmt numFmtId="170" formatCode="0\ &quot;K&quot;"/>
    <numFmt numFmtId="171" formatCode="0.00\ &quot;W&quot;"/>
    <numFmt numFmtId="172" formatCode="0.00\ &quot;kg&quot;"/>
    <numFmt numFmtId="173" formatCode="0.00\ &quot;deg&quot;"/>
    <numFmt numFmtId="174" formatCode="0.00\ &quot;dB&quot;"/>
    <numFmt numFmtId="175" formatCode="0.000E+00"/>
    <numFmt numFmtId="176" formatCode="0.00\ &quot;Deg&quot;"/>
    <numFmt numFmtId="177" formatCode="0.0\ &quot;W&quot;"/>
    <numFmt numFmtId="178" formatCode="0\ &quot;kg&quot;"/>
    <numFmt numFmtId="179" formatCode="0.00\ &quot;W/m^2&quot;"/>
    <numFmt numFmtId="180" formatCode="0\ &quot;W-hr/kg&quot;"/>
    <numFmt numFmtId="181" formatCode="0\ &quot;Years&quot;"/>
    <numFmt numFmtId="182" formatCode="0\ &quot;km&quot;"/>
    <numFmt numFmtId="183" formatCode="0.00E+00\ &quot;kg&quot;"/>
    <numFmt numFmtId="184" formatCode="0.00E+00\ &quot;m3 kg-1 s-2&quot;"/>
    <numFmt numFmtId="185" formatCode="0.00\ &quot;kg/m^2&quot;"/>
    <numFmt numFmtId="186" formatCode="0.00\ &quot;m^2&quot;"/>
    <numFmt numFmtId="187" formatCode="0.000E+00\ &quot;W&quot;"/>
  </numFmts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6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/>
    </xf>
    <xf numFmtId="0" fontId="0" fillId="0" borderId="0" xfId="0" applyAlignment="1"/>
    <xf numFmtId="0" fontId="4" fillId="0" borderId="0" xfId="5" applyAlignment="1">
      <alignment vertical="center"/>
    </xf>
    <xf numFmtId="0" fontId="4" fillId="0" borderId="0" xfId="5"/>
    <xf numFmtId="173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177" fontId="0" fillId="0" borderId="0" xfId="0" applyNumberFormat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179" fontId="0" fillId="0" borderId="0" xfId="0" applyNumberFormat="1"/>
    <xf numFmtId="180" fontId="0" fillId="0" borderId="0" xfId="0" applyNumberFormat="1"/>
    <xf numFmtId="0" fontId="0" fillId="0" borderId="0" xfId="0" applyFont="1" applyAlignment="1"/>
    <xf numFmtId="0" fontId="0" fillId="0" borderId="0" xfId="0" applyFont="1"/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178" fontId="6" fillId="0" borderId="0" xfId="0" applyNumberFormat="1" applyFont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183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85" fontId="0" fillId="0" borderId="0" xfId="0" applyNumberFormat="1"/>
    <xf numFmtId="10" fontId="0" fillId="0" borderId="0" xfId="0" applyNumberFormat="1"/>
    <xf numFmtId="186" fontId="0" fillId="0" borderId="0" xfId="0" applyNumberFormat="1"/>
    <xf numFmtId="172" fontId="0" fillId="0" borderId="0" xfId="0" applyNumberFormat="1"/>
    <xf numFmtId="0" fontId="0" fillId="0" borderId="0" xfId="0" applyBorder="1"/>
    <xf numFmtId="177" fontId="0" fillId="0" borderId="0" xfId="0" applyNumberFormat="1" applyFill="1"/>
    <xf numFmtId="0" fontId="0" fillId="0" borderId="6" xfId="0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7" fillId="0" borderId="0" xfId="0" applyFont="1"/>
    <xf numFmtId="177" fontId="0" fillId="0" borderId="0" xfId="0" applyNumberFormat="1" applyBorder="1"/>
    <xf numFmtId="171" fontId="0" fillId="0" borderId="0" xfId="0" applyNumberFormat="1" applyFont="1"/>
    <xf numFmtId="0" fontId="7" fillId="0" borderId="0" xfId="0" applyNumberFormat="1" applyFont="1" applyAlignment="1">
      <alignment horizontal="right"/>
    </xf>
    <xf numFmtId="180" fontId="0" fillId="0" borderId="0" xfId="0" applyNumberFormat="1" applyFont="1"/>
    <xf numFmtId="10" fontId="0" fillId="0" borderId="0" xfId="0" applyNumberFormat="1" applyFont="1"/>
    <xf numFmtId="172" fontId="0" fillId="0" borderId="0" xfId="0" applyNumberFormat="1" applyFont="1"/>
    <xf numFmtId="178" fontId="0" fillId="0" borderId="5" xfId="0" applyNumberFormat="1" applyFill="1" applyBorder="1"/>
    <xf numFmtId="178" fontId="0" fillId="0" borderId="0" xfId="0" applyNumberFormat="1" applyFill="1" applyBorder="1"/>
    <xf numFmtId="178" fontId="0" fillId="0" borderId="1" xfId="0" applyNumberFormat="1" applyFill="1" applyBorder="1"/>
    <xf numFmtId="0" fontId="0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1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s-new.jpl.nasa.gov/dspace/bitstream/2014/7832/1/03-2150.pdf" TargetMode="External"/><Relationship Id="rId2" Type="http://schemas.openxmlformats.org/officeDocument/2006/relationships/hyperlink" Target="http://www2.l-3com.com/eti/downloads/x_quad.pdf" TargetMode="External"/><Relationship Id="rId3" Type="http://schemas.openxmlformats.org/officeDocument/2006/relationships/hyperlink" Target="http://descanso.jpl.nasa.gov/DPSummary/090924dawn-FinalCorrex--update5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abSelected="1" topLeftCell="A170" workbookViewId="0">
      <selection activeCell="C209" sqref="C209"/>
    </sheetView>
  </sheetViews>
  <sheetFormatPr baseColWidth="10" defaultRowHeight="15" x14ac:dyDescent="0"/>
  <cols>
    <col min="2" max="2" width="25.33203125" customWidth="1"/>
    <col min="3" max="3" width="21.83203125" customWidth="1"/>
    <col min="4" max="4" width="11.33203125" bestFit="1" customWidth="1"/>
    <col min="5" max="5" width="16.83203125" customWidth="1"/>
    <col min="6" max="6" width="12.6640625" customWidth="1"/>
    <col min="7" max="7" width="22.83203125" customWidth="1"/>
  </cols>
  <sheetData>
    <row r="1" spans="1:2">
      <c r="A1" s="13" t="s">
        <v>70</v>
      </c>
    </row>
    <row r="2" spans="1:2">
      <c r="B2" s="13" t="s">
        <v>0</v>
      </c>
    </row>
    <row r="3" spans="1:2">
      <c r="B3" t="s">
        <v>5</v>
      </c>
    </row>
    <row r="4" spans="1:2">
      <c r="B4" t="s">
        <v>18</v>
      </c>
    </row>
    <row r="5" spans="1:2">
      <c r="B5" t="s">
        <v>19</v>
      </c>
    </row>
    <row r="6" spans="1:2">
      <c r="B6" t="s">
        <v>20</v>
      </c>
    </row>
    <row r="7" spans="1:2">
      <c r="B7" t="s">
        <v>122</v>
      </c>
    </row>
    <row r="8" spans="1:2">
      <c r="B8" t="s">
        <v>121</v>
      </c>
    </row>
    <row r="9" spans="1:2">
      <c r="B9" t="s">
        <v>72</v>
      </c>
    </row>
    <row r="10" spans="1:2">
      <c r="B10" t="s">
        <v>123</v>
      </c>
    </row>
    <row r="11" spans="1:2">
      <c r="B11" t="s">
        <v>42</v>
      </c>
    </row>
    <row r="12" spans="1:2">
      <c r="B12" t="s">
        <v>43</v>
      </c>
    </row>
    <row r="13" spans="1:2">
      <c r="B13" t="s">
        <v>73</v>
      </c>
    </row>
    <row r="14" spans="1:2">
      <c r="B14" t="s">
        <v>58</v>
      </c>
    </row>
    <row r="15" spans="1:2">
      <c r="B15" t="s">
        <v>65</v>
      </c>
    </row>
    <row r="16" spans="1:2">
      <c r="B16" t="s">
        <v>68</v>
      </c>
    </row>
    <row r="17" spans="2:6">
      <c r="B17" t="s">
        <v>74</v>
      </c>
    </row>
    <row r="18" spans="2:6">
      <c r="B18" t="s">
        <v>69</v>
      </c>
    </row>
    <row r="22" spans="2:6">
      <c r="B22" s="13" t="s">
        <v>1</v>
      </c>
      <c r="F22" s="13" t="s">
        <v>66</v>
      </c>
    </row>
    <row r="23" spans="2:6">
      <c r="B23" s="9" t="s">
        <v>2</v>
      </c>
      <c r="C23" s="1">
        <v>299792458</v>
      </c>
      <c r="F23" t="s">
        <v>71</v>
      </c>
    </row>
    <row r="24" spans="2:6">
      <c r="B24" s="9" t="s">
        <v>3</v>
      </c>
      <c r="C24" s="2">
        <v>1.38065E-23</v>
      </c>
      <c r="F24" t="s">
        <v>124</v>
      </c>
    </row>
    <row r="25" spans="2:6">
      <c r="B25" s="9" t="s">
        <v>50</v>
      </c>
      <c r="C25" s="4">
        <v>70</v>
      </c>
      <c r="F25" t="s">
        <v>73</v>
      </c>
    </row>
    <row r="26" spans="2:6">
      <c r="B26" s="9" t="s">
        <v>6</v>
      </c>
      <c r="C26" s="3">
        <v>149597870700</v>
      </c>
      <c r="F26" t="s">
        <v>75</v>
      </c>
    </row>
    <row r="27" spans="2:6">
      <c r="B27" s="5" t="s">
        <v>45</v>
      </c>
      <c r="C27" s="7">
        <f>7190*1000000</f>
        <v>7190000000</v>
      </c>
      <c r="F27" t="s">
        <v>76</v>
      </c>
    </row>
    <row r="28" spans="2:6">
      <c r="B28" s="5" t="s">
        <v>46</v>
      </c>
      <c r="C28" s="7">
        <f>8450*1000000</f>
        <v>8450000000</v>
      </c>
      <c r="F28" t="s">
        <v>77</v>
      </c>
    </row>
    <row r="29" spans="2:6">
      <c r="B29" s="5" t="s">
        <v>47</v>
      </c>
      <c r="C29" s="8">
        <f>C23/C27</f>
        <v>4.1695752155771905E-2</v>
      </c>
      <c r="F29" t="s">
        <v>78</v>
      </c>
    </row>
    <row r="30" spans="2:6">
      <c r="B30" s="5" t="s">
        <v>48</v>
      </c>
      <c r="C30" s="8">
        <f>C23/C28</f>
        <v>3.5478397396449701E-2</v>
      </c>
      <c r="F30" t="s">
        <v>79</v>
      </c>
    </row>
    <row r="31" spans="2:6">
      <c r="B31" s="10" t="s">
        <v>8</v>
      </c>
      <c r="C31" s="14">
        <v>0.7</v>
      </c>
    </row>
    <row r="32" spans="2:6">
      <c r="B32" s="10" t="s">
        <v>10</v>
      </c>
      <c r="C32" s="14">
        <v>0.6</v>
      </c>
    </row>
    <row r="33" spans="2:9">
      <c r="B33" s="9" t="s">
        <v>64</v>
      </c>
      <c r="C33" s="15">
        <v>30</v>
      </c>
    </row>
    <row r="34" spans="2:9">
      <c r="B34" t="s">
        <v>9</v>
      </c>
      <c r="C34" s="23">
        <v>2.52</v>
      </c>
    </row>
    <row r="35" spans="2:9">
      <c r="B35" t="s">
        <v>117</v>
      </c>
      <c r="C35" s="40">
        <v>4</v>
      </c>
    </row>
    <row r="36" spans="2:9">
      <c r="B36" t="s">
        <v>152</v>
      </c>
      <c r="C36" s="48">
        <v>6.6738400000000001E-11</v>
      </c>
    </row>
    <row r="37" spans="2:9">
      <c r="B37" t="s">
        <v>153</v>
      </c>
      <c r="C37" s="47">
        <v>6.3899999999999998E+23</v>
      </c>
    </row>
    <row r="40" spans="2:9">
      <c r="B40" s="13" t="s">
        <v>165</v>
      </c>
      <c r="G40" s="13" t="s">
        <v>118</v>
      </c>
    </row>
    <row r="41" spans="2:9">
      <c r="B41" t="s">
        <v>49</v>
      </c>
      <c r="C41" s="4">
        <v>2.5</v>
      </c>
      <c r="G41" t="s">
        <v>141</v>
      </c>
      <c r="H41">
        <v>3390</v>
      </c>
      <c r="I41" t="s">
        <v>143</v>
      </c>
    </row>
    <row r="42" spans="2:9">
      <c r="B42" s="6" t="s">
        <v>10</v>
      </c>
      <c r="C42" s="9">
        <v>0.6</v>
      </c>
      <c r="G42" t="s">
        <v>142</v>
      </c>
      <c r="H42">
        <v>25.28</v>
      </c>
      <c r="I42" t="s">
        <v>144</v>
      </c>
    </row>
    <row r="43" spans="2:9">
      <c r="B43" s="6" t="s">
        <v>67</v>
      </c>
      <c r="C43" s="9">
        <v>0.7</v>
      </c>
      <c r="G43" t="s">
        <v>145</v>
      </c>
      <c r="H43">
        <v>36593.33</v>
      </c>
      <c r="I43" t="s">
        <v>143</v>
      </c>
    </row>
    <row r="44" spans="2:9">
      <c r="B44" s="6" t="s">
        <v>11</v>
      </c>
      <c r="C44" s="9">
        <v>0.35</v>
      </c>
      <c r="G44" t="s">
        <v>146</v>
      </c>
      <c r="H44">
        <v>20791.66</v>
      </c>
      <c r="I44" t="s">
        <v>143</v>
      </c>
    </row>
    <row r="45" spans="2:9">
      <c r="B45" s="6" t="s">
        <v>55</v>
      </c>
      <c r="C45" s="26">
        <f>10^(D45/10)</f>
        <v>1.1885022274370185</v>
      </c>
      <c r="D45" s="24">
        <v>0.75</v>
      </c>
      <c r="G45" t="s">
        <v>149</v>
      </c>
      <c r="H45">
        <v>0.76</v>
      </c>
    </row>
    <row r="46" spans="2:9">
      <c r="B46" s="6" t="s">
        <v>7</v>
      </c>
      <c r="C46" s="22">
        <v>4</v>
      </c>
      <c r="G46" t="s">
        <v>147</v>
      </c>
      <c r="H46">
        <f>ATAN(H41/H43)</f>
        <v>9.2376173907090478E-2</v>
      </c>
      <c r="I46">
        <f>(180/PI())*H46</f>
        <v>5.2927648924428041</v>
      </c>
    </row>
    <row r="47" spans="2:9">
      <c r="B47" s="6" t="s">
        <v>12</v>
      </c>
      <c r="C47" s="11">
        <v>256000</v>
      </c>
      <c r="D47" t="s">
        <v>14</v>
      </c>
      <c r="G47" t="s">
        <v>148</v>
      </c>
      <c r="H47">
        <f>ACOS((H45 + COS(H46))/(1+H45*COS(H46)))</f>
        <v>3.4133126912142986E-2</v>
      </c>
    </row>
    <row r="48" spans="2:9">
      <c r="B48" s="6" t="s">
        <v>13</v>
      </c>
      <c r="C48" s="11">
        <v>128000</v>
      </c>
      <c r="D48" t="s">
        <v>15</v>
      </c>
      <c r="G48" t="s">
        <v>150</v>
      </c>
      <c r="H48">
        <f>H47-H45*SIN(H47)</f>
        <v>8.1969873814206444E-3</v>
      </c>
    </row>
    <row r="49" spans="2:8">
      <c r="B49" s="6" t="s">
        <v>16</v>
      </c>
      <c r="C49" s="27">
        <f>10^(D49/10)</f>
        <v>0.19952623149688795</v>
      </c>
      <c r="D49" s="24">
        <v>-7</v>
      </c>
      <c r="G49" t="s">
        <v>151</v>
      </c>
      <c r="H49">
        <f>H48/SQRT((C36*(E206+C37))/(H44^3))</f>
        <v>3.7631340513424013E-3</v>
      </c>
    </row>
    <row r="50" spans="2:8">
      <c r="B50" s="6" t="s">
        <v>56</v>
      </c>
      <c r="C50" s="27">
        <f>(C29/(4*PI()*C34*C26))^2</f>
        <v>7.7466153379238622E-29</v>
      </c>
      <c r="D50" s="24">
        <f>10*LOG(C50,10)</f>
        <v>-281.10888008608549</v>
      </c>
    </row>
    <row r="51" spans="2:8">
      <c r="B51" s="6" t="s">
        <v>57</v>
      </c>
      <c r="C51" s="27">
        <f>(C30/(4*PI()*C34*C26))^2</f>
        <v>5.6086243642848057E-29</v>
      </c>
      <c r="D51" s="24">
        <f>10*LOG(C51,10)</f>
        <v>-282.51143645742167</v>
      </c>
      <c r="G51" t="s">
        <v>151</v>
      </c>
      <c r="H51" t="s">
        <v>154</v>
      </c>
    </row>
    <row r="52" spans="2:8">
      <c r="B52" s="6" t="s">
        <v>17</v>
      </c>
      <c r="C52" s="27">
        <f>10^(D52/10)</f>
        <v>0.84139514164519502</v>
      </c>
      <c r="D52" s="24">
        <f>-12*(C61/C46)</f>
        <v>-0.75</v>
      </c>
    </row>
    <row r="53" spans="2:8">
      <c r="B53" s="6" t="s">
        <v>51</v>
      </c>
      <c r="C53" s="26">
        <f>C42*(((PI()*C41)/C29)^2)</f>
        <v>21288.614024855724</v>
      </c>
      <c r="D53" s="24">
        <f>10*LOG(C53,10)</f>
        <v>43.281473880258964</v>
      </c>
    </row>
    <row r="54" spans="2:8">
      <c r="B54" s="6" t="s">
        <v>52</v>
      </c>
      <c r="C54" s="26">
        <f>C42*(((PI()*C41)/C30)^2)</f>
        <v>29403.770553480073</v>
      </c>
      <c r="D54" s="24">
        <f t="shared" ref="D54:D60" si="0">10*LOG(C54,10)</f>
        <v>44.684030251595161</v>
      </c>
      <c r="F54" t="s">
        <v>184</v>
      </c>
      <c r="G54" s="7">
        <v>250000000</v>
      </c>
    </row>
    <row r="55" spans="2:8">
      <c r="B55" s="6"/>
      <c r="C55" s="26"/>
      <c r="D55" s="24"/>
      <c r="F55" s="10" t="s">
        <v>48</v>
      </c>
      <c r="G55" s="56">
        <f>C23/G54</f>
        <v>1.1991698319999999</v>
      </c>
    </row>
    <row r="56" spans="2:8">
      <c r="B56" s="6" t="s">
        <v>167</v>
      </c>
      <c r="C56" s="26"/>
      <c r="D56" s="24">
        <v>1.64</v>
      </c>
      <c r="F56" t="s">
        <v>183</v>
      </c>
      <c r="G56">
        <f>(G55/(4*PI()*H43))^2</f>
        <v>6.8004522596210139E-12</v>
      </c>
      <c r="H56">
        <f>10*LOG(G56,10)</f>
        <v>-111.674622038634</v>
      </c>
    </row>
    <row r="57" spans="2:8">
      <c r="B57" s="6" t="s">
        <v>166</v>
      </c>
      <c r="C57" s="26"/>
      <c r="D57" s="24">
        <v>1.64</v>
      </c>
      <c r="F57" t="s">
        <v>16</v>
      </c>
      <c r="G57">
        <f>10^(H57/10)</f>
        <v>0.93325430079699101</v>
      </c>
      <c r="H57">
        <v>-0.3</v>
      </c>
    </row>
    <row r="58" spans="2:8">
      <c r="B58" s="6"/>
      <c r="C58" s="26"/>
      <c r="D58" s="24"/>
      <c r="F58" t="s">
        <v>185</v>
      </c>
      <c r="G58">
        <f>10^(H58/10)</f>
        <v>1.4588142602753484</v>
      </c>
      <c r="H58">
        <v>1.64</v>
      </c>
    </row>
    <row r="59" spans="2:8">
      <c r="B59" s="6" t="s">
        <v>53</v>
      </c>
      <c r="C59" s="26">
        <f>C43*(((PI()*C25)/C29)^2)</f>
        <v>19471985.628068037</v>
      </c>
      <c r="D59" s="24">
        <f t="shared" si="0"/>
        <v>72.894102403409477</v>
      </c>
      <c r="F59" t="s">
        <v>186</v>
      </c>
      <c r="G59">
        <v>50.2</v>
      </c>
    </row>
    <row r="60" spans="2:8">
      <c r="B60" s="6" t="s">
        <v>54</v>
      </c>
      <c r="C60" s="26">
        <f>C43*(((PI()*C25)/C30)^2)</f>
        <v>26894648.799583111</v>
      </c>
      <c r="D60" s="24">
        <f t="shared" si="0"/>
        <v>74.29665877474568</v>
      </c>
      <c r="F60" t="s">
        <v>187</v>
      </c>
      <c r="G60">
        <f>10^(H60/10)</f>
        <v>110.91748152624011</v>
      </c>
      <c r="H60">
        <v>20.45</v>
      </c>
    </row>
    <row r="61" spans="2:8">
      <c r="B61" s="6" t="s">
        <v>59</v>
      </c>
      <c r="C61" s="28">
        <v>0.25</v>
      </c>
      <c r="D61" s="9"/>
      <c r="F61" t="s">
        <v>190</v>
      </c>
      <c r="G61">
        <f>G59*C44*G58*G58*G56*G57</f>
        <v>2.3730645825668261E-10</v>
      </c>
    </row>
    <row r="62" spans="2:8">
      <c r="B62" s="6" t="s">
        <v>60</v>
      </c>
      <c r="C62" s="26">
        <f t="shared" ref="C62:C63" si="1">10^(D62/10)</f>
        <v>1.9952623149688797</v>
      </c>
      <c r="D62" s="24">
        <v>3</v>
      </c>
    </row>
    <row r="63" spans="2:8">
      <c r="B63" s="6" t="s">
        <v>61</v>
      </c>
      <c r="C63" s="26">
        <f t="shared" si="1"/>
        <v>1.0901844923851276</v>
      </c>
      <c r="D63" s="24">
        <f>0.5*D45</f>
        <v>0.375</v>
      </c>
    </row>
    <row r="64" spans="2:8">
      <c r="B64" s="6" t="s">
        <v>62</v>
      </c>
      <c r="C64" s="26">
        <f>10^(D64/10)</f>
        <v>2.5852348395621907</v>
      </c>
      <c r="D64" s="24">
        <f>D45+D62+D63</f>
        <v>4.125</v>
      </c>
    </row>
    <row r="65" spans="1:4">
      <c r="B65" s="6" t="s">
        <v>63</v>
      </c>
      <c r="C65" s="16">
        <f>(C24*C64*C33*C47)/(C44*C54*C51*C49*C52*C60)</f>
        <v>105.18444409573429</v>
      </c>
      <c r="D65" s="24"/>
    </row>
    <row r="66" spans="1:4">
      <c r="B66" s="6" t="s">
        <v>178</v>
      </c>
      <c r="C66" s="27">
        <f>C65*C44*C54*C60*C51*C49*C52</f>
        <v>2.7412258415935021E-16</v>
      </c>
      <c r="D66" s="24"/>
    </row>
    <row r="67" spans="1:4">
      <c r="B67" s="6"/>
      <c r="C67" s="16"/>
      <c r="D67" s="24"/>
    </row>
    <row r="68" spans="1:4" ht="16" thickBot="1">
      <c r="A68" s="29" t="s">
        <v>168</v>
      </c>
      <c r="B68" s="29"/>
      <c r="C68" s="29"/>
      <c r="D68" s="24"/>
    </row>
    <row r="69" spans="1:4" ht="17" thickTop="1" thickBot="1">
      <c r="A69" s="30" t="s">
        <v>169</v>
      </c>
      <c r="B69" s="30"/>
      <c r="C69" s="55" t="s">
        <v>170</v>
      </c>
      <c r="D69" s="24"/>
    </row>
    <row r="70" spans="1:4">
      <c r="A70" t="s">
        <v>171</v>
      </c>
      <c r="C70" s="7">
        <f>8450*1000000</f>
        <v>8450000000</v>
      </c>
      <c r="D70" s="24"/>
    </row>
    <row r="71" spans="1:4">
      <c r="A71" t="s">
        <v>172</v>
      </c>
      <c r="C71" s="7">
        <v>256000</v>
      </c>
      <c r="D71" s="24"/>
    </row>
    <row r="72" spans="1:4">
      <c r="A72" t="s">
        <v>173</v>
      </c>
      <c r="C72" s="24">
        <v>44.684030251595161</v>
      </c>
      <c r="D72" s="24"/>
    </row>
    <row r="73" spans="1:4">
      <c r="A73" t="s">
        <v>174</v>
      </c>
      <c r="C73" s="24">
        <v>74.29665877474568</v>
      </c>
      <c r="D73" s="24"/>
    </row>
    <row r="74" spans="1:4">
      <c r="A74" t="s">
        <v>175</v>
      </c>
      <c r="C74" s="24">
        <v>-282.51143645742167</v>
      </c>
      <c r="D74" s="24"/>
    </row>
    <row r="75" spans="1:4">
      <c r="A75" t="s">
        <v>176</v>
      </c>
      <c r="C75" s="24">
        <v>-7</v>
      </c>
      <c r="D75" s="24"/>
    </row>
    <row r="76" spans="1:4">
      <c r="A76" t="s">
        <v>177</v>
      </c>
      <c r="C76" s="16">
        <v>105.18444409573429</v>
      </c>
      <c r="D76" s="24"/>
    </row>
    <row r="77" spans="1:4">
      <c r="A77" t="s">
        <v>179</v>
      </c>
      <c r="C77" s="58">
        <v>2.7412258415935021E-16</v>
      </c>
      <c r="D77" s="24"/>
    </row>
    <row r="78" spans="1:4" ht="16" thickBot="1">
      <c r="A78" t="s">
        <v>180</v>
      </c>
      <c r="C78" s="57" t="s">
        <v>182</v>
      </c>
      <c r="D78" s="24"/>
    </row>
    <row r="79" spans="1:4" ht="16" thickTop="1">
      <c r="A79" s="32"/>
      <c r="B79" s="32"/>
      <c r="C79" s="32"/>
    </row>
    <row r="80" spans="1:4">
      <c r="B80" s="6"/>
      <c r="C80" s="16"/>
      <c r="D80" s="24"/>
    </row>
    <row r="81" spans="1:7" ht="16" thickBot="1">
      <c r="A81" s="29" t="s">
        <v>181</v>
      </c>
      <c r="B81" s="29"/>
      <c r="C81" s="29"/>
      <c r="D81" s="24"/>
    </row>
    <row r="82" spans="1:7" ht="17" thickTop="1" thickBot="1">
      <c r="A82" s="30" t="s">
        <v>169</v>
      </c>
      <c r="B82" s="30"/>
      <c r="C82" s="55" t="s">
        <v>170</v>
      </c>
      <c r="D82" s="24"/>
    </row>
    <row r="83" spans="1:7">
      <c r="A83" t="s">
        <v>171</v>
      </c>
      <c r="C83" s="7">
        <v>250000000</v>
      </c>
      <c r="D83" s="24"/>
    </row>
    <row r="84" spans="1:7">
      <c r="A84" t="s">
        <v>172</v>
      </c>
      <c r="C84" s="7">
        <v>128000</v>
      </c>
      <c r="D84" s="24"/>
    </row>
    <row r="85" spans="1:7">
      <c r="A85" t="s">
        <v>173</v>
      </c>
      <c r="C85" s="24">
        <v>1.64</v>
      </c>
      <c r="D85" s="24"/>
    </row>
    <row r="86" spans="1:7">
      <c r="A86" t="s">
        <v>174</v>
      </c>
      <c r="C86" s="24">
        <v>1.64</v>
      </c>
      <c r="D86" s="24"/>
    </row>
    <row r="87" spans="1:7">
      <c r="A87" t="s">
        <v>175</v>
      </c>
      <c r="C87" s="24">
        <v>-111.674622038634</v>
      </c>
      <c r="D87" s="24"/>
    </row>
    <row r="88" spans="1:7">
      <c r="A88" t="s">
        <v>176</v>
      </c>
      <c r="C88" s="24">
        <v>-0.3</v>
      </c>
      <c r="D88" s="24"/>
    </row>
    <row r="89" spans="1:7">
      <c r="A89" t="s">
        <v>177</v>
      </c>
      <c r="C89" s="16">
        <v>52.34</v>
      </c>
      <c r="D89" s="24"/>
    </row>
    <row r="90" spans="1:7">
      <c r="A90" t="s">
        <v>179</v>
      </c>
      <c r="C90" s="58">
        <v>2.37E-5</v>
      </c>
      <c r="D90" s="24"/>
    </row>
    <row r="91" spans="1:7">
      <c r="A91" t="s">
        <v>180</v>
      </c>
      <c r="C91" s="24">
        <v>20.45</v>
      </c>
      <c r="D91" s="24"/>
    </row>
    <row r="92" spans="1:7">
      <c r="C92" s="24"/>
      <c r="D92" s="24"/>
    </row>
    <row r="93" spans="1:7">
      <c r="A93" s="53"/>
      <c r="B93" s="53"/>
      <c r="C93" s="73"/>
      <c r="D93" s="24"/>
    </row>
    <row r="94" spans="1:7">
      <c r="A94" s="53"/>
      <c r="B94" s="53"/>
      <c r="C94" s="53"/>
    </row>
    <row r="95" spans="1:7" ht="16" thickBot="1">
      <c r="A95" s="53"/>
      <c r="B95" s="53"/>
      <c r="C95" s="53"/>
    </row>
    <row r="96" spans="1:7" ht="17" thickTop="1" thickBot="1">
      <c r="A96" s="69" t="s">
        <v>23</v>
      </c>
      <c r="B96" s="69" t="s">
        <v>21</v>
      </c>
      <c r="C96" s="69" t="s">
        <v>22</v>
      </c>
      <c r="D96" s="69" t="s">
        <v>31</v>
      </c>
      <c r="E96" s="69" t="s">
        <v>24</v>
      </c>
      <c r="F96" s="69" t="s">
        <v>25</v>
      </c>
      <c r="G96" s="69" t="s">
        <v>27</v>
      </c>
    </row>
    <row r="97" spans="1:7">
      <c r="A97" s="9">
        <v>1</v>
      </c>
      <c r="B97" s="9" t="s">
        <v>28</v>
      </c>
      <c r="C97" s="17">
        <v>0</v>
      </c>
      <c r="D97" s="17">
        <f t="shared" ref="D97:D100" si="2">C97*A97</f>
        <v>0</v>
      </c>
      <c r="E97" s="18">
        <v>9</v>
      </c>
      <c r="F97" s="18">
        <f t="shared" ref="F97:F100" si="3">A97*E97</f>
        <v>9</v>
      </c>
      <c r="G97" t="s">
        <v>188</v>
      </c>
    </row>
    <row r="98" spans="1:7">
      <c r="A98" s="9">
        <v>1</v>
      </c>
      <c r="B98" s="9" t="s">
        <v>26</v>
      </c>
      <c r="C98" s="17">
        <v>0</v>
      </c>
      <c r="D98" s="17">
        <f t="shared" si="2"/>
        <v>0</v>
      </c>
      <c r="E98" s="18">
        <v>1.5</v>
      </c>
      <c r="F98" s="18">
        <f t="shared" si="3"/>
        <v>1.5</v>
      </c>
      <c r="G98" t="s">
        <v>29</v>
      </c>
    </row>
    <row r="99" spans="1:7">
      <c r="A99" s="9">
        <v>2</v>
      </c>
      <c r="B99" s="9" t="s">
        <v>189</v>
      </c>
      <c r="C99" s="17">
        <v>0</v>
      </c>
      <c r="D99" s="17">
        <f t="shared" si="2"/>
        <v>0</v>
      </c>
      <c r="E99" s="18">
        <v>0.7</v>
      </c>
      <c r="F99" s="18">
        <f t="shared" si="3"/>
        <v>1.4</v>
      </c>
      <c r="G99" t="s">
        <v>38</v>
      </c>
    </row>
    <row r="100" spans="1:7">
      <c r="A100" s="9">
        <v>2</v>
      </c>
      <c r="B100" s="9" t="s">
        <v>30</v>
      </c>
      <c r="C100" s="17">
        <v>14</v>
      </c>
      <c r="D100" s="17">
        <f t="shared" si="2"/>
        <v>28</v>
      </c>
      <c r="E100" s="18">
        <v>4.9000000000000004</v>
      </c>
      <c r="F100" s="18">
        <f t="shared" si="3"/>
        <v>9.8000000000000007</v>
      </c>
      <c r="G100" s="20" t="s">
        <v>33</v>
      </c>
    </row>
    <row r="101" spans="1:7">
      <c r="A101" s="9">
        <v>2</v>
      </c>
      <c r="B101" s="9" t="s">
        <v>34</v>
      </c>
      <c r="C101" s="17">
        <v>150</v>
      </c>
      <c r="D101" s="17">
        <v>150</v>
      </c>
      <c r="E101" s="18">
        <v>0.96499999999999997</v>
      </c>
      <c r="F101" s="18">
        <f>A101*E101</f>
        <v>1.93</v>
      </c>
      <c r="G101" s="21" t="s">
        <v>32</v>
      </c>
    </row>
    <row r="102" spans="1:7">
      <c r="A102" s="9">
        <v>2</v>
      </c>
      <c r="B102" s="9" t="s">
        <v>35</v>
      </c>
      <c r="C102" s="17">
        <v>14</v>
      </c>
      <c r="D102" s="17">
        <f>C102*A102</f>
        <v>28</v>
      </c>
      <c r="E102" s="18">
        <v>3</v>
      </c>
      <c r="F102" s="18">
        <f>A102*E102</f>
        <v>6</v>
      </c>
      <c r="G102" s="21" t="s">
        <v>36</v>
      </c>
    </row>
    <row r="103" spans="1:7">
      <c r="A103" s="9">
        <v>2</v>
      </c>
      <c r="B103" s="9" t="s">
        <v>37</v>
      </c>
      <c r="C103" s="17">
        <v>0</v>
      </c>
      <c r="D103" s="17">
        <f>C103*A103</f>
        <v>0</v>
      </c>
      <c r="E103" s="18">
        <v>0.6</v>
      </c>
      <c r="F103" s="18">
        <f>A103*E103</f>
        <v>1.2</v>
      </c>
      <c r="G103" t="s">
        <v>38</v>
      </c>
    </row>
    <row r="104" spans="1:7">
      <c r="A104" s="9" t="s">
        <v>41</v>
      </c>
      <c r="B104" s="9" t="s">
        <v>39</v>
      </c>
      <c r="C104" s="17">
        <v>0</v>
      </c>
      <c r="D104" s="17">
        <v>0</v>
      </c>
      <c r="E104" s="18">
        <v>10</v>
      </c>
      <c r="F104" s="18">
        <v>20</v>
      </c>
      <c r="G104" t="s">
        <v>40</v>
      </c>
    </row>
    <row r="105" spans="1:7" ht="16" thickBot="1">
      <c r="A105" s="70">
        <v>2</v>
      </c>
      <c r="B105" s="70" t="s">
        <v>44</v>
      </c>
      <c r="C105" s="71">
        <v>2.5</v>
      </c>
      <c r="D105" s="71">
        <v>5</v>
      </c>
      <c r="E105" s="72">
        <v>1.3</v>
      </c>
      <c r="F105" s="72">
        <v>2.6</v>
      </c>
      <c r="G105" s="29" t="s">
        <v>38</v>
      </c>
    </row>
    <row r="106" spans="1:7" ht="16" thickTop="1">
      <c r="B106" s="9"/>
      <c r="F106" s="18"/>
    </row>
    <row r="107" spans="1:7">
      <c r="B107" s="9"/>
      <c r="F107" s="18"/>
    </row>
    <row r="108" spans="1:7">
      <c r="B108" s="9"/>
      <c r="F108" s="18"/>
    </row>
    <row r="109" spans="1:7">
      <c r="B109" s="9"/>
      <c r="F109" s="18"/>
    </row>
    <row r="112" spans="1:7">
      <c r="A112" s="13" t="s">
        <v>22</v>
      </c>
    </row>
    <row r="113" spans="2:6">
      <c r="B113" s="13" t="s">
        <v>105</v>
      </c>
    </row>
    <row r="119" spans="2:6">
      <c r="B119" s="13" t="s">
        <v>1</v>
      </c>
      <c r="F119" s="13" t="s">
        <v>66</v>
      </c>
    </row>
    <row r="120" spans="2:6">
      <c r="B120" t="s">
        <v>106</v>
      </c>
      <c r="C120" s="12">
        <v>1.5</v>
      </c>
      <c r="F120" s="38" t="s">
        <v>108</v>
      </c>
    </row>
    <row r="121" spans="2:6">
      <c r="B121" t="s">
        <v>107</v>
      </c>
      <c r="C121" s="36">
        <v>1366.1</v>
      </c>
      <c r="F121" s="19" t="s">
        <v>109</v>
      </c>
    </row>
    <row r="122" spans="2:6">
      <c r="B122" t="s">
        <v>117</v>
      </c>
      <c r="C122" s="40">
        <v>4</v>
      </c>
      <c r="F122" s="19" t="s">
        <v>113</v>
      </c>
    </row>
    <row r="123" spans="2:6">
      <c r="F123" s="19"/>
    </row>
    <row r="124" spans="2:6">
      <c r="F124" s="19"/>
    </row>
    <row r="125" spans="2:6">
      <c r="F125" s="19"/>
    </row>
    <row r="126" spans="2:6">
      <c r="C126" s="36"/>
      <c r="F126" s="19"/>
    </row>
    <row r="127" spans="2:6">
      <c r="F127" s="19"/>
    </row>
    <row r="128" spans="2:6">
      <c r="B128" s="13" t="s">
        <v>4</v>
      </c>
      <c r="F128" s="19"/>
    </row>
    <row r="129" spans="2:6">
      <c r="B129" t="s">
        <v>110</v>
      </c>
      <c r="C129" s="37">
        <v>125</v>
      </c>
      <c r="F129" s="19"/>
    </row>
    <row r="130" spans="2:6">
      <c r="B130" t="s">
        <v>114</v>
      </c>
      <c r="C130" s="25">
        <v>0.3</v>
      </c>
      <c r="F130" s="19"/>
    </row>
    <row r="131" spans="2:6">
      <c r="B131" t="s">
        <v>111</v>
      </c>
      <c r="C131" s="36">
        <v>330</v>
      </c>
      <c r="F131" s="19"/>
    </row>
    <row r="132" spans="2:6">
      <c r="B132" t="s">
        <v>112</v>
      </c>
      <c r="C132" s="49">
        <v>2.8</v>
      </c>
      <c r="F132" s="19"/>
    </row>
    <row r="133" spans="2:6">
      <c r="B133" t="s">
        <v>155</v>
      </c>
      <c r="C133" s="36">
        <f>POWER(1-C135,0)*COS(C61)*C131*POWER(1/C34,2)</f>
        <v>50.349757364026317</v>
      </c>
      <c r="F133" s="19"/>
    </row>
    <row r="134" spans="2:6">
      <c r="B134" t="s">
        <v>157</v>
      </c>
      <c r="C134" s="36">
        <f>POWER(1-C135,C122)*COS(C61)*C131*POWER(1/C34,2)</f>
        <v>45.035586403316259</v>
      </c>
      <c r="F134" s="19"/>
    </row>
    <row r="135" spans="2:6">
      <c r="B135" t="s">
        <v>156</v>
      </c>
      <c r="C135" s="50">
        <v>2.75E-2</v>
      </c>
      <c r="F135" s="19"/>
    </row>
    <row r="136" spans="2:6">
      <c r="B136" t="s">
        <v>159</v>
      </c>
      <c r="C136" s="51">
        <f>D185/C133</f>
        <v>7.342328214671098</v>
      </c>
      <c r="F136" s="19"/>
    </row>
    <row r="137" spans="2:6">
      <c r="B137" t="s">
        <v>158</v>
      </c>
      <c r="C137" s="51">
        <f>210/C134</f>
        <v>4.6629791409696475</v>
      </c>
      <c r="F137" s="19"/>
    </row>
    <row r="138" spans="2:6">
      <c r="B138" t="s">
        <v>160</v>
      </c>
      <c r="C138" s="52">
        <f>C137*C132</f>
        <v>13.056341594715013</v>
      </c>
      <c r="F138" s="19"/>
    </row>
    <row r="139" spans="2:6">
      <c r="C139" s="51"/>
      <c r="F139" s="19"/>
    </row>
    <row r="140" spans="2:6">
      <c r="C140" s="51"/>
      <c r="F140" s="19"/>
    </row>
    <row r="141" spans="2:6">
      <c r="F141" s="19"/>
    </row>
    <row r="142" spans="2:6">
      <c r="B142" s="13" t="s">
        <v>115</v>
      </c>
      <c r="F142" s="19"/>
    </row>
    <row r="143" spans="2:6">
      <c r="B143" s="39" t="s">
        <v>116</v>
      </c>
      <c r="F143" s="19"/>
    </row>
    <row r="144" spans="2:6">
      <c r="F144" s="19"/>
    </row>
    <row r="145" spans="2:5" ht="16" thickBot="1"/>
    <row r="146" spans="2:5" ht="17" thickTop="1" thickBot="1">
      <c r="B146" s="32"/>
      <c r="C146" s="32"/>
      <c r="D146" s="34" t="s">
        <v>83</v>
      </c>
      <c r="E146" s="35"/>
    </row>
    <row r="147" spans="2:5" ht="17" thickTop="1" thickBot="1">
      <c r="B147" s="30" t="s">
        <v>80</v>
      </c>
      <c r="C147" s="30"/>
      <c r="D147" s="33" t="s">
        <v>14</v>
      </c>
      <c r="E147" s="33" t="s">
        <v>15</v>
      </c>
    </row>
    <row r="148" spans="2:5">
      <c r="B148" t="s">
        <v>84</v>
      </c>
      <c r="D148" s="31">
        <v>10</v>
      </c>
      <c r="E148" s="31">
        <v>165</v>
      </c>
    </row>
    <row r="149" spans="2:5">
      <c r="B149" t="s">
        <v>85</v>
      </c>
      <c r="D149" s="31">
        <v>4</v>
      </c>
      <c r="E149" s="31">
        <v>10</v>
      </c>
    </row>
    <row r="150" spans="2:5">
      <c r="B150" t="s">
        <v>86</v>
      </c>
      <c r="D150" s="31">
        <v>45</v>
      </c>
      <c r="E150" s="31">
        <v>75</v>
      </c>
    </row>
    <row r="151" spans="2:5">
      <c r="B151" t="s">
        <v>70</v>
      </c>
      <c r="D151" s="54">
        <v>2.5</v>
      </c>
      <c r="E151" s="54">
        <f>C65+SUM(C97:C105)</f>
        <v>285.68444409573431</v>
      </c>
    </row>
    <row r="152" spans="2:5">
      <c r="B152" t="s">
        <v>87</v>
      </c>
      <c r="D152" s="54">
        <v>25</v>
      </c>
      <c r="E152" s="54">
        <v>35</v>
      </c>
    </row>
    <row r="153" spans="2:5">
      <c r="B153" t="s">
        <v>22</v>
      </c>
      <c r="D153" s="54">
        <v>0</v>
      </c>
      <c r="E153" s="54">
        <v>0</v>
      </c>
    </row>
    <row r="154" spans="2:5">
      <c r="B154" t="s">
        <v>88</v>
      </c>
      <c r="D154" s="54">
        <v>0</v>
      </c>
      <c r="E154" s="54">
        <v>5</v>
      </c>
    </row>
    <row r="155" spans="2:5" ht="16" thickBot="1">
      <c r="B155" t="s">
        <v>89</v>
      </c>
      <c r="D155" s="31">
        <v>0</v>
      </c>
      <c r="E155" s="31">
        <v>12</v>
      </c>
    </row>
    <row r="156" spans="2:5" ht="16" thickTop="1">
      <c r="B156" s="32"/>
      <c r="C156" s="32"/>
      <c r="D156" s="32"/>
      <c r="E156" s="32"/>
    </row>
    <row r="157" spans="2:5">
      <c r="B157" s="53"/>
      <c r="C157" s="53"/>
      <c r="D157" s="53"/>
      <c r="E157" s="53"/>
    </row>
    <row r="158" spans="2:5">
      <c r="B158" s="53"/>
      <c r="C158" s="53"/>
      <c r="D158" s="53"/>
      <c r="E158" s="53"/>
    </row>
    <row r="159" spans="2:5" ht="16" thickBot="1">
      <c r="B159" s="29"/>
      <c r="C159" s="29"/>
      <c r="D159" s="53"/>
      <c r="E159" s="53"/>
    </row>
    <row r="160" spans="2:5" ht="17" thickTop="1" thickBot="1">
      <c r="B160" s="30" t="s">
        <v>191</v>
      </c>
      <c r="C160" s="55" t="s">
        <v>170</v>
      </c>
      <c r="D160" s="53"/>
      <c r="E160" s="53"/>
    </row>
    <row r="161" spans="2:5">
      <c r="B161" t="s">
        <v>192</v>
      </c>
      <c r="C161" s="59" t="s">
        <v>193</v>
      </c>
      <c r="D161" s="53"/>
      <c r="E161" s="53"/>
    </row>
    <row r="162" spans="2:5">
      <c r="B162" t="s">
        <v>194</v>
      </c>
      <c r="C162" s="36">
        <v>330</v>
      </c>
      <c r="D162" s="60"/>
      <c r="E162" s="53"/>
    </row>
    <row r="163" spans="2:5">
      <c r="B163" t="s">
        <v>195</v>
      </c>
      <c r="C163" s="36">
        <v>50.349757364026317</v>
      </c>
      <c r="D163" s="60"/>
      <c r="E163" s="53"/>
    </row>
    <row r="164" spans="2:5">
      <c r="B164" t="s">
        <v>196</v>
      </c>
      <c r="C164" s="49">
        <v>2.8</v>
      </c>
      <c r="D164" s="60"/>
      <c r="E164" s="53"/>
    </row>
    <row r="165" spans="2:5">
      <c r="B165" t="s">
        <v>197</v>
      </c>
      <c r="C165" s="36">
        <v>45.035586403316259</v>
      </c>
      <c r="D165" s="60"/>
      <c r="E165" s="53"/>
    </row>
    <row r="166" spans="2:5">
      <c r="B166" t="s">
        <v>198</v>
      </c>
      <c r="C166" s="50">
        <v>2.75E-2</v>
      </c>
      <c r="D166" s="60"/>
      <c r="E166" s="53"/>
    </row>
    <row r="167" spans="2:5">
      <c r="B167" t="s">
        <v>199</v>
      </c>
      <c r="C167" s="61">
        <v>201.45</v>
      </c>
      <c r="D167" s="60"/>
      <c r="E167" s="53"/>
    </row>
    <row r="168" spans="2:5">
      <c r="B168" t="s">
        <v>200</v>
      </c>
      <c r="C168" s="51">
        <v>5.9882520831543058</v>
      </c>
      <c r="D168" s="60"/>
      <c r="E168" s="53"/>
    </row>
    <row r="169" spans="2:5" ht="16" thickBot="1">
      <c r="B169" t="s">
        <v>201</v>
      </c>
      <c r="C169" s="52">
        <v>16.767105832832055</v>
      </c>
      <c r="D169" s="60"/>
      <c r="E169" s="53"/>
    </row>
    <row r="170" spans="2:5" ht="16" thickTop="1">
      <c r="B170" s="32"/>
      <c r="C170" s="32"/>
      <c r="D170" s="53"/>
      <c r="E170" s="53"/>
    </row>
    <row r="171" spans="2:5">
      <c r="B171" s="53"/>
      <c r="C171" s="53"/>
      <c r="D171" s="53"/>
      <c r="E171" s="53"/>
    </row>
    <row r="172" spans="2:5">
      <c r="B172" s="53"/>
      <c r="C172" s="53"/>
      <c r="D172" s="53"/>
      <c r="E172" s="53"/>
    </row>
    <row r="173" spans="2:5">
      <c r="B173" s="53"/>
      <c r="C173" s="53"/>
      <c r="D173" s="53"/>
      <c r="E173" s="53"/>
    </row>
    <row r="174" spans="2:5" ht="16" thickBot="1">
      <c r="B174" s="29"/>
      <c r="C174" s="29"/>
      <c r="D174" s="53"/>
      <c r="E174" s="53"/>
    </row>
    <row r="175" spans="2:5" ht="17" thickTop="1" thickBot="1">
      <c r="B175" s="30" t="s">
        <v>202</v>
      </c>
      <c r="C175" s="55" t="s">
        <v>170</v>
      </c>
      <c r="D175" s="53"/>
      <c r="E175" s="53"/>
    </row>
    <row r="176" spans="2:5">
      <c r="B176" t="s">
        <v>203</v>
      </c>
      <c r="C176" s="62" t="s">
        <v>208</v>
      </c>
      <c r="D176" s="53"/>
      <c r="E176" s="53"/>
    </row>
    <row r="177" spans="2:5">
      <c r="B177" t="s">
        <v>204</v>
      </c>
      <c r="C177">
        <f>210/(0.3*0.25)</f>
        <v>2800</v>
      </c>
      <c r="D177" s="53"/>
      <c r="E177" s="53"/>
    </row>
    <row r="178" spans="2:5">
      <c r="B178" t="s">
        <v>205</v>
      </c>
      <c r="C178" s="64">
        <v>0.3</v>
      </c>
      <c r="D178" s="53"/>
      <c r="E178" s="53"/>
    </row>
    <row r="179" spans="2:5">
      <c r="B179" t="s">
        <v>206</v>
      </c>
      <c r="C179" s="63">
        <v>110</v>
      </c>
      <c r="D179" s="53"/>
      <c r="E179" s="53"/>
    </row>
    <row r="180" spans="2:5" ht="16" thickBot="1">
      <c r="B180" t="s">
        <v>207</v>
      </c>
      <c r="C180" s="65">
        <f>C177/C179</f>
        <v>25.454545454545453</v>
      </c>
      <c r="D180" s="53"/>
      <c r="E180" s="53"/>
    </row>
    <row r="181" spans="2:5" ht="16" thickTop="1">
      <c r="B181" s="32"/>
      <c r="C181" s="32"/>
      <c r="D181" s="53"/>
      <c r="E181" s="53"/>
    </row>
    <row r="182" spans="2:5">
      <c r="B182" s="53"/>
      <c r="C182" s="53"/>
      <c r="D182" s="53"/>
      <c r="E182" s="53"/>
    </row>
    <row r="183" spans="2:5" ht="16" thickBot="1">
      <c r="B183" s="29"/>
      <c r="C183" s="29"/>
      <c r="D183" s="29"/>
    </row>
    <row r="184" spans="2:5" ht="17" thickTop="1" thickBot="1">
      <c r="B184" s="30" t="s">
        <v>161</v>
      </c>
      <c r="C184" s="30"/>
      <c r="D184" s="55" t="s">
        <v>22</v>
      </c>
    </row>
    <row r="185" spans="2:5">
      <c r="B185" t="s">
        <v>162</v>
      </c>
      <c r="D185" s="31">
        <f>E151+D150+D149+D148+D152</f>
        <v>369.68444409573431</v>
      </c>
    </row>
    <row r="186" spans="2:5">
      <c r="B186" t="s">
        <v>163</v>
      </c>
      <c r="D186" s="31">
        <f>E148+D149+D150+D152</f>
        <v>239</v>
      </c>
    </row>
    <row r="187" spans="2:5" ht="16" thickBot="1">
      <c r="B187" t="s">
        <v>164</v>
      </c>
      <c r="D187" s="31">
        <f>E155+E154+D152+D150+D149+D148</f>
        <v>101</v>
      </c>
    </row>
    <row r="188" spans="2:5" ht="16" thickTop="1">
      <c r="B188" s="32"/>
      <c r="C188" s="32"/>
      <c r="D188" s="32"/>
    </row>
    <row r="190" spans="2:5" ht="16" thickBot="1">
      <c r="B190" s="29"/>
      <c r="C190" s="29"/>
      <c r="D190" s="29"/>
      <c r="E190" s="29"/>
    </row>
    <row r="191" spans="2:5" ht="17" thickTop="1" thickBot="1">
      <c r="B191" s="30" t="s">
        <v>80</v>
      </c>
      <c r="C191" s="30"/>
      <c r="D191" s="30" t="s">
        <v>81</v>
      </c>
      <c r="E191" s="30" t="s">
        <v>82</v>
      </c>
    </row>
    <row r="192" spans="2:5">
      <c r="B192" t="s">
        <v>90</v>
      </c>
      <c r="D192" s="66"/>
      <c r="E192" s="66">
        <f>E203-E195</f>
        <v>1351.8133487126224</v>
      </c>
    </row>
    <row r="193" spans="2:5">
      <c r="B193" t="s">
        <v>91</v>
      </c>
      <c r="D193" s="67">
        <v>73</v>
      </c>
      <c r="E193" s="67"/>
    </row>
    <row r="194" spans="2:5">
      <c r="B194" t="s">
        <v>92</v>
      </c>
      <c r="D194" s="67">
        <f>E192-D193</f>
        <v>1278.8133487126224</v>
      </c>
      <c r="E194" s="67"/>
    </row>
    <row r="195" spans="2:5">
      <c r="B195" t="s">
        <v>93</v>
      </c>
      <c r="D195" s="67"/>
      <c r="E195" s="67">
        <f>SUM(D196:D202)</f>
        <v>708.18665128737757</v>
      </c>
    </row>
    <row r="196" spans="2:5">
      <c r="B196" t="s">
        <v>94</v>
      </c>
      <c r="D196" s="67">
        <v>174</v>
      </c>
      <c r="E196" s="67"/>
    </row>
    <row r="197" spans="2:5">
      <c r="B197" t="s">
        <v>95</v>
      </c>
      <c r="D197" s="67">
        <v>59</v>
      </c>
      <c r="E197" s="67"/>
    </row>
    <row r="198" spans="2:5">
      <c r="B198" t="s">
        <v>96</v>
      </c>
      <c r="D198" s="67">
        <f>SUM(E97:E105)</f>
        <v>31.965000000000003</v>
      </c>
      <c r="E198" s="67"/>
    </row>
    <row r="199" spans="2:5">
      <c r="B199" t="s">
        <v>97</v>
      </c>
      <c r="D199" s="67">
        <v>63</v>
      </c>
      <c r="E199" s="67"/>
    </row>
    <row r="200" spans="2:5">
      <c r="B200" t="s">
        <v>98</v>
      </c>
      <c r="D200" s="67">
        <f>C180+C169+10</f>
        <v>52.221651287377512</v>
      </c>
      <c r="E200" s="67"/>
    </row>
    <row r="201" spans="2:5">
      <c r="B201" t="s">
        <v>99</v>
      </c>
      <c r="D201" s="67">
        <v>267</v>
      </c>
      <c r="E201" s="67"/>
    </row>
    <row r="202" spans="2:5">
      <c r="B202" t="s">
        <v>100</v>
      </c>
      <c r="D202" s="67">
        <v>61</v>
      </c>
      <c r="E202" s="67"/>
    </row>
    <row r="203" spans="2:5">
      <c r="B203" t="s">
        <v>101</v>
      </c>
      <c r="D203" s="67"/>
      <c r="E203" s="67">
        <f>E206-E205</f>
        <v>2060</v>
      </c>
    </row>
    <row r="204" spans="2:5">
      <c r="B204" t="s">
        <v>102</v>
      </c>
      <c r="D204" s="67"/>
      <c r="E204" s="67">
        <v>0</v>
      </c>
    </row>
    <row r="205" spans="2:5">
      <c r="B205" t="s">
        <v>103</v>
      </c>
      <c r="D205" s="67"/>
      <c r="E205" s="67">
        <v>1440</v>
      </c>
    </row>
    <row r="206" spans="2:5" ht="16" thickBot="1">
      <c r="B206" s="29" t="s">
        <v>104</v>
      </c>
      <c r="C206" s="29"/>
      <c r="D206" s="68"/>
      <c r="E206" s="68">
        <v>3500</v>
      </c>
    </row>
    <row r="207" spans="2:5" ht="16" thickTop="1"/>
    <row r="208" spans="2:5">
      <c r="C208">
        <f>1279/2060</f>
        <v>0.62087378640776703</v>
      </c>
    </row>
    <row r="212" spans="1:5">
      <c r="A212" s="13" t="s">
        <v>118</v>
      </c>
    </row>
    <row r="213" spans="1:5">
      <c r="B213" s="13" t="s">
        <v>1</v>
      </c>
    </row>
    <row r="214" spans="1:5">
      <c r="B214" t="s">
        <v>119</v>
      </c>
      <c r="C214" s="41">
        <v>1600</v>
      </c>
    </row>
    <row r="215" spans="1:5">
      <c r="B215" t="s">
        <v>120</v>
      </c>
      <c r="C215" s="9">
        <v>0.76</v>
      </c>
    </row>
    <row r="221" spans="1:5">
      <c r="A221" s="13" t="s">
        <v>125</v>
      </c>
    </row>
    <row r="222" spans="1:5">
      <c r="B222" s="13" t="s">
        <v>4</v>
      </c>
    </row>
    <row r="224" spans="1:5" ht="16" thickBot="1">
      <c r="B224" s="43"/>
      <c r="C224" s="43"/>
      <c r="D224" s="43"/>
      <c r="E224" s="43"/>
    </row>
    <row r="225" spans="2:5" ht="17" thickTop="1" thickBot="1">
      <c r="B225" s="44" t="s">
        <v>126</v>
      </c>
      <c r="C225" s="44" t="s">
        <v>127</v>
      </c>
      <c r="D225" s="44" t="s">
        <v>128</v>
      </c>
      <c r="E225" s="44" t="s">
        <v>129</v>
      </c>
    </row>
    <row r="226" spans="2:5">
      <c r="B226" s="42" t="s">
        <v>130</v>
      </c>
      <c r="C226" s="42" t="s">
        <v>133</v>
      </c>
      <c r="D226" s="45" t="s">
        <v>137</v>
      </c>
      <c r="E226" s="45" t="s">
        <v>138</v>
      </c>
    </row>
    <row r="227" spans="2:5">
      <c r="B227" s="42" t="s">
        <v>131</v>
      </c>
      <c r="C227" s="42" t="s">
        <v>133</v>
      </c>
      <c r="D227" s="45" t="s">
        <v>134</v>
      </c>
      <c r="E227" s="45" t="s">
        <v>135</v>
      </c>
    </row>
    <row r="228" spans="2:5" ht="16" thickBot="1">
      <c r="B228" s="43" t="s">
        <v>132</v>
      </c>
      <c r="C228" s="43" t="s">
        <v>136</v>
      </c>
      <c r="D228" s="46" t="s">
        <v>140</v>
      </c>
      <c r="E228" s="46" t="s">
        <v>139</v>
      </c>
    </row>
    <row r="229" spans="2:5" ht="16" thickTop="1">
      <c r="B229" s="42"/>
      <c r="C229" s="42"/>
      <c r="D229" s="42"/>
      <c r="E229" s="42"/>
    </row>
  </sheetData>
  <hyperlinks>
    <hyperlink ref="G100" r:id="rId1"/>
    <hyperlink ref="G101" r:id="rId2"/>
    <hyperlink ref="G102" r:id="rId3"/>
  </hyperlinks>
  <pageMargins left="0.75" right="0.75" top="1" bottom="1" header="0.5" footer="0.5"/>
  <pageSetup orientation="portrait" horizontalDpi="4294967292" verticalDpi="4294967292"/>
  <ignoredErrors>
    <ignoredError sqref="D52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Tschirhart</dc:creator>
  <cp:lastModifiedBy>Zachary Tschirhart</cp:lastModifiedBy>
  <dcterms:created xsi:type="dcterms:W3CDTF">2013-11-09T19:32:34Z</dcterms:created>
  <dcterms:modified xsi:type="dcterms:W3CDTF">2013-12-06T22:10:47Z</dcterms:modified>
</cp:coreProperties>
</file>