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0" yWindow="0" windowWidth="28800" windowHeight="16040" activeTab="1"/>
  </bookViews>
  <sheets>
    <sheet name="Prob2" sheetId="1" r:id="rId1"/>
    <sheet name="Prob3" sheetId="2" r:id="rId2"/>
    <sheet name="Sheet3" sheetId="3" r:id="rId3"/>
  </sheets>
  <definedNames>
    <definedName name="solver_adj" localSheetId="1" hidden="1">Prob3!$C$6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Prob3!$C$39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0.3</definedName>
    <definedName name="solver_ver" localSheetId="1" hidden="1">2</definedName>
  </definedNames>
  <calcPr calcId="140001" iterate="1" iterateCount="2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3" i="2" l="1"/>
  <c r="L53" i="2"/>
  <c r="K53" i="2"/>
  <c r="J53" i="2"/>
  <c r="I53" i="2"/>
  <c r="H53" i="2"/>
  <c r="G53" i="2"/>
  <c r="E53" i="2"/>
  <c r="D53" i="2"/>
  <c r="C53" i="2"/>
  <c r="E28" i="1"/>
  <c r="D28" i="1"/>
  <c r="D6" i="2"/>
  <c r="E6" i="2"/>
  <c r="F5" i="2"/>
  <c r="F8" i="2"/>
  <c r="F9" i="2"/>
  <c r="E56" i="1"/>
  <c r="E55" i="1"/>
  <c r="F18" i="2"/>
  <c r="F26" i="2"/>
  <c r="J26" i="2"/>
  <c r="J32" i="2"/>
  <c r="J34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C24" i="2"/>
  <c r="D24" i="2"/>
  <c r="C25" i="2"/>
  <c r="D25" i="2"/>
  <c r="E25" i="2"/>
  <c r="F28" i="2"/>
  <c r="F29" i="2"/>
  <c r="J40" i="2"/>
  <c r="F16" i="2"/>
  <c r="E17" i="2"/>
  <c r="D17" i="2"/>
  <c r="E7" i="2"/>
  <c r="D7" i="2"/>
  <c r="E22" i="1"/>
  <c r="F21" i="1"/>
  <c r="D13" i="1"/>
  <c r="D5" i="1"/>
  <c r="D9" i="1"/>
  <c r="J24" i="2"/>
  <c r="F26" i="1"/>
  <c r="C27" i="1"/>
  <c r="D27" i="1"/>
  <c r="E27" i="1"/>
  <c r="F29" i="1"/>
  <c r="F31" i="1"/>
  <c r="E32" i="1"/>
  <c r="E33" i="1"/>
  <c r="E34" i="1"/>
  <c r="F35" i="1"/>
  <c r="F37" i="1"/>
  <c r="F39" i="1"/>
  <c r="F40" i="1"/>
  <c r="C46" i="1"/>
  <c r="F30" i="2"/>
  <c r="E31" i="2"/>
  <c r="E32" i="2"/>
  <c r="F33" i="2"/>
  <c r="F35" i="2"/>
  <c r="F36" i="2"/>
  <c r="C39" i="2"/>
  <c r="J41" i="2"/>
</calcChain>
</file>

<file path=xl/sharedStrings.xml><?xml version="1.0" encoding="utf-8"?>
<sst xmlns="http://schemas.openxmlformats.org/spreadsheetml/2006/main" count="126" uniqueCount="88">
  <si>
    <t>Part b)</t>
  </si>
  <si>
    <t>CBE</t>
  </si>
  <si>
    <t>Cont.</t>
  </si>
  <si>
    <t>Allocated</t>
  </si>
  <si>
    <t>Level 1</t>
  </si>
  <si>
    <t xml:space="preserve"> 1.0 Payload</t>
  </si>
  <si>
    <t xml:space="preserve">  1.1 Probes </t>
  </si>
  <si>
    <t>--</t>
  </si>
  <si>
    <t xml:space="preserve">       1.1.1 Probe 1</t>
  </si>
  <si>
    <t xml:space="preserve">       1.1.2 Probe 2</t>
  </si>
  <si>
    <t xml:space="preserve">  1.2 Probe Mounting Hardware</t>
  </si>
  <si>
    <t xml:space="preserve"> 2.0 Spacecraft Bus (dry)</t>
  </si>
  <si>
    <t xml:space="preserve">   2.1 Propellant Tanks</t>
  </si>
  <si>
    <t xml:space="preserve">   2.2 All other subsystems</t>
  </si>
  <si>
    <t xml:space="preserve"> 3.0 Spacecraft Dry Mass</t>
  </si>
  <si>
    <t xml:space="preserve"> 4.0 Consumables </t>
  </si>
  <si>
    <t xml:space="preserve"> 5.0 Propellant</t>
  </si>
  <si>
    <t xml:space="preserve">   5.1 Propellant for first burn</t>
  </si>
  <si>
    <t xml:space="preserve">   5.2 Propellant for second burn</t>
  </si>
  <si>
    <t xml:space="preserve">   5.3 Propellant for third burn</t>
  </si>
  <si>
    <t xml:space="preserve"> 6.0 Loaded Mass</t>
  </si>
  <si>
    <t xml:space="preserve"> 7.0 Kick Stage</t>
  </si>
  <si>
    <t xml:space="preserve"> 8.0 Injected Mass</t>
  </si>
  <si>
    <t xml:space="preserve"> 9.0 Launch Vehicle Adapter</t>
  </si>
  <si>
    <t xml:space="preserve"> 10.0 Boosted Mass</t>
  </si>
  <si>
    <t xml:space="preserve"> 11.0 Margin</t>
  </si>
  <si>
    <t xml:space="preserve"> 12.0 Total Launch Vehicle Capacity</t>
  </si>
  <si>
    <t>Level 2</t>
  </si>
  <si>
    <t>Part a)</t>
  </si>
  <si>
    <t>Orbital Insertion</t>
  </si>
  <si>
    <t>dV1</t>
  </si>
  <si>
    <t>Isp1</t>
  </si>
  <si>
    <t>MR1</t>
  </si>
  <si>
    <t>Orbital Positioning</t>
  </si>
  <si>
    <t>dV2</t>
  </si>
  <si>
    <t>Isp2</t>
  </si>
  <si>
    <t>MR2</t>
  </si>
  <si>
    <t>Orbital Maint</t>
  </si>
  <si>
    <t>dV3</t>
  </si>
  <si>
    <t>Isp3</t>
  </si>
  <si>
    <t>MR3</t>
  </si>
  <si>
    <t>Part d)</t>
  </si>
  <si>
    <t>Final Mass</t>
  </si>
  <si>
    <t>Margin</t>
  </si>
  <si>
    <t>Indirect Mass Increase</t>
  </si>
  <si>
    <t>Part c)</t>
  </si>
  <si>
    <t>Percent Mass Margin:</t>
  </si>
  <si>
    <t>Allocated dV</t>
  </si>
  <si>
    <t>Orbital Maneuvering</t>
  </si>
  <si>
    <t>Station Keeping</t>
  </si>
  <si>
    <t>Margin(30%)</t>
  </si>
  <si>
    <t>Total dV</t>
  </si>
  <si>
    <t xml:space="preserve">  1.1 Payload</t>
  </si>
  <si>
    <t xml:space="preserve">   2.1 Propulsion</t>
  </si>
  <si>
    <t xml:space="preserve">   2.2 ADCS</t>
  </si>
  <si>
    <t xml:space="preserve">   2.3 Communications</t>
  </si>
  <si>
    <t xml:space="preserve">   2.4 C&amp;DH</t>
  </si>
  <si>
    <t xml:space="preserve">   2.5 Power</t>
  </si>
  <si>
    <t xml:space="preserve">   2.6 Structure</t>
  </si>
  <si>
    <t xml:space="preserve">   2.7 Thermal Control System</t>
  </si>
  <si>
    <t>7.1 Kick Stage Structure</t>
  </si>
  <si>
    <t>7.2 Kick Stage Propellant</t>
  </si>
  <si>
    <t>GOES-N</t>
  </si>
  <si>
    <t>Payload</t>
  </si>
  <si>
    <t>Propulsion</t>
  </si>
  <si>
    <t>ADCS</t>
  </si>
  <si>
    <t>Comm</t>
  </si>
  <si>
    <t>C&amp;DH</t>
  </si>
  <si>
    <t>Power</t>
  </si>
  <si>
    <t>Structure</t>
  </si>
  <si>
    <t>TCS</t>
  </si>
  <si>
    <t>Total</t>
  </si>
  <si>
    <t>SC Dry (CBE)</t>
  </si>
  <si>
    <t>S/C propulsion:</t>
  </si>
  <si>
    <t>dV</t>
  </si>
  <si>
    <t>Isp</t>
  </si>
  <si>
    <t>MR</t>
  </si>
  <si>
    <t>Kickstage propulsion:</t>
  </si>
  <si>
    <t>Mf</t>
  </si>
  <si>
    <t>Gravity Constant</t>
  </si>
  <si>
    <t>Grav Const</t>
  </si>
  <si>
    <t>Margin Percent</t>
  </si>
  <si>
    <t>For a 30% margin delta V needs to be</t>
  </si>
  <si>
    <t>Adding 50 kg to Probe 1:</t>
  </si>
  <si>
    <t>Adding 50 kg to Probe 2:</t>
  </si>
  <si>
    <t>Orbital Manuver Speed (m/s)</t>
  </si>
  <si>
    <t>Boosted Mass (kg)</t>
  </si>
  <si>
    <t>Percent Mass Margin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</si>
</sst>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%"/>
    <numFmt numFmtId="165" formatCode="0.0"/>
    <numFmt numFmtId="166" formatCode="0.0\ &quot;kg&quot;"/>
    <numFmt numFmtId="167" formatCode="0.0\ &quot;m/s&quot;"/>
    <numFmt numFmtId="168" formatCode="0\ &quot;m/s&quot;"/>
    <numFmt numFmtId="169" formatCode="0\ &quot;s&quot;"/>
    <numFmt numFmtId="170" formatCode="0.00\ &quot;m/s^2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/>
    <xf numFmtId="0" fontId="0" fillId="3" borderId="0" xfId="0" applyFill="1"/>
    <xf numFmtId="0" fontId="0" fillId="0" borderId="0" xfId="0"/>
    <xf numFmtId="0" fontId="0" fillId="0" borderId="2" xfId="0" applyBorder="1"/>
    <xf numFmtId="0" fontId="3" fillId="0" borderId="0" xfId="0" applyFont="1" applyBorder="1"/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4" fillId="0" borderId="0" xfId="0" applyFont="1" applyBorder="1" applyAlignment="1">
      <alignment horizontal="left" wrapText="1" readingOrder="1"/>
    </xf>
    <xf numFmtId="0" fontId="4" fillId="0" borderId="0" xfId="0" applyFont="1" applyBorder="1" applyAlignment="1">
      <alignment horizontal="left" wrapText="1" indent="1" readingOrder="1"/>
    </xf>
    <xf numFmtId="0" fontId="3" fillId="0" borderId="0" xfId="0" quotePrefix="1" applyFont="1" applyFill="1" applyBorder="1" applyAlignment="1">
      <alignment horizontal="center"/>
    </xf>
    <xf numFmtId="165" fontId="3" fillId="0" borderId="0" xfId="0" applyNumberFormat="1" applyFont="1" applyBorder="1"/>
    <xf numFmtId="0" fontId="4" fillId="0" borderId="2" xfId="0" applyFont="1" applyBorder="1" applyAlignment="1">
      <alignment horizontal="left" wrapText="1" readingOrder="1"/>
    </xf>
    <xf numFmtId="0" fontId="3" fillId="0" borderId="2" xfId="0" applyFont="1" applyBorder="1"/>
    <xf numFmtId="166" fontId="3" fillId="0" borderId="0" xfId="0" applyNumberFormat="1" applyFont="1" applyFill="1" applyBorder="1"/>
    <xf numFmtId="0" fontId="0" fillId="3" borderId="0" xfId="0" applyFill="1"/>
    <xf numFmtId="0" fontId="0" fillId="0" borderId="0" xfId="0"/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3" borderId="0" xfId="0" applyFill="1"/>
    <xf numFmtId="0" fontId="0" fillId="0" borderId="0" xfId="0"/>
    <xf numFmtId="0" fontId="0" fillId="0" borderId="0" xfId="0" applyAlignment="1">
      <alignment horizontal="left" indent="2"/>
    </xf>
    <xf numFmtId="0" fontId="0" fillId="0" borderId="2" xfId="0" applyBorder="1"/>
    <xf numFmtId="0" fontId="0" fillId="0" borderId="3" xfId="0" applyBorder="1"/>
    <xf numFmtId="0" fontId="0" fillId="3" borderId="0" xfId="0" applyFill="1"/>
    <xf numFmtId="0" fontId="0" fillId="0" borderId="5" xfId="0" applyBorder="1"/>
    <xf numFmtId="0" fontId="0" fillId="3" borderId="0" xfId="0" applyFill="1"/>
    <xf numFmtId="0" fontId="0" fillId="0" borderId="0" xfId="0"/>
    <xf numFmtId="0" fontId="2" fillId="0" borderId="0" xfId="0" applyFont="1" applyBorder="1" applyAlignment="1">
      <alignment horizontal="left" wrapText="1" readingOrder="1"/>
    </xf>
    <xf numFmtId="0" fontId="2" fillId="0" borderId="0" xfId="0" applyFont="1" applyBorder="1" applyAlignment="1">
      <alignment horizontal="left" wrapText="1" indent="1" readingOrder="1"/>
    </xf>
    <xf numFmtId="165" fontId="0" fillId="0" borderId="0" xfId="0" applyNumberFormat="1"/>
    <xf numFmtId="0" fontId="2" fillId="0" borderId="0" xfId="0" applyFont="1" applyBorder="1" applyAlignment="1">
      <alignment horizontal="left" wrapText="1" indent="2" readingOrder="1"/>
    </xf>
    <xf numFmtId="0" fontId="0" fillId="0" borderId="2" xfId="0" applyBorder="1"/>
    <xf numFmtId="0" fontId="2" fillId="0" borderId="2" xfId="0" applyFont="1" applyBorder="1" applyAlignment="1">
      <alignment horizontal="left" wrapText="1" readingOrder="1"/>
    </xf>
    <xf numFmtId="0" fontId="0" fillId="0" borderId="3" xfId="0" applyBorder="1"/>
    <xf numFmtId="166" fontId="0" fillId="0" borderId="0" xfId="0" applyNumberFormat="1"/>
    <xf numFmtId="0" fontId="0" fillId="0" borderId="5" xfId="0" applyBorder="1"/>
    <xf numFmtId="166" fontId="0" fillId="0" borderId="0" xfId="0" applyNumberFormat="1" applyFill="1" applyBorder="1"/>
    <xf numFmtId="166" fontId="0" fillId="0" borderId="2" xfId="0" applyNumberFormat="1" applyFill="1" applyBorder="1"/>
    <xf numFmtId="0" fontId="0" fillId="0" borderId="0" xfId="0"/>
    <xf numFmtId="164" fontId="0" fillId="0" borderId="0" xfId="0" applyNumberFormat="1"/>
    <xf numFmtId="164" fontId="0" fillId="2" borderId="1" xfId="1" applyNumberFormat="1" applyFont="1" applyFill="1" applyBorder="1"/>
    <xf numFmtId="0" fontId="0" fillId="0" borderId="0" xfId="0"/>
    <xf numFmtId="0" fontId="0" fillId="0" borderId="0" xfId="0"/>
    <xf numFmtId="167" fontId="0" fillId="0" borderId="0" xfId="0" applyNumberFormat="1"/>
    <xf numFmtId="0" fontId="7" fillId="0" borderId="0" xfId="0" applyFont="1"/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Fill="1" applyBorder="1" applyAlignment="1">
      <alignment horizontal="left" wrapText="1" readingOrder="1"/>
    </xf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2" fontId="0" fillId="0" borderId="0" xfId="0" applyNumberFormat="1"/>
    <xf numFmtId="165" fontId="7" fillId="0" borderId="0" xfId="0" applyNumberFormat="1" applyFont="1"/>
    <xf numFmtId="0" fontId="3" fillId="0" borderId="6" xfId="0" applyFont="1" applyBorder="1"/>
    <xf numFmtId="166" fontId="3" fillId="0" borderId="6" xfId="0" applyNumberFormat="1" applyFont="1" applyBorder="1"/>
    <xf numFmtId="166" fontId="3" fillId="0" borderId="0" xfId="0" applyNumberFormat="1" applyFont="1" applyBorder="1"/>
    <xf numFmtId="166" fontId="3" fillId="0" borderId="2" xfId="0" applyNumberFormat="1" applyFont="1" applyFill="1" applyBorder="1"/>
    <xf numFmtId="0" fontId="3" fillId="0" borderId="7" xfId="0" applyFont="1" applyBorder="1" applyAlignment="1">
      <alignment horizontal="center"/>
    </xf>
    <xf numFmtId="166" fontId="3" fillId="0" borderId="0" xfId="1" applyNumberFormat="1" applyFont="1" applyBorder="1" applyAlignment="1">
      <alignment horizontal="center"/>
    </xf>
    <xf numFmtId="167" fontId="0" fillId="0" borderId="0" xfId="0" applyNumberFormat="1" applyBorder="1"/>
    <xf numFmtId="0" fontId="0" fillId="0" borderId="0" xfId="0" applyBorder="1"/>
    <xf numFmtId="167" fontId="0" fillId="0" borderId="6" xfId="0" applyNumberFormat="1" applyBorder="1"/>
    <xf numFmtId="167" fontId="0" fillId="0" borderId="2" xfId="0" applyNumberFormat="1" applyBorder="1"/>
    <xf numFmtId="167" fontId="0" fillId="0" borderId="0" xfId="0" applyNumberFormat="1" applyFill="1" applyBorder="1"/>
    <xf numFmtId="166" fontId="0" fillId="0" borderId="0" xfId="0" applyNumberFormat="1" applyBorder="1"/>
    <xf numFmtId="0" fontId="0" fillId="0" borderId="0" xfId="0" quotePrefix="1" applyBorder="1" applyAlignment="1">
      <alignment horizontal="center"/>
    </xf>
    <xf numFmtId="165" fontId="0" fillId="0" borderId="0" xfId="0" applyNumberFormat="1" applyBorder="1"/>
    <xf numFmtId="166" fontId="0" fillId="0" borderId="6" xfId="0" applyNumberFormat="1" applyBorder="1"/>
    <xf numFmtId="1" fontId="7" fillId="0" borderId="0" xfId="0" applyNumberFormat="1" applyFont="1"/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Prob3!$C$51:$M$51</c:f>
              <c:numCache>
                <c:formatCode>0</c:formatCode>
                <c:ptCount val="11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334.5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</c:numCache>
            </c:numRef>
          </c:xVal>
          <c:yVal>
            <c:numRef>
              <c:f>Prob3!$C$52:$M$52</c:f>
              <c:numCache>
                <c:formatCode>0.0</c:formatCode>
                <c:ptCount val="11"/>
                <c:pt idx="0">
                  <c:v>2430.0</c:v>
                </c:pt>
                <c:pt idx="1">
                  <c:v>2538.5</c:v>
                </c:pt>
                <c:pt idx="2">
                  <c:v>2651.9</c:v>
                </c:pt>
                <c:pt idx="3">
                  <c:v>2692.3</c:v>
                </c:pt>
                <c:pt idx="4">
                  <c:v>2770.6</c:v>
                </c:pt>
                <c:pt idx="5">
                  <c:v>2894.7</c:v>
                </c:pt>
                <c:pt idx="6">
                  <c:v>3024.5</c:v>
                </c:pt>
                <c:pt idx="7">
                  <c:v>3160.3</c:v>
                </c:pt>
                <c:pt idx="8">
                  <c:v>3302.3</c:v>
                </c:pt>
                <c:pt idx="9">
                  <c:v>3450.8</c:v>
                </c:pt>
                <c:pt idx="10">
                  <c:v>3606.1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324680"/>
        <c:axId val="-2101830136"/>
      </c:scatterChart>
      <c:valAx>
        <c:axId val="-2102324680"/>
        <c:scaling>
          <c:orientation val="minMax"/>
          <c:max val="1000.0"/>
          <c:min val="10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Orbital Maneuvering delta V (m/s)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-2101830136"/>
        <c:crosses val="autoZero"/>
        <c:crossBetween val="midCat"/>
      </c:valAx>
      <c:valAx>
        <c:axId val="-2101830136"/>
        <c:scaling>
          <c:orientation val="minMax"/>
          <c:max val="3700.0"/>
          <c:min val="24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Boosted Mass (kg)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102324680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61290628145166"/>
          <c:y val="0.031063321385902"/>
          <c:w val="0.879976200343378"/>
          <c:h val="0.86857825567503"/>
        </c:manualLayout>
      </c:layout>
      <c:scatterChart>
        <c:scatterStyle val="smoothMarker"/>
        <c:varyColors val="0"/>
        <c:ser>
          <c:idx val="0"/>
          <c:order val="0"/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8"/>
              <c:spPr>
                <a:solidFill>
                  <a:srgbClr val="FF0000"/>
                </a:solidFill>
                <a:ln w="25400" cap="flat" cmpd="sng" algn="ctr">
                  <a:solidFill>
                    <a:schemeClr val="dk1"/>
                  </a:solidFill>
                  <a:prstDash val="solid"/>
                </a:ln>
                <a:effectLst/>
              </c:spPr>
            </c:marker>
            <c:bubble3D val="0"/>
          </c:dPt>
          <c:xVal>
            <c:numRef>
              <c:f>Prob3!$C$51:$M$51</c:f>
              <c:numCache>
                <c:formatCode>0</c:formatCode>
                <c:ptCount val="11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334.5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</c:numCache>
            </c:numRef>
          </c:xVal>
          <c:yVal>
            <c:numRef>
              <c:f>Prob3!$C$53:$M$53</c:f>
              <c:numCache>
                <c:formatCode>0.0</c:formatCode>
                <c:ptCount val="11"/>
                <c:pt idx="0">
                  <c:v>44.0329218106996</c:v>
                </c:pt>
                <c:pt idx="1">
                  <c:v>37.87669883789639</c:v>
                </c:pt>
                <c:pt idx="2">
                  <c:v>31.98084392322486</c:v>
                </c:pt>
                <c:pt idx="3" formatCode="General">
                  <c:v>30.0</c:v>
                </c:pt>
                <c:pt idx="4">
                  <c:v>26.32642748863062</c:v>
                </c:pt>
                <c:pt idx="5">
                  <c:v>20.91062977165164</c:v>
                </c:pt>
                <c:pt idx="6">
                  <c:v>15.72160687716978</c:v>
                </c:pt>
                <c:pt idx="7">
                  <c:v>10.74897952726007</c:v>
                </c:pt>
                <c:pt idx="8">
                  <c:v>5.986736516973018</c:v>
                </c:pt>
                <c:pt idx="9">
                  <c:v>1.425756346354469</c:v>
                </c:pt>
                <c:pt idx="10">
                  <c:v>-4.071217528107133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877160"/>
        <c:axId val="-2099533016"/>
      </c:scatterChart>
      <c:valAx>
        <c:axId val="-2099877160"/>
        <c:scaling>
          <c:orientation val="minMax"/>
          <c:max val="1000.0"/>
          <c:min val="10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Orbital</a:t>
                </a:r>
                <a:r>
                  <a:rPr lang="en-US" baseline="0"/>
                  <a:t> Maneuvering delta V (m/s)</a:t>
                </a:r>
              </a:p>
            </c:rich>
          </c:tx>
          <c:layout>
            <c:manualLayout>
              <c:xMode val="edge"/>
              <c:yMode val="edge"/>
              <c:x val="0.386758747261855"/>
              <c:y val="0.94982078853046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-2099533016"/>
        <c:crossesAt val="-5.0"/>
        <c:crossBetween val="midCat"/>
      </c:valAx>
      <c:valAx>
        <c:axId val="-2099533016"/>
        <c:scaling>
          <c:orientation val="minMax"/>
          <c:max val="45.0"/>
          <c:min val="-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</a:t>
                </a:r>
                <a:r>
                  <a:rPr lang="en-US" baseline="0"/>
                  <a:t> Margin (%)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-2099877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57</xdr:row>
      <xdr:rowOff>31750</xdr:rowOff>
    </xdr:from>
    <xdr:to>
      <xdr:col>10</xdr:col>
      <xdr:colOff>12700</xdr:colOff>
      <xdr:row>87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90</xdr:row>
      <xdr:rowOff>44450</xdr:rowOff>
    </xdr:from>
    <xdr:to>
      <xdr:col>9</xdr:col>
      <xdr:colOff>889000</xdr:colOff>
      <xdr:row>120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6"/>
  <sheetViews>
    <sheetView topLeftCell="A25" workbookViewId="0">
      <selection activeCell="D56" sqref="D56"/>
    </sheetView>
  </sheetViews>
  <sheetFormatPr baseColWidth="10" defaultColWidth="8.83203125" defaultRowHeight="14" x14ac:dyDescent="0"/>
  <cols>
    <col min="2" max="2" width="31.1640625" customWidth="1"/>
    <col min="3" max="3" width="10.5" customWidth="1"/>
    <col min="4" max="4" width="9.6640625" bestFit="1" customWidth="1"/>
    <col min="5" max="5" width="9.5" customWidth="1"/>
    <col min="6" max="6" width="9.5" bestFit="1" customWidth="1"/>
  </cols>
  <sheetData>
    <row r="1" spans="2:6">
      <c r="B1" s="17" t="s">
        <v>28</v>
      </c>
    </row>
    <row r="2" spans="2:6" ht="15.75" customHeight="1">
      <c r="B2" t="s">
        <v>79</v>
      </c>
      <c r="D2" s="55">
        <v>9.81</v>
      </c>
    </row>
    <row r="3" spans="2:6">
      <c r="B3" s="18" t="s">
        <v>29</v>
      </c>
      <c r="C3" s="18" t="s">
        <v>30</v>
      </c>
      <c r="D3" s="53">
        <v>350</v>
      </c>
    </row>
    <row r="4" spans="2:6">
      <c r="B4" s="18"/>
      <c r="C4" s="18" t="s">
        <v>31</v>
      </c>
      <c r="D4" s="54">
        <v>330</v>
      </c>
    </row>
    <row r="5" spans="2:6">
      <c r="B5" s="18"/>
      <c r="C5" s="18" t="s">
        <v>32</v>
      </c>
      <c r="D5" s="57">
        <f>EXP(D3/($D$2*D4))</f>
        <v>1.1141756309401287</v>
      </c>
    </row>
    <row r="6" spans="2:6">
      <c r="B6" s="18"/>
      <c r="C6" s="18"/>
    </row>
    <row r="7" spans="2:6">
      <c r="B7" s="18" t="s">
        <v>33</v>
      </c>
      <c r="C7" s="18" t="s">
        <v>34</v>
      </c>
      <c r="D7" s="53">
        <v>250</v>
      </c>
    </row>
    <row r="8" spans="2:6">
      <c r="B8" s="18"/>
      <c r="C8" s="18" t="s">
        <v>35</v>
      </c>
      <c r="D8" s="54">
        <v>330</v>
      </c>
    </row>
    <row r="9" spans="2:6" s="3" customFormat="1" ht="15.75" customHeight="1">
      <c r="B9" s="18"/>
      <c r="C9" s="18" t="s">
        <v>36</v>
      </c>
      <c r="D9" s="57">
        <f>EXP(D7/($D$2*D8))</f>
        <v>1.0802849488534554</v>
      </c>
    </row>
    <row r="10" spans="2:6" s="3" customFormat="1">
      <c r="B10" s="18"/>
      <c r="C10" s="18"/>
    </row>
    <row r="11" spans="2:6" s="3" customFormat="1">
      <c r="B11" s="18" t="s">
        <v>37</v>
      </c>
      <c r="C11" s="18" t="s">
        <v>38</v>
      </c>
      <c r="D11" s="53">
        <v>500</v>
      </c>
    </row>
    <row r="12" spans="2:6" s="3" customFormat="1">
      <c r="B12" s="18"/>
      <c r="C12" s="18" t="s">
        <v>39</v>
      </c>
      <c r="D12" s="54">
        <v>330</v>
      </c>
    </row>
    <row r="13" spans="2:6" s="3" customFormat="1">
      <c r="B13" s="18"/>
      <c r="C13" s="18" t="s">
        <v>40</v>
      </c>
      <c r="D13" s="57">
        <f>EXP(D11/($D$2*D12))</f>
        <v>1.1670155707193124</v>
      </c>
    </row>
    <row r="14" spans="2:6" s="3" customFormat="1"/>
    <row r="15" spans="2:6" s="3" customFormat="1"/>
    <row r="16" spans="2:6">
      <c r="B16" s="1"/>
      <c r="C16" s="1"/>
      <c r="D16" s="1"/>
      <c r="E16" s="1"/>
      <c r="F16" s="1"/>
    </row>
    <row r="17" spans="2:16">
      <c r="B17" s="2" t="s">
        <v>0</v>
      </c>
      <c r="C17" s="1"/>
      <c r="D17" s="1"/>
      <c r="E17" s="1"/>
      <c r="F17" s="1"/>
    </row>
    <row r="18" spans="2:16" ht="15" thickBot="1">
      <c r="B18" s="4"/>
      <c r="C18" s="4"/>
      <c r="D18" s="4"/>
      <c r="E18" s="4"/>
      <c r="F18" s="4"/>
    </row>
    <row r="19" spans="2:16" ht="15" thickTop="1">
      <c r="B19" s="5"/>
      <c r="C19" s="6"/>
      <c r="D19" s="6" t="s">
        <v>27</v>
      </c>
      <c r="E19" s="6"/>
      <c r="F19" s="7" t="s">
        <v>4</v>
      </c>
    </row>
    <row r="20" spans="2:16">
      <c r="B20" s="8"/>
      <c r="C20" s="9" t="s">
        <v>1</v>
      </c>
      <c r="D20" s="9" t="s">
        <v>2</v>
      </c>
      <c r="E20" s="9" t="s">
        <v>3</v>
      </c>
      <c r="F20" s="62"/>
      <c r="P20" s="46"/>
    </row>
    <row r="21" spans="2:16">
      <c r="B21" s="10" t="s">
        <v>5</v>
      </c>
      <c r="C21" s="58"/>
      <c r="D21" s="58"/>
      <c r="E21" s="58"/>
      <c r="F21" s="59">
        <f>E22+E25</f>
        <v>500</v>
      </c>
    </row>
    <row r="22" spans="2:16">
      <c r="B22" s="11" t="s">
        <v>6</v>
      </c>
      <c r="C22" s="12" t="s">
        <v>7</v>
      </c>
      <c r="D22" s="12" t="s">
        <v>7</v>
      </c>
      <c r="E22" s="60">
        <f>E23+E24</f>
        <v>450</v>
      </c>
      <c r="F22" s="13"/>
    </row>
    <row r="23" spans="2:16">
      <c r="B23" s="11" t="s">
        <v>8</v>
      </c>
      <c r="C23" s="12"/>
      <c r="D23" s="12"/>
      <c r="E23" s="60">
        <v>250</v>
      </c>
      <c r="F23" s="13"/>
    </row>
    <row r="24" spans="2:16">
      <c r="B24" s="11" t="s">
        <v>9</v>
      </c>
      <c r="C24" s="12"/>
      <c r="D24" s="12"/>
      <c r="E24" s="60">
        <v>200</v>
      </c>
      <c r="F24" s="13"/>
    </row>
    <row r="25" spans="2:16">
      <c r="B25" s="11" t="s">
        <v>10</v>
      </c>
      <c r="C25" s="12" t="s">
        <v>7</v>
      </c>
      <c r="D25" s="12" t="s">
        <v>7</v>
      </c>
      <c r="E25" s="60">
        <v>50</v>
      </c>
      <c r="F25" s="5"/>
    </row>
    <row r="26" spans="2:16">
      <c r="B26" s="10" t="s">
        <v>11</v>
      </c>
      <c r="C26" s="5"/>
      <c r="D26" s="5"/>
      <c r="E26" s="5"/>
      <c r="F26" s="60">
        <f ca="1">SUM(E27:E28)</f>
        <v>1161.5476495408868</v>
      </c>
    </row>
    <row r="27" spans="2:16">
      <c r="B27" s="11" t="s">
        <v>12</v>
      </c>
      <c r="C27" s="60">
        <f ca="1">0.1*F31</f>
        <v>55.952408673533434</v>
      </c>
      <c r="D27" s="63">
        <f ca="1">0.1*C27</f>
        <v>5.5952408673533434</v>
      </c>
      <c r="E27" s="60">
        <f ca="1">C27 + D27</f>
        <v>61.547649540886781</v>
      </c>
      <c r="F27" s="5"/>
    </row>
    <row r="28" spans="2:16">
      <c r="B28" s="11" t="s">
        <v>13</v>
      </c>
      <c r="C28" s="60">
        <v>1000</v>
      </c>
      <c r="D28" s="63">
        <f>0.1*C28</f>
        <v>100</v>
      </c>
      <c r="E28" s="60">
        <f>C28 +D28</f>
        <v>1100</v>
      </c>
      <c r="F28" s="5"/>
    </row>
    <row r="29" spans="2:16">
      <c r="B29" s="10" t="s">
        <v>14</v>
      </c>
      <c r="C29" s="5"/>
      <c r="D29" s="5"/>
      <c r="E29" s="5"/>
      <c r="F29" s="60">
        <f ca="1">F21+F26</f>
        <v>1661.5476495408868</v>
      </c>
    </row>
    <row r="30" spans="2:16">
      <c r="B30" s="10" t="s">
        <v>15</v>
      </c>
      <c r="C30" s="5"/>
      <c r="D30" s="5"/>
      <c r="E30" s="5"/>
      <c r="F30" s="60">
        <v>0</v>
      </c>
    </row>
    <row r="31" spans="2:16">
      <c r="B31" s="10" t="s">
        <v>16</v>
      </c>
      <c r="C31" s="5"/>
      <c r="D31" s="5"/>
      <c r="E31" s="5"/>
      <c r="F31" s="60">
        <f ca="1">SUM(E32:E34)</f>
        <v>559.52408673533432</v>
      </c>
    </row>
    <row r="32" spans="2:16">
      <c r="B32" s="11" t="s">
        <v>17</v>
      </c>
      <c r="C32" s="12" t="s">
        <v>7</v>
      </c>
      <c r="D32" s="12" t="s">
        <v>7</v>
      </c>
      <c r="E32" s="60">
        <f ca="1">(F21+F26+E33+E34)*(D5-1)</f>
        <v>227.60528933723535</v>
      </c>
      <c r="F32" s="13"/>
    </row>
    <row r="33" spans="2:6">
      <c r="B33" s="11" t="s">
        <v>18</v>
      </c>
      <c r="C33" s="12" t="s">
        <v>7</v>
      </c>
      <c r="D33" s="12" t="s">
        <v>7</v>
      </c>
      <c r="E33" s="60">
        <f ca="1">(E25+E24+F26+E34)*(D9-1)</f>
        <v>129.57147525638632</v>
      </c>
      <c r="F33" s="13"/>
    </row>
    <row r="34" spans="2:6">
      <c r="B34" s="11" t="s">
        <v>19</v>
      </c>
      <c r="C34" s="12" t="s">
        <v>7</v>
      </c>
      <c r="D34" s="12" t="s">
        <v>7</v>
      </c>
      <c r="E34" s="60">
        <f ca="1">(E25+F26)*(D13-1)</f>
        <v>202.34732214171268</v>
      </c>
      <c r="F34" s="13"/>
    </row>
    <row r="35" spans="2:6">
      <c r="B35" s="10" t="s">
        <v>20</v>
      </c>
      <c r="C35" s="5"/>
      <c r="D35" s="5"/>
      <c r="E35" s="5"/>
      <c r="F35" s="60">
        <f ca="1">SUM(F29:F31)</f>
        <v>2221.0717362762211</v>
      </c>
    </row>
    <row r="36" spans="2:6">
      <c r="B36" s="10" t="s">
        <v>21</v>
      </c>
      <c r="C36" s="5"/>
      <c r="D36" s="5"/>
      <c r="E36" s="5"/>
      <c r="F36" s="60">
        <v>0</v>
      </c>
    </row>
    <row r="37" spans="2:6">
      <c r="B37" s="10" t="s">
        <v>22</v>
      </c>
      <c r="C37" s="5"/>
      <c r="D37" s="5"/>
      <c r="E37" s="5"/>
      <c r="F37" s="60">
        <f ca="1">F35+F36</f>
        <v>2221.0717362762211</v>
      </c>
    </row>
    <row r="38" spans="2:6">
      <c r="B38" s="10" t="s">
        <v>23</v>
      </c>
      <c r="C38" s="5"/>
      <c r="D38" s="5"/>
      <c r="E38" s="5"/>
      <c r="F38" s="16">
        <v>75</v>
      </c>
    </row>
    <row r="39" spans="2:6">
      <c r="B39" s="10" t="s">
        <v>24</v>
      </c>
      <c r="C39" s="5"/>
      <c r="D39" s="5"/>
      <c r="E39" s="5"/>
      <c r="F39" s="60">
        <f ca="1">F37+F38</f>
        <v>2296.0717362762211</v>
      </c>
    </row>
    <row r="40" spans="2:6">
      <c r="B40" s="10" t="s">
        <v>25</v>
      </c>
      <c r="C40" s="5"/>
      <c r="D40" s="5"/>
      <c r="E40" s="5"/>
      <c r="F40" s="60">
        <f ca="1">F41-F39</f>
        <v>703.92826372377885</v>
      </c>
    </row>
    <row r="41" spans="2:6" ht="15" thickBot="1">
      <c r="B41" s="14" t="s">
        <v>26</v>
      </c>
      <c r="C41" s="15"/>
      <c r="D41" s="15"/>
      <c r="E41" s="15"/>
      <c r="F41" s="61">
        <v>3000</v>
      </c>
    </row>
    <row r="44" spans="2:6">
      <c r="B44" s="22" t="s">
        <v>45</v>
      </c>
    </row>
    <row r="46" spans="2:6">
      <c r="B46" t="s">
        <v>46</v>
      </c>
      <c r="C46" s="49">
        <f ca="1">F40/F39</f>
        <v>0.30657938626317166</v>
      </c>
    </row>
    <row r="52" spans="2:5">
      <c r="B52" s="19"/>
      <c r="C52" s="19"/>
      <c r="D52" s="19"/>
      <c r="E52" s="19"/>
    </row>
    <row r="53" spans="2:5">
      <c r="B53" s="22" t="s">
        <v>41</v>
      </c>
      <c r="C53" s="50" t="s">
        <v>42</v>
      </c>
      <c r="D53" s="50" t="s">
        <v>43</v>
      </c>
      <c r="E53" s="51" t="s">
        <v>44</v>
      </c>
    </row>
    <row r="54" spans="2:5">
      <c r="B54" s="19"/>
      <c r="C54" s="50"/>
      <c r="D54" s="50"/>
      <c r="E54" s="51"/>
    </row>
    <row r="55" spans="2:5">
      <c r="B55" s="19" t="s">
        <v>83</v>
      </c>
      <c r="C55" s="21">
        <v>2352.6999999999998</v>
      </c>
      <c r="D55" s="20">
        <v>0.27510000000000001</v>
      </c>
      <c r="E55" s="21">
        <f>2352.7-2296.1</f>
        <v>56.599999999999909</v>
      </c>
    </row>
    <row r="56" spans="2:5">
      <c r="B56" s="19" t="s">
        <v>84</v>
      </c>
      <c r="C56" s="21">
        <v>2357.9</v>
      </c>
      <c r="D56" s="20">
        <v>0.27229999999999999</v>
      </c>
      <c r="E56" s="21">
        <f>2357.9-2296.1</f>
        <v>61.800000000000182</v>
      </c>
    </row>
  </sheetData>
  <mergeCells count="3">
    <mergeCell ref="C53:C54"/>
    <mergeCell ref="D53:D54"/>
    <mergeCell ref="E53:E54"/>
  </mergeCells>
  <phoneticPr fontId="8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6"/>
  <sheetViews>
    <sheetView tabSelected="1" topLeftCell="A29" workbookViewId="0">
      <selection activeCell="N102" sqref="N102"/>
    </sheetView>
  </sheetViews>
  <sheetFormatPr baseColWidth="10" defaultColWidth="8.83203125" defaultRowHeight="14" x14ac:dyDescent="0"/>
  <cols>
    <col min="2" max="2" width="31.1640625" customWidth="1"/>
    <col min="3" max="3" width="9.6640625" bestFit="1" customWidth="1"/>
    <col min="5" max="5" width="9.5" customWidth="1"/>
    <col min="6" max="6" width="9.6640625" bestFit="1" customWidth="1"/>
    <col min="7" max="7" width="10.5" bestFit="1" customWidth="1"/>
    <col min="9" max="9" width="11.1640625" customWidth="1"/>
    <col min="10" max="10" width="12.1640625" bestFit="1" customWidth="1"/>
  </cols>
  <sheetData>
    <row r="2" spans="2:10">
      <c r="B2" s="27" t="s">
        <v>28</v>
      </c>
      <c r="C2" s="23"/>
      <c r="D2" s="23"/>
      <c r="E2" s="23"/>
      <c r="F2" s="23"/>
    </row>
    <row r="3" spans="2:10" ht="15" thickBot="1">
      <c r="B3" s="25"/>
      <c r="C3" s="25"/>
      <c r="D3" s="25"/>
      <c r="E3" s="25"/>
      <c r="F3" s="25"/>
    </row>
    <row r="4" spans="2:10" ht="15" thickTop="1">
      <c r="B4" s="26"/>
      <c r="C4" s="26" t="s">
        <v>1</v>
      </c>
      <c r="D4" s="26" t="s">
        <v>2</v>
      </c>
      <c r="E4" s="26" t="s">
        <v>3</v>
      </c>
      <c r="F4" s="28" t="s">
        <v>4</v>
      </c>
    </row>
    <row r="5" spans="2:10">
      <c r="B5" s="23" t="s">
        <v>47</v>
      </c>
      <c r="C5" s="23"/>
      <c r="D5" s="23"/>
      <c r="E5" s="23"/>
      <c r="F5" s="66">
        <f>SUM(E6:E7)</f>
        <v>477.9780461865343</v>
      </c>
    </row>
    <row r="6" spans="2:10">
      <c r="B6" s="24" t="s">
        <v>48</v>
      </c>
      <c r="C6" s="68">
        <v>334.52549653321302</v>
      </c>
      <c r="D6" s="64">
        <f>0.1*C6</f>
        <v>33.452549653321306</v>
      </c>
      <c r="E6" s="64">
        <f>C6+D6</f>
        <v>367.9780461865343</v>
      </c>
      <c r="F6" s="65"/>
    </row>
    <row r="7" spans="2:10">
      <c r="B7" s="24" t="s">
        <v>49</v>
      </c>
      <c r="C7" s="68">
        <v>100</v>
      </c>
      <c r="D7" s="64">
        <f>0.1*C7</f>
        <v>10</v>
      </c>
      <c r="E7" s="64">
        <f>C7+D7</f>
        <v>110</v>
      </c>
      <c r="F7" s="65"/>
    </row>
    <row r="8" spans="2:10">
      <c r="B8" s="23" t="s">
        <v>50</v>
      </c>
      <c r="C8" s="65"/>
      <c r="D8" s="65"/>
      <c r="E8" s="65"/>
      <c r="F8" s="64">
        <f>F5*0.3</f>
        <v>143.39341385596029</v>
      </c>
    </row>
    <row r="9" spans="2:10" ht="15" thickBot="1">
      <c r="B9" s="25" t="s">
        <v>51</v>
      </c>
      <c r="C9" s="25"/>
      <c r="D9" s="25"/>
      <c r="E9" s="25"/>
      <c r="F9" s="67">
        <f>F5+F8</f>
        <v>621.37146004249462</v>
      </c>
    </row>
    <row r="10" spans="2:10" ht="15" thickTop="1">
      <c r="B10" s="23"/>
      <c r="C10" s="23"/>
      <c r="D10" s="23"/>
      <c r="E10" s="23"/>
      <c r="F10" s="23"/>
    </row>
    <row r="12" spans="2:10">
      <c r="B12" s="29" t="s">
        <v>0</v>
      </c>
    </row>
    <row r="14" spans="2:10" ht="15" thickBot="1">
      <c r="B14" s="30"/>
      <c r="C14" s="30"/>
      <c r="D14" s="30"/>
      <c r="E14" s="30"/>
      <c r="F14" s="30"/>
      <c r="I14" s="42" t="s">
        <v>62</v>
      </c>
      <c r="J14" s="42"/>
    </row>
    <row r="15" spans="2:10" ht="15" thickTop="1">
      <c r="B15" s="37"/>
      <c r="C15" s="37" t="s">
        <v>1</v>
      </c>
      <c r="D15" s="37" t="s">
        <v>2</v>
      </c>
      <c r="E15" s="37" t="s">
        <v>3</v>
      </c>
      <c r="F15" s="39" t="s">
        <v>4</v>
      </c>
      <c r="I15" s="42" t="s">
        <v>63</v>
      </c>
      <c r="J15" s="44">
        <v>0.22</v>
      </c>
    </row>
    <row r="16" spans="2:10">
      <c r="B16" s="31" t="s">
        <v>5</v>
      </c>
      <c r="C16" s="30"/>
      <c r="D16" s="30"/>
      <c r="E16" s="30"/>
      <c r="F16" s="72">
        <f>E17</f>
        <v>325</v>
      </c>
      <c r="I16" s="42" t="s">
        <v>64</v>
      </c>
      <c r="J16" s="44">
        <v>0.06</v>
      </c>
    </row>
    <row r="17" spans="2:16">
      <c r="B17" s="32" t="s">
        <v>52</v>
      </c>
      <c r="C17" s="40">
        <v>250</v>
      </c>
      <c r="D17" s="69">
        <f>0.3*C17</f>
        <v>75</v>
      </c>
      <c r="E17" s="69">
        <f>C17+D17</f>
        <v>325</v>
      </c>
      <c r="F17" s="65"/>
      <c r="I17" s="42" t="s">
        <v>65</v>
      </c>
      <c r="J17" s="44">
        <v>0.08</v>
      </c>
    </row>
    <row r="18" spans="2:16">
      <c r="B18" s="31" t="s">
        <v>11</v>
      </c>
      <c r="C18" s="65"/>
      <c r="D18" s="65"/>
      <c r="E18" s="65"/>
      <c r="F18" s="69">
        <f>SUM(E19:E25)</f>
        <v>862.5</v>
      </c>
      <c r="I18" s="42" t="s">
        <v>66</v>
      </c>
      <c r="J18" s="44">
        <v>7.4999999999999997E-2</v>
      </c>
    </row>
    <row r="19" spans="2:16">
      <c r="B19" s="32" t="s">
        <v>53</v>
      </c>
      <c r="C19" s="69">
        <f>J16*$J$26</f>
        <v>68.181818181818173</v>
      </c>
      <c r="D19" s="69">
        <f>0.1*C19</f>
        <v>6.8181818181818175</v>
      </c>
      <c r="E19" s="69">
        <f>C19+D19</f>
        <v>74.999999999999986</v>
      </c>
      <c r="F19" s="65"/>
      <c r="I19" s="42" t="s">
        <v>67</v>
      </c>
      <c r="J19" s="44">
        <v>4.4999999999999998E-2</v>
      </c>
    </row>
    <row r="20" spans="2:16">
      <c r="B20" s="32" t="s">
        <v>54</v>
      </c>
      <c r="C20" s="69">
        <f t="shared" ref="C20:C25" si="0">J17*$J$26</f>
        <v>90.909090909090907</v>
      </c>
      <c r="D20" s="69">
        <f t="shared" ref="D20:D25" si="1">0.1*C20</f>
        <v>9.0909090909090917</v>
      </c>
      <c r="E20" s="69">
        <f t="shared" ref="E20:E25" si="2">C20+D20</f>
        <v>100</v>
      </c>
      <c r="F20" s="65"/>
      <c r="I20" s="42" t="s">
        <v>68</v>
      </c>
      <c r="J20" s="44">
        <v>0.14000000000000001</v>
      </c>
      <c r="P20" s="46"/>
    </row>
    <row r="21" spans="2:16">
      <c r="B21" s="32" t="s">
        <v>55</v>
      </c>
      <c r="C21" s="69">
        <f t="shared" si="0"/>
        <v>85.22727272727272</v>
      </c>
      <c r="D21" s="69">
        <f t="shared" si="1"/>
        <v>8.5227272727272716</v>
      </c>
      <c r="E21" s="69">
        <f t="shared" si="2"/>
        <v>93.749999999999986</v>
      </c>
      <c r="F21" s="65"/>
      <c r="I21" s="42" t="s">
        <v>69</v>
      </c>
      <c r="J21" s="44">
        <v>0.31</v>
      </c>
    </row>
    <row r="22" spans="2:16">
      <c r="B22" s="32" t="s">
        <v>56</v>
      </c>
      <c r="C22" s="69">
        <f t="shared" si="0"/>
        <v>51.136363636363633</v>
      </c>
      <c r="D22" s="69">
        <f t="shared" si="1"/>
        <v>5.1136363636363633</v>
      </c>
      <c r="E22" s="69">
        <f t="shared" si="2"/>
        <v>56.25</v>
      </c>
      <c r="F22" s="65"/>
      <c r="I22" s="42" t="s">
        <v>70</v>
      </c>
      <c r="J22" s="44">
        <v>7.0000000000000007E-2</v>
      </c>
    </row>
    <row r="23" spans="2:16">
      <c r="B23" s="32" t="s">
        <v>57</v>
      </c>
      <c r="C23" s="69">
        <f t="shared" si="0"/>
        <v>159.09090909090909</v>
      </c>
      <c r="D23" s="69">
        <f t="shared" si="1"/>
        <v>15.90909090909091</v>
      </c>
      <c r="E23" s="69">
        <v>250</v>
      </c>
      <c r="F23" s="65"/>
    </row>
    <row r="24" spans="2:16">
      <c r="B24" s="32" t="s">
        <v>58</v>
      </c>
      <c r="C24" s="69">
        <f t="shared" si="0"/>
        <v>352.27272727272725</v>
      </c>
      <c r="D24" s="69">
        <f t="shared" si="1"/>
        <v>35.227272727272727</v>
      </c>
      <c r="E24" s="69">
        <v>200</v>
      </c>
      <c r="F24" s="65"/>
      <c r="I24" t="s">
        <v>71</v>
      </c>
      <c r="J24" s="43">
        <f>SUM(J15:J22)</f>
        <v>1.0000000000000002</v>
      </c>
    </row>
    <row r="25" spans="2:16">
      <c r="B25" s="32" t="s">
        <v>59</v>
      </c>
      <c r="C25" s="69">
        <f t="shared" si="0"/>
        <v>79.545454545454547</v>
      </c>
      <c r="D25" s="69">
        <f t="shared" si="1"/>
        <v>7.954545454545455</v>
      </c>
      <c r="E25" s="69">
        <f t="shared" si="2"/>
        <v>87.5</v>
      </c>
      <c r="F25" s="65"/>
    </row>
    <row r="26" spans="2:16">
      <c r="B26" s="31" t="s">
        <v>14</v>
      </c>
      <c r="C26" s="69"/>
      <c r="D26" s="69"/>
      <c r="E26" s="69"/>
      <c r="F26" s="69">
        <f>F16+F18</f>
        <v>1187.5</v>
      </c>
      <c r="I26" s="45" t="s">
        <v>72</v>
      </c>
      <c r="J26" s="38">
        <f>C17/J15</f>
        <v>1136.3636363636363</v>
      </c>
    </row>
    <row r="27" spans="2:16">
      <c r="B27" s="31" t="s">
        <v>15</v>
      </c>
      <c r="C27" s="65"/>
      <c r="D27" s="65"/>
      <c r="E27" s="65"/>
      <c r="F27" s="69">
        <v>0</v>
      </c>
    </row>
    <row r="28" spans="2:16">
      <c r="B28" s="31" t="s">
        <v>16</v>
      </c>
      <c r="C28" s="65"/>
      <c r="D28" s="65"/>
      <c r="E28" s="65"/>
      <c r="F28" s="69">
        <f>(F16+F18)*(J34-1)</f>
        <v>255.52912807120634</v>
      </c>
      <c r="I28" t="s">
        <v>80</v>
      </c>
      <c r="J28" s="55">
        <v>9.81</v>
      </c>
    </row>
    <row r="29" spans="2:16">
      <c r="B29" s="31" t="s">
        <v>20</v>
      </c>
      <c r="C29" s="65"/>
      <c r="D29" s="65"/>
      <c r="E29" s="65"/>
      <c r="F29" s="69">
        <f>SUM(F26:F28)</f>
        <v>1443.0291280712063</v>
      </c>
    </row>
    <row r="30" spans="2:16">
      <c r="B30" s="31" t="s">
        <v>21</v>
      </c>
      <c r="C30" s="65"/>
      <c r="D30" s="65"/>
      <c r="E30" s="65"/>
      <c r="F30" s="69">
        <f ca="1">SUM(E31:E32)</f>
        <v>1184.2791686399089</v>
      </c>
    </row>
    <row r="31" spans="2:16">
      <c r="B31" s="34" t="s">
        <v>60</v>
      </c>
      <c r="C31" s="70" t="s">
        <v>7</v>
      </c>
      <c r="D31" s="70" t="s">
        <v>7</v>
      </c>
      <c r="E31" s="69">
        <f ca="1">0.1*E32</f>
        <v>107.66174260362818</v>
      </c>
      <c r="F31" s="71"/>
      <c r="I31" s="46" t="s">
        <v>73</v>
      </c>
    </row>
    <row r="32" spans="2:16">
      <c r="B32" s="34" t="s">
        <v>61</v>
      </c>
      <c r="C32" s="70" t="s">
        <v>7</v>
      </c>
      <c r="D32" s="70" t="s">
        <v>7</v>
      </c>
      <c r="E32" s="69">
        <f ca="1">(F29+E31)*(J40-1)</f>
        <v>1076.6174260362827</v>
      </c>
      <c r="F32" s="71"/>
      <c r="I32" s="46" t="s">
        <v>74</v>
      </c>
      <c r="J32" s="47">
        <f>F9</f>
        <v>621.37146004249462</v>
      </c>
    </row>
    <row r="33" spans="2:10">
      <c r="B33" s="31" t="s">
        <v>22</v>
      </c>
      <c r="C33" s="65"/>
      <c r="D33" s="65"/>
      <c r="E33" s="65"/>
      <c r="F33" s="69">
        <f ca="1">F29+F30</f>
        <v>2627.308296711115</v>
      </c>
      <c r="I33" s="46" t="s">
        <v>75</v>
      </c>
      <c r="J33" s="54">
        <v>325</v>
      </c>
    </row>
    <row r="34" spans="2:10">
      <c r="B34" s="31" t="s">
        <v>23</v>
      </c>
      <c r="C34" s="65"/>
      <c r="D34" s="65"/>
      <c r="E34" s="65"/>
      <c r="F34" s="40">
        <v>65</v>
      </c>
      <c r="I34" s="46" t="s">
        <v>76</v>
      </c>
      <c r="J34" s="56">
        <f>EXP(J32/(J33*J28))</f>
        <v>1.2151824236389106</v>
      </c>
    </row>
    <row r="35" spans="2:10">
      <c r="B35" s="31" t="s">
        <v>24</v>
      </c>
      <c r="C35" s="65"/>
      <c r="D35" s="65"/>
      <c r="E35" s="65"/>
      <c r="F35" s="69">
        <f ca="1">F33+F34</f>
        <v>2692.308296711115</v>
      </c>
      <c r="I35" s="46"/>
    </row>
    <row r="36" spans="2:10">
      <c r="B36" s="31" t="s">
        <v>25</v>
      </c>
      <c r="C36" s="65"/>
      <c r="D36" s="65"/>
      <c r="E36" s="65"/>
      <c r="F36" s="69">
        <f ca="1">F37-F35</f>
        <v>807.69170328888504</v>
      </c>
      <c r="I36" s="46"/>
    </row>
    <row r="37" spans="2:10" ht="15" thickBot="1">
      <c r="B37" s="36" t="s">
        <v>26</v>
      </c>
      <c r="C37" s="35"/>
      <c r="D37" s="35"/>
      <c r="E37" s="35"/>
      <c r="F37" s="41">
        <v>3500</v>
      </c>
      <c r="I37" s="46" t="s">
        <v>77</v>
      </c>
    </row>
    <row r="38" spans="2:10" ht="15" thickTop="1">
      <c r="B38" s="30"/>
      <c r="C38" s="30"/>
      <c r="D38" s="30"/>
      <c r="E38" s="30"/>
      <c r="F38" s="30"/>
      <c r="I38" s="46" t="s">
        <v>74</v>
      </c>
      <c r="J38" s="53">
        <v>1500</v>
      </c>
    </row>
    <row r="39" spans="2:10">
      <c r="B39" s="52" t="s">
        <v>81</v>
      </c>
      <c r="C39" s="49">
        <f ca="1">F36/F35</f>
        <v>0.29999970815955573</v>
      </c>
      <c r="I39" s="46" t="s">
        <v>75</v>
      </c>
      <c r="J39" s="54">
        <v>290</v>
      </c>
    </row>
    <row r="40" spans="2:10">
      <c r="I40" s="46" t="s">
        <v>76</v>
      </c>
      <c r="J40" s="56">
        <f>EXP(J38/(J39*$J$28))</f>
        <v>1.6942824301066253</v>
      </c>
    </row>
    <row r="41" spans="2:10">
      <c r="I41" s="46" t="s">
        <v>78</v>
      </c>
      <c r="J41" s="38">
        <f ca="1">E31+F29</f>
        <v>1550.6908706748345</v>
      </c>
    </row>
    <row r="51" spans="2:13">
      <c r="B51" s="48" t="s">
        <v>85</v>
      </c>
      <c r="C51" s="73">
        <v>100</v>
      </c>
      <c r="D51" s="73">
        <v>200</v>
      </c>
      <c r="E51" s="73">
        <v>300</v>
      </c>
      <c r="F51" s="73">
        <v>334.5</v>
      </c>
      <c r="G51" s="73">
        <v>400</v>
      </c>
      <c r="H51" s="73">
        <v>500</v>
      </c>
      <c r="I51" s="73">
        <v>600</v>
      </c>
      <c r="J51" s="73">
        <v>700</v>
      </c>
      <c r="K51" s="73">
        <v>800</v>
      </c>
      <c r="L51" s="73">
        <v>900</v>
      </c>
      <c r="M51" s="73">
        <v>1000</v>
      </c>
    </row>
    <row r="52" spans="2:13">
      <c r="B52" s="48" t="s">
        <v>86</v>
      </c>
      <c r="C52" s="33">
        <v>2430</v>
      </c>
      <c r="D52" s="33">
        <v>2538.5</v>
      </c>
      <c r="E52" s="33">
        <v>2651.9</v>
      </c>
      <c r="F52" s="33">
        <v>2692.3</v>
      </c>
      <c r="G52" s="33">
        <v>2770.6</v>
      </c>
      <c r="H52" s="33">
        <v>2894.7</v>
      </c>
      <c r="I52" s="33">
        <v>3024.5</v>
      </c>
      <c r="J52" s="33">
        <v>3160.3</v>
      </c>
      <c r="K52" s="33">
        <v>3302.3</v>
      </c>
      <c r="L52" s="33">
        <v>3450.8</v>
      </c>
      <c r="M52" s="33">
        <v>3606.1</v>
      </c>
    </row>
    <row r="53" spans="2:13">
      <c r="B53" s="48" t="s">
        <v>87</v>
      </c>
      <c r="C53" s="33">
        <f>1070/2430*100</f>
        <v>44.032921810699591</v>
      </c>
      <c r="D53" s="33">
        <f>961.5/2538.5*100</f>
        <v>37.876698837896392</v>
      </c>
      <c r="E53" s="33">
        <f>848.1/2651.9*100</f>
        <v>31.980843923224857</v>
      </c>
      <c r="F53">
        <v>30</v>
      </c>
      <c r="G53" s="33">
        <f>729.4/2770.6*100</f>
        <v>26.326427488630621</v>
      </c>
      <c r="H53" s="33">
        <f>605.3/2894.7*100</f>
        <v>20.910629771651639</v>
      </c>
      <c r="I53" s="33">
        <f>475.5/3024.5*100</f>
        <v>15.72160687716978</v>
      </c>
      <c r="J53" s="33">
        <f>339.7/3160.3*100</f>
        <v>10.748979527260069</v>
      </c>
      <c r="K53" s="33">
        <f>197.7/3302.3*100</f>
        <v>5.9867365169730178</v>
      </c>
      <c r="L53" s="33">
        <f>49.2/3450.8*100</f>
        <v>1.4257563463544687</v>
      </c>
      <c r="M53" s="33">
        <f>-106.1/2606.1*100</f>
        <v>-4.071217528107133</v>
      </c>
    </row>
    <row r="55" spans="2:13">
      <c r="B55" t="s">
        <v>82</v>
      </c>
      <c r="C55" s="47">
        <v>334.52549653321302</v>
      </c>
    </row>
    <row r="56" spans="2:13">
      <c r="D56" s="49"/>
    </row>
  </sheetData>
  <phoneticPr fontId="8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Prob2</vt:lpstr>
      <vt:lpstr>Prob3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Martimus</dc:creator>
  <cp:lastModifiedBy>Zachary Tschirhart</cp:lastModifiedBy>
  <dcterms:created xsi:type="dcterms:W3CDTF">2013-09-04T14:51:44Z</dcterms:created>
  <dcterms:modified xsi:type="dcterms:W3CDTF">2013-09-10T03:38:18Z</dcterms:modified>
</cp:coreProperties>
</file>