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codeName="ThisWorkbook" autoCompressPictures="0"/>
  <bookViews>
    <workbookView xWindow="14400" yWindow="0" windowWidth="14400" windowHeight="16040"/>
  </bookViews>
  <sheets>
    <sheet name="Sheet1" sheetId="1" r:id="rId1"/>
    <sheet name="Sheet2" sheetId="2" r:id="rId2"/>
    <sheet name="Sheet3" sheetId="3" r:id="rId3"/>
  </sheets>
  <definedNames>
    <definedName name="DenHy">1010</definedName>
    <definedName name="DenMMH">878</definedName>
    <definedName name="DenNTO">1440</definedName>
  </definedNames>
  <calcPr calcId="140001" iterate="1" iterateCount="1000" iterateDelta="0.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5" i="1" l="1"/>
  <c r="I70" i="1"/>
  <c r="I69" i="1"/>
  <c r="I67" i="1"/>
  <c r="I65" i="1"/>
  <c r="I59" i="1"/>
  <c r="I40" i="1"/>
  <c r="H41" i="1"/>
  <c r="G41" i="1"/>
  <c r="F41" i="1"/>
  <c r="E52" i="1"/>
  <c r="M17" i="1"/>
  <c r="N6" i="1"/>
  <c r="K21" i="1"/>
  <c r="K9" i="1"/>
  <c r="E44" i="1"/>
  <c r="L17" i="1"/>
  <c r="M6" i="1"/>
  <c r="C2" i="1"/>
  <c r="L21" i="1"/>
  <c r="M9" i="1"/>
  <c r="L9" i="1"/>
  <c r="K17" i="1"/>
  <c r="K6" i="1"/>
  <c r="F8" i="1"/>
  <c r="O14" i="1"/>
  <c r="M14" i="1"/>
  <c r="K14" i="1"/>
  <c r="L6" i="1"/>
  <c r="F7" i="1"/>
  <c r="M3" i="1"/>
  <c r="O3" i="1"/>
</calcChain>
</file>

<file path=xl/sharedStrings.xml><?xml version="1.0" encoding="utf-8"?>
<sst xmlns="http://schemas.openxmlformats.org/spreadsheetml/2006/main" count="164" uniqueCount="118">
  <si>
    <t>OF</t>
  </si>
  <si>
    <t>po</t>
  </si>
  <si>
    <t>pf</t>
  </si>
  <si>
    <t>pfh</t>
  </si>
  <si>
    <t>ullage</t>
  </si>
  <si>
    <t>ullageh</t>
  </si>
  <si>
    <t>Bipropellant Main Engine Tank Sizing</t>
  </si>
  <si>
    <t>g0</t>
  </si>
  <si>
    <t>T</t>
  </si>
  <si>
    <t>Ppress</t>
  </si>
  <si>
    <t>Pbpress</t>
  </si>
  <si>
    <t>Pprop</t>
  </si>
  <si>
    <t>Pbprop</t>
  </si>
  <si>
    <r>
      <rPr>
        <sz val="11"/>
        <color theme="1"/>
        <rFont val="Calibri"/>
        <family val="2"/>
      </rPr>
      <t>φ</t>
    </r>
    <r>
      <rPr>
        <sz val="9.35"/>
        <color theme="1"/>
        <rFont val="Calibri"/>
        <family val="2"/>
      </rPr>
      <t>prop</t>
    </r>
  </si>
  <si>
    <r>
      <t>φ</t>
    </r>
    <r>
      <rPr>
        <sz val="9.35"/>
        <color theme="1"/>
        <rFont val="Calibri"/>
        <family val="2"/>
      </rPr>
      <t>press</t>
    </r>
  </si>
  <si>
    <t>R_</t>
  </si>
  <si>
    <t>Vp</t>
  </si>
  <si>
    <t>Rhe</t>
  </si>
  <si>
    <t>Vhe</t>
  </si>
  <si>
    <t>mhe</t>
  </si>
  <si>
    <t>mtankHE</t>
  </si>
  <si>
    <t>mtankF</t>
  </si>
  <si>
    <t>mtankO</t>
  </si>
  <si>
    <t>Monopropellant Thruster Tank Sizing</t>
  </si>
  <si>
    <t>Ppressh</t>
  </si>
  <si>
    <t>Pbpressh</t>
  </si>
  <si>
    <t>Ppropf</t>
  </si>
  <si>
    <t>Pbpropf</t>
  </si>
  <si>
    <t>Ppropi</t>
  </si>
  <si>
    <t>Pbpropi</t>
  </si>
  <si>
    <t>Vpi</t>
  </si>
  <si>
    <t>Vheh</t>
  </si>
  <si>
    <t>mheh</t>
  </si>
  <si>
    <t>mtankHEh</t>
  </si>
  <si>
    <t>mtankFh</t>
  </si>
  <si>
    <t>Part a</t>
  </si>
  <si>
    <t>Thrust Desired</t>
  </si>
  <si>
    <t>Thrust Available</t>
  </si>
  <si>
    <t>Name</t>
  </si>
  <si>
    <t>Original Mass</t>
  </si>
  <si>
    <t>Rubberized Mass</t>
  </si>
  <si>
    <t>ISP</t>
  </si>
  <si>
    <t>Part b</t>
  </si>
  <si>
    <t>Part c</t>
  </si>
  <si>
    <t>Level 2</t>
  </si>
  <si>
    <t>Element</t>
  </si>
  <si>
    <t>Level 3</t>
  </si>
  <si>
    <t>CBE</t>
  </si>
  <si>
    <t>Cont.</t>
  </si>
  <si>
    <t>Allocated</t>
  </si>
  <si>
    <t>Level 1</t>
  </si>
  <si>
    <t>1.0 Payload</t>
  </si>
  <si>
    <t xml:space="preserve">       1.1 Huygens Probe</t>
  </si>
  <si>
    <t>--</t>
  </si>
  <si>
    <t xml:space="preserve">       1.2 Radio Frequency Instrument (RFIS)</t>
  </si>
  <si>
    <t xml:space="preserve">       1.3 Magnetometer (MAG)</t>
  </si>
  <si>
    <t xml:space="preserve">       1.4 Visible &amp; Infrared Mapping Spectrometer (VIMS)</t>
  </si>
  <si>
    <t xml:space="preserve">       1.5 Narrow Angle Camera (NAC)</t>
  </si>
  <si>
    <t xml:space="preserve">       1.6 Wide Angle Camera (WAC)</t>
  </si>
  <si>
    <t xml:space="preserve">       1.7Radio and Plasma Wave Science (RPWS)</t>
  </si>
  <si>
    <t xml:space="preserve">       1.8 Ion and Neutral Mass Spectrometer (INCA)</t>
  </si>
  <si>
    <t xml:space="preserve">       1.9 Magnetospheric Imaging Instrument (MIMI)</t>
  </si>
  <si>
    <t xml:space="preserve">       1.10 Cosmic Dust Analyzer (CDA)</t>
  </si>
  <si>
    <t xml:space="preserve">       1.11 Cassini Radar</t>
  </si>
  <si>
    <t xml:space="preserve">       1.12 Cassini Plasma Spectrometer (CAPS)</t>
  </si>
  <si>
    <t xml:space="preserve">       1.13 Ultraviolet Imaging Spectrograph (UVIS)</t>
  </si>
  <si>
    <t xml:space="preserve">       1.14 Composite Infrared Spectrometer (CIRS)</t>
  </si>
  <si>
    <t xml:space="preserve">       1.15 Science Calibration Subsystem</t>
  </si>
  <si>
    <t>2.0 Spacecraft Bus (dry)</t>
  </si>
  <si>
    <t xml:space="preserve">       2.1 Propulsion</t>
  </si>
  <si>
    <t xml:space="preserve">              2.1.1 Propulsion Structure</t>
  </si>
  <si>
    <t xml:space="preserve">              2.1.3 Attitude Control Thrusters</t>
  </si>
  <si>
    <t xml:space="preserve">       2.2 ADCS</t>
  </si>
  <si>
    <t xml:space="preserve">       2.3 Communications</t>
  </si>
  <si>
    <t xml:space="preserve">       2.4 C&amp;DH</t>
  </si>
  <si>
    <t xml:space="preserve">       2.5 Power</t>
  </si>
  <si>
    <t xml:space="preserve">       2.6 Structure</t>
  </si>
  <si>
    <t xml:space="preserve">       2.7 Thermal Control System</t>
  </si>
  <si>
    <t>3.0 Spacecraft Dry Mass</t>
  </si>
  <si>
    <t>4.0 Consumables</t>
  </si>
  <si>
    <t>5.0 Propellant</t>
  </si>
  <si>
    <t xml:space="preserve">       5.1 Biprop. Fuel (MMH) Mass</t>
  </si>
  <si>
    <t xml:space="preserve">       5.2 Biprop. Oxidizer (NTO) Mass</t>
  </si>
  <si>
    <t xml:space="preserve">       5.3 Monoprop. Hydrazine Mass</t>
  </si>
  <si>
    <t>6.0 Loaded Mass</t>
  </si>
  <si>
    <t>7.0 Kick Stage</t>
  </si>
  <si>
    <t>8.0 Injected Mass</t>
  </si>
  <si>
    <t>9.0 Launch Vehicle Adapter</t>
  </si>
  <si>
    <t>10.0 Boosted Mass</t>
  </si>
  <si>
    <t>11.0 Margin</t>
  </si>
  <si>
    <t>12.0 Total Launch Vehicle Capacity (@ C3=16.6 km2/s2)</t>
  </si>
  <si>
    <t>Part d</t>
  </si>
  <si>
    <t>%Mass Margin:</t>
  </si>
  <si>
    <t>Part e</t>
  </si>
  <si>
    <t>Part f</t>
  </si>
  <si>
    <t>Part g</t>
  </si>
  <si>
    <r>
      <rPr>
        <sz val="11"/>
        <color theme="1"/>
        <rFont val="Calibri"/>
        <family val="2"/>
      </rPr>
      <t xml:space="preserve">ΔM Propulsion </t>
    </r>
    <r>
      <rPr>
        <sz val="11"/>
        <color theme="1"/>
        <rFont val="Calibri"/>
        <family val="2"/>
        <scheme val="minor"/>
      </rPr>
      <t xml:space="preserve">CBE </t>
    </r>
  </si>
  <si>
    <t>ΔM He</t>
  </si>
  <si>
    <t>%Error</t>
  </si>
  <si>
    <t xml:space="preserve">              2.1.2 Main Engine</t>
  </si>
  <si>
    <t xml:space="preserve">              2.1.4 MMH Tank </t>
  </si>
  <si>
    <t xml:space="preserve">              2.1.5 N2O4 (NTO)Tank</t>
  </si>
  <si>
    <t xml:space="preserve">              2.1.6 N2H4 (Hydrazine) Tank</t>
  </si>
  <si>
    <t xml:space="preserve">              2.1.7 Biprop. Helium Tank</t>
  </si>
  <si>
    <t xml:space="preserve">              2.1.8 Monoprop. Helium Tank</t>
  </si>
  <si>
    <t xml:space="preserve">              2.1.9 Biprop. Helium Pressurant</t>
  </si>
  <si>
    <t xml:space="preserve">              2.1.10 Monoprop. Helium Pressurant</t>
  </si>
  <si>
    <t xml:space="preserve">              2.1.11 Lines/Valves/Other</t>
  </si>
  <si>
    <t>445 N</t>
  </si>
  <si>
    <t>503 N</t>
  </si>
  <si>
    <t>TR-312-100MN</t>
  </si>
  <si>
    <t>4.76 kg</t>
  </si>
  <si>
    <t>322 s</t>
  </si>
  <si>
    <t>1.3 N</t>
  </si>
  <si>
    <t>MR-111C</t>
  </si>
  <si>
    <t>0.33 kg</t>
  </si>
  <si>
    <t>215 s</t>
  </si>
  <si>
    <t>1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</si>
</sst>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\ &quot;kg&quot;"/>
    <numFmt numFmtId="165" formatCode="0.00\ &quot;kg&quot;"/>
    <numFmt numFmtId="166" formatCode="0.00\ &quot;J/kmole-K&quot;"/>
    <numFmt numFmtId="167" formatCode="0.00\ &quot;J/kg-K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1" xfId="0" applyNumberFormat="1" applyBorder="1"/>
    <xf numFmtId="0" fontId="0" fillId="0" borderId="0" xfId="0" quotePrefix="1" applyAlignment="1">
      <alignment horizontal="center"/>
    </xf>
    <xf numFmtId="0" fontId="0" fillId="0" borderId="0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2" xfId="0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96"/>
  <sheetViews>
    <sheetView tabSelected="1" workbookViewId="0">
      <selection activeCell="B21" sqref="B21:I72"/>
    </sheetView>
  </sheetViews>
  <sheetFormatPr baseColWidth="10" defaultColWidth="8.83203125" defaultRowHeight="14" x14ac:dyDescent="0"/>
  <cols>
    <col min="2" max="2" width="19.1640625" customWidth="1"/>
    <col min="3" max="3" width="17.5" customWidth="1"/>
    <col min="4" max="4" width="15.6640625" customWidth="1"/>
    <col min="5" max="5" width="14.83203125" customWidth="1"/>
    <col min="6" max="6" width="16.33203125" customWidth="1"/>
    <col min="10" max="10" width="10.5" customWidth="1"/>
    <col min="12" max="12" width="12.1640625" bestFit="1" customWidth="1"/>
    <col min="18" max="18" width="15.1640625" bestFit="1" customWidth="1"/>
  </cols>
  <sheetData>
    <row r="1" spans="1:18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J1" s="2"/>
      <c r="K1" s="2"/>
      <c r="L1" s="31" t="s">
        <v>6</v>
      </c>
      <c r="M1" s="32"/>
      <c r="N1" s="32"/>
      <c r="O1" s="32"/>
      <c r="P1" s="2"/>
      <c r="Q1" s="2"/>
      <c r="R1" s="2"/>
    </row>
    <row r="2" spans="1:18">
      <c r="A2">
        <v>1.64</v>
      </c>
      <c r="B2">
        <v>1.72</v>
      </c>
      <c r="C2">
        <f>(1/1000000)*21.26*L6*K3</f>
        <v>13.257326745</v>
      </c>
      <c r="E2">
        <v>0.7</v>
      </c>
      <c r="F2">
        <v>0.2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4" t="s">
        <v>13</v>
      </c>
      <c r="Q2" s="4" t="s">
        <v>14</v>
      </c>
      <c r="R2" s="4" t="s">
        <v>15</v>
      </c>
    </row>
    <row r="3" spans="1:18">
      <c r="J3">
        <v>9.81</v>
      </c>
      <c r="K3">
        <v>300</v>
      </c>
      <c r="L3">
        <v>23.72</v>
      </c>
      <c r="M3">
        <f>2*L3</f>
        <v>47.44</v>
      </c>
      <c r="N3">
        <v>1.72</v>
      </c>
      <c r="O3">
        <f>1.35*N3</f>
        <v>2.3220000000000001</v>
      </c>
      <c r="P3">
        <v>5000</v>
      </c>
      <c r="Q3">
        <v>10000</v>
      </c>
      <c r="R3" s="35">
        <v>8314.41</v>
      </c>
    </row>
    <row r="5" spans="1:18">
      <c r="K5" s="5" t="s">
        <v>16</v>
      </c>
      <c r="L5" s="5" t="s">
        <v>17</v>
      </c>
      <c r="M5" s="5" t="s">
        <v>18</v>
      </c>
      <c r="N5" s="5" t="s">
        <v>19</v>
      </c>
    </row>
    <row r="6" spans="1:18">
      <c r="A6" s="11" t="s">
        <v>35</v>
      </c>
      <c r="B6" s="11" t="s">
        <v>36</v>
      </c>
      <c r="C6" s="11" t="s">
        <v>37</v>
      </c>
      <c r="D6" s="11" t="s">
        <v>38</v>
      </c>
      <c r="E6" s="11" t="s">
        <v>39</v>
      </c>
      <c r="F6" s="11" t="s">
        <v>40</v>
      </c>
      <c r="G6" s="11" t="s">
        <v>41</v>
      </c>
      <c r="K6">
        <f>H63/DenNTO + H62/DenMMH</f>
        <v>2.5945581814730447</v>
      </c>
      <c r="L6" s="36">
        <f>R3/4</f>
        <v>2078.6025</v>
      </c>
      <c r="M6">
        <f>(C2*K6)/(L3-C2)</f>
        <v>3.2875828894172194</v>
      </c>
      <c r="N6">
        <f>(100000*L3*M6)/(L6*K3)</f>
        <v>12.505431916712702</v>
      </c>
    </row>
    <row r="7" spans="1:18">
      <c r="B7" t="s">
        <v>108</v>
      </c>
      <c r="C7" t="s">
        <v>109</v>
      </c>
      <c r="D7" t="s">
        <v>110</v>
      </c>
      <c r="E7" t="s">
        <v>111</v>
      </c>
      <c r="F7" s="34">
        <f>445/(503/4.76)</f>
        <v>4.2111332007952278</v>
      </c>
      <c r="G7" t="s">
        <v>112</v>
      </c>
    </row>
    <row r="8" spans="1:18">
      <c r="B8" t="s">
        <v>117</v>
      </c>
      <c r="C8" t="s">
        <v>113</v>
      </c>
      <c r="D8" t="s">
        <v>114</v>
      </c>
      <c r="E8" t="s">
        <v>115</v>
      </c>
      <c r="F8" s="34">
        <f>(1)/(1.3/0.33)</f>
        <v>0.25384615384615383</v>
      </c>
      <c r="G8" t="s">
        <v>116</v>
      </c>
      <c r="K8" s="6" t="s">
        <v>20</v>
      </c>
      <c r="L8" s="6" t="s">
        <v>21</v>
      </c>
      <c r="M8" s="6" t="s">
        <v>22</v>
      </c>
    </row>
    <row r="9" spans="1:18">
      <c r="K9">
        <f>(100000*M3*M6)/(J3*Q3)</f>
        <v>158.98362107436583</v>
      </c>
      <c r="L9">
        <f>(1000000*O3*K6)/(J3*P3)</f>
        <v>122.82495611376983</v>
      </c>
      <c r="M9" s="21">
        <f>(A2*1000000*O3*K6)/(J3*P3)</f>
        <v>201.43292802658252</v>
      </c>
    </row>
    <row r="12" spans="1:18">
      <c r="J12" s="31" t="s">
        <v>23</v>
      </c>
      <c r="K12" s="31"/>
      <c r="L12" s="31"/>
      <c r="M12" s="31"/>
      <c r="N12" s="7"/>
      <c r="O12" s="7"/>
    </row>
    <row r="13" spans="1:18">
      <c r="A13" s="12" t="s">
        <v>42</v>
      </c>
      <c r="J13" s="8" t="s">
        <v>24</v>
      </c>
      <c r="K13" s="8" t="s">
        <v>25</v>
      </c>
      <c r="L13" s="8" t="s">
        <v>26</v>
      </c>
      <c r="M13" s="8" t="s">
        <v>27</v>
      </c>
      <c r="N13" s="8" t="s">
        <v>28</v>
      </c>
      <c r="O13" s="8" t="s">
        <v>29</v>
      </c>
    </row>
    <row r="14" spans="1:18">
      <c r="J14">
        <v>16.27</v>
      </c>
      <c r="K14">
        <f>2*J14</f>
        <v>32.54</v>
      </c>
      <c r="L14">
        <v>1.3</v>
      </c>
      <c r="M14">
        <f>1.35*L14</f>
        <v>1.7550000000000001</v>
      </c>
      <c r="N14">
        <v>2.5299999999999998</v>
      </c>
      <c r="O14">
        <f>1.35*N14</f>
        <v>3.4154999999999998</v>
      </c>
    </row>
    <row r="16" spans="1:18">
      <c r="K16" s="9" t="s">
        <v>30</v>
      </c>
      <c r="L16" s="9" t="s">
        <v>31</v>
      </c>
      <c r="M16" s="9" t="s">
        <v>32</v>
      </c>
    </row>
    <row r="17" spans="1:13">
      <c r="K17">
        <f>H64/DenHy</f>
        <v>0.1306930693069307</v>
      </c>
      <c r="L17">
        <f>(C2*K17)/(J14-C2)</f>
        <v>0.57511737133568153</v>
      </c>
      <c r="M17">
        <f>(100000*J14*L17)/(L6*K3)</f>
        <v>1.5005529968061937</v>
      </c>
    </row>
    <row r="20" spans="1:13">
      <c r="A20" s="13" t="s">
        <v>43</v>
      </c>
      <c r="K20" s="10" t="s">
        <v>33</v>
      </c>
      <c r="L20" s="10" t="s">
        <v>34</v>
      </c>
    </row>
    <row r="21" spans="1:13" ht="15" thickBot="1">
      <c r="B21" s="22"/>
      <c r="C21" s="22"/>
      <c r="D21" s="22"/>
      <c r="E21" s="22"/>
      <c r="F21" s="22"/>
      <c r="G21" s="22"/>
      <c r="H21" s="22"/>
      <c r="I21" s="22"/>
      <c r="K21">
        <f>(100000*K14*L17)/(J3*Q3)</f>
        <v>19.076778046139733</v>
      </c>
      <c r="L21">
        <f>(1000000*O14*K17)/(J3*P3)</f>
        <v>9.1005540921064583</v>
      </c>
    </row>
    <row r="22" spans="1:13" ht="16" thickTop="1" thickBot="1">
      <c r="B22" s="21"/>
      <c r="C22" s="21"/>
      <c r="D22" s="21"/>
      <c r="E22" s="21"/>
      <c r="F22" s="33" t="s">
        <v>44</v>
      </c>
      <c r="G22" s="33"/>
      <c r="H22" s="33"/>
      <c r="I22" s="21"/>
    </row>
    <row r="23" spans="1:13" ht="15" thickBot="1">
      <c r="B23" s="23" t="s">
        <v>45</v>
      </c>
      <c r="C23" s="23"/>
      <c r="D23" s="23"/>
      <c r="E23" s="23" t="s">
        <v>46</v>
      </c>
      <c r="F23" s="23" t="s">
        <v>47</v>
      </c>
      <c r="G23" s="23" t="s">
        <v>48</v>
      </c>
      <c r="H23" s="23" t="s">
        <v>49</v>
      </c>
      <c r="I23" s="23" t="s">
        <v>50</v>
      </c>
    </row>
    <row r="24" spans="1:13">
      <c r="B24" s="21" t="s">
        <v>51</v>
      </c>
      <c r="C24" s="21"/>
      <c r="D24" s="21"/>
      <c r="E24" s="21"/>
      <c r="F24" s="21"/>
      <c r="G24" s="21"/>
      <c r="H24" s="21"/>
      <c r="I24" s="25">
        <v>688.39999999999986</v>
      </c>
    </row>
    <row r="25" spans="1:13">
      <c r="B25" s="21" t="s">
        <v>52</v>
      </c>
      <c r="C25" s="21"/>
      <c r="D25" s="21"/>
      <c r="E25" s="21"/>
      <c r="F25" s="27" t="s">
        <v>53</v>
      </c>
      <c r="G25" s="27" t="s">
        <v>53</v>
      </c>
      <c r="H25" s="25">
        <v>350</v>
      </c>
      <c r="I25" s="21"/>
    </row>
    <row r="26" spans="1:13">
      <c r="B26" s="21" t="s">
        <v>54</v>
      </c>
      <c r="C26" s="21"/>
      <c r="D26" s="21"/>
      <c r="E26" s="21"/>
      <c r="F26" s="27" t="s">
        <v>53</v>
      </c>
      <c r="G26" s="27" t="s">
        <v>53</v>
      </c>
      <c r="H26" s="25">
        <v>14.4</v>
      </c>
      <c r="I26" s="21"/>
    </row>
    <row r="27" spans="1:13">
      <c r="B27" s="21" t="s">
        <v>55</v>
      </c>
      <c r="C27" s="21"/>
      <c r="D27" s="21"/>
      <c r="E27" s="21"/>
      <c r="F27" s="27" t="s">
        <v>53</v>
      </c>
      <c r="G27" s="27" t="s">
        <v>53</v>
      </c>
      <c r="H27" s="25">
        <v>8.8000000000000007</v>
      </c>
      <c r="I27" s="21"/>
    </row>
    <row r="28" spans="1:13">
      <c r="B28" s="21" t="s">
        <v>56</v>
      </c>
      <c r="C28" s="21"/>
      <c r="D28" s="21"/>
      <c r="E28" s="21"/>
      <c r="F28" s="27" t="s">
        <v>53</v>
      </c>
      <c r="G28" s="27" t="s">
        <v>53</v>
      </c>
      <c r="H28" s="25">
        <v>37.1</v>
      </c>
      <c r="I28" s="21"/>
    </row>
    <row r="29" spans="1:13">
      <c r="B29" s="21" t="s">
        <v>57</v>
      </c>
      <c r="C29" s="21"/>
      <c r="D29" s="21"/>
      <c r="E29" s="21"/>
      <c r="F29" s="27" t="s">
        <v>53</v>
      </c>
      <c r="G29" s="27" t="s">
        <v>53</v>
      </c>
      <c r="H29" s="25">
        <v>30.6</v>
      </c>
      <c r="I29" s="21"/>
    </row>
    <row r="30" spans="1:13">
      <c r="B30" s="21" t="s">
        <v>58</v>
      </c>
      <c r="C30" s="21"/>
      <c r="D30" s="21"/>
      <c r="E30" s="21"/>
      <c r="F30" s="27" t="s">
        <v>53</v>
      </c>
      <c r="G30" s="27" t="s">
        <v>53</v>
      </c>
      <c r="H30" s="25">
        <v>25.9</v>
      </c>
      <c r="I30" s="21"/>
    </row>
    <row r="31" spans="1:13">
      <c r="B31" s="21" t="s">
        <v>59</v>
      </c>
      <c r="C31" s="21"/>
      <c r="D31" s="21"/>
      <c r="E31" s="21"/>
      <c r="F31" s="27" t="s">
        <v>53</v>
      </c>
      <c r="G31" s="27" t="s">
        <v>53</v>
      </c>
      <c r="H31" s="25">
        <v>37.700000000000003</v>
      </c>
      <c r="I31" s="21"/>
    </row>
    <row r="32" spans="1:13">
      <c r="B32" s="21" t="s">
        <v>60</v>
      </c>
      <c r="C32" s="21"/>
      <c r="D32" s="21"/>
      <c r="E32" s="21"/>
      <c r="F32" s="27" t="s">
        <v>53</v>
      </c>
      <c r="G32" s="27" t="s">
        <v>53</v>
      </c>
      <c r="H32" s="25">
        <v>10.3</v>
      </c>
      <c r="I32" s="21"/>
    </row>
    <row r="33" spans="2:9">
      <c r="B33" s="21" t="s">
        <v>61</v>
      </c>
      <c r="C33" s="21"/>
      <c r="D33" s="21"/>
      <c r="E33" s="21"/>
      <c r="F33" s="27" t="s">
        <v>53</v>
      </c>
      <c r="G33" s="27" t="s">
        <v>53</v>
      </c>
      <c r="H33" s="25">
        <v>29</v>
      </c>
      <c r="I33" s="21"/>
    </row>
    <row r="34" spans="2:9">
      <c r="B34" s="21" t="s">
        <v>62</v>
      </c>
      <c r="C34" s="21"/>
      <c r="D34" s="21"/>
      <c r="E34" s="21"/>
      <c r="F34" s="27" t="s">
        <v>53</v>
      </c>
      <c r="G34" s="27" t="s">
        <v>53</v>
      </c>
      <c r="H34" s="25">
        <v>16.8</v>
      </c>
      <c r="I34" s="21"/>
    </row>
    <row r="35" spans="2:9">
      <c r="B35" s="21" t="s">
        <v>63</v>
      </c>
      <c r="C35" s="21"/>
      <c r="D35" s="21"/>
      <c r="E35" s="21"/>
      <c r="F35" s="27" t="s">
        <v>53</v>
      </c>
      <c r="G35" s="27" t="s">
        <v>53</v>
      </c>
      <c r="H35" s="25">
        <v>43.3</v>
      </c>
      <c r="I35" s="21"/>
    </row>
    <row r="36" spans="2:9">
      <c r="B36" s="21" t="s">
        <v>64</v>
      </c>
      <c r="C36" s="21"/>
      <c r="D36" s="21"/>
      <c r="E36" s="21"/>
      <c r="F36" s="27" t="s">
        <v>53</v>
      </c>
      <c r="G36" s="27" t="s">
        <v>53</v>
      </c>
      <c r="H36" s="25">
        <v>23.8</v>
      </c>
      <c r="I36" s="21"/>
    </row>
    <row r="37" spans="2:9">
      <c r="B37" s="21" t="s">
        <v>65</v>
      </c>
      <c r="C37" s="21"/>
      <c r="D37" s="21"/>
      <c r="E37" s="21"/>
      <c r="F37" s="27" t="s">
        <v>53</v>
      </c>
      <c r="G37" s="27" t="s">
        <v>53</v>
      </c>
      <c r="H37" s="25">
        <v>15.5</v>
      </c>
      <c r="I37" s="21"/>
    </row>
    <row r="38" spans="2:9">
      <c r="B38" s="21" t="s">
        <v>66</v>
      </c>
      <c r="C38" s="21"/>
      <c r="D38" s="21"/>
      <c r="E38" s="21"/>
      <c r="F38" s="27" t="s">
        <v>53</v>
      </c>
      <c r="G38" s="27" t="s">
        <v>53</v>
      </c>
      <c r="H38" s="25">
        <v>43</v>
      </c>
      <c r="I38" s="21"/>
    </row>
    <row r="39" spans="2:9">
      <c r="B39" s="21" t="s">
        <v>67</v>
      </c>
      <c r="C39" s="21"/>
      <c r="D39" s="21"/>
      <c r="E39" s="21"/>
      <c r="F39" s="27" t="s">
        <v>53</v>
      </c>
      <c r="G39" s="27" t="s">
        <v>53</v>
      </c>
      <c r="H39" s="25">
        <v>2.2000000000000002</v>
      </c>
      <c r="I39" s="21"/>
    </row>
    <row r="40" spans="2:9">
      <c r="B40" s="21" t="s">
        <v>68</v>
      </c>
      <c r="C40" s="21"/>
      <c r="D40" s="21"/>
      <c r="E40" s="21"/>
      <c r="F40" s="21"/>
      <c r="G40" s="21"/>
      <c r="H40" s="21"/>
      <c r="I40" s="29">
        <f>SUM(H41:H58)</f>
        <v>2170.7134999999998</v>
      </c>
    </row>
    <row r="41" spans="2:9">
      <c r="B41" s="21" t="s">
        <v>69</v>
      </c>
      <c r="C41" s="21"/>
      <c r="D41" s="21"/>
      <c r="E41" s="21"/>
      <c r="F41" s="29">
        <f>SUM(E42:E52)</f>
        <v>791.49</v>
      </c>
      <c r="G41" s="30">
        <f>0.15*F41</f>
        <v>118.7235</v>
      </c>
      <c r="H41" s="29">
        <f>F41+G41</f>
        <v>910.21350000000007</v>
      </c>
      <c r="I41" s="28"/>
    </row>
    <row r="42" spans="2:9">
      <c r="B42" s="21" t="s">
        <v>70</v>
      </c>
      <c r="C42" s="21"/>
      <c r="D42" s="21"/>
      <c r="E42" s="25">
        <v>242.7</v>
      </c>
      <c r="F42" s="28"/>
      <c r="G42" s="28"/>
      <c r="H42" s="28"/>
      <c r="I42" s="21"/>
    </row>
    <row r="43" spans="2:9">
      <c r="B43" s="21" t="s">
        <v>99</v>
      </c>
      <c r="C43" s="21"/>
      <c r="D43" s="21"/>
      <c r="E43" s="29">
        <v>4.76</v>
      </c>
      <c r="F43" s="21"/>
      <c r="G43" s="21"/>
      <c r="H43" s="21"/>
      <c r="I43" s="21"/>
    </row>
    <row r="44" spans="2:9">
      <c r="B44" s="21" t="s">
        <v>71</v>
      </c>
      <c r="C44" s="21"/>
      <c r="D44" s="21"/>
      <c r="E44" s="29">
        <f>0.25*16</f>
        <v>4</v>
      </c>
      <c r="F44" s="21"/>
      <c r="G44" s="21"/>
      <c r="H44" s="21"/>
      <c r="I44" s="21"/>
    </row>
    <row r="45" spans="2:9">
      <c r="B45" s="21" t="s">
        <v>100</v>
      </c>
      <c r="C45" s="21"/>
      <c r="D45" s="21"/>
      <c r="E45" s="29">
        <v>122.82</v>
      </c>
      <c r="F45" s="21"/>
      <c r="G45" s="21"/>
      <c r="H45" s="21"/>
      <c r="I45" s="21"/>
    </row>
    <row r="46" spans="2:9">
      <c r="B46" s="21" t="s">
        <v>101</v>
      </c>
      <c r="C46" s="21"/>
      <c r="D46" s="21"/>
      <c r="E46" s="29">
        <v>201.4</v>
      </c>
      <c r="F46" s="21"/>
      <c r="G46" s="21"/>
      <c r="H46" s="21"/>
      <c r="I46" s="21"/>
    </row>
    <row r="47" spans="2:9">
      <c r="B47" s="21" t="s">
        <v>102</v>
      </c>
      <c r="C47" s="21"/>
      <c r="D47" s="21"/>
      <c r="E47" s="29">
        <v>15</v>
      </c>
      <c r="F47" s="21"/>
      <c r="G47" s="21"/>
      <c r="H47" s="21"/>
      <c r="I47" s="21"/>
    </row>
    <row r="48" spans="2:9">
      <c r="B48" s="21" t="s">
        <v>103</v>
      </c>
      <c r="C48" s="21"/>
      <c r="D48" s="21"/>
      <c r="E48" s="29">
        <v>158.97999999999999</v>
      </c>
      <c r="F48" s="21"/>
      <c r="G48" s="21"/>
      <c r="H48" s="21"/>
      <c r="I48" s="21"/>
    </row>
    <row r="49" spans="2:9">
      <c r="B49" s="21" t="s">
        <v>104</v>
      </c>
      <c r="C49" s="21"/>
      <c r="D49" s="21"/>
      <c r="E49" s="29">
        <v>19.07</v>
      </c>
      <c r="F49" s="21"/>
      <c r="G49" s="21"/>
      <c r="H49" s="21"/>
      <c r="I49" s="21"/>
    </row>
    <row r="50" spans="2:9">
      <c r="B50" s="21" t="s">
        <v>105</v>
      </c>
      <c r="C50" s="21"/>
      <c r="D50" s="21"/>
      <c r="E50" s="29">
        <v>12.5</v>
      </c>
      <c r="F50" s="21"/>
      <c r="G50" s="21"/>
      <c r="H50" s="21"/>
      <c r="I50" s="21"/>
    </row>
    <row r="51" spans="2:9">
      <c r="B51" s="21" t="s">
        <v>106</v>
      </c>
      <c r="C51" s="21"/>
      <c r="D51" s="21"/>
      <c r="E51" s="29">
        <v>1.5</v>
      </c>
      <c r="F51" s="21"/>
      <c r="G51" s="21"/>
      <c r="H51" s="21"/>
      <c r="I51" s="21"/>
    </row>
    <row r="52" spans="2:9">
      <c r="B52" s="21" t="s">
        <v>107</v>
      </c>
      <c r="C52" s="21"/>
      <c r="D52" s="21"/>
      <c r="E52" s="29">
        <f>E43+E44</f>
        <v>8.76</v>
      </c>
      <c r="F52" s="21"/>
      <c r="G52" s="21"/>
      <c r="H52" s="21"/>
      <c r="I52" s="21"/>
    </row>
    <row r="53" spans="2:9">
      <c r="B53" s="24" t="s">
        <v>72</v>
      </c>
      <c r="C53" s="21"/>
      <c r="D53" s="21"/>
      <c r="E53" s="21"/>
      <c r="F53" s="27" t="s">
        <v>53</v>
      </c>
      <c r="G53" s="27" t="s">
        <v>53</v>
      </c>
      <c r="H53" s="25">
        <v>150.5</v>
      </c>
      <c r="I53" s="21"/>
    </row>
    <row r="54" spans="2:9">
      <c r="B54" s="21" t="s">
        <v>73</v>
      </c>
      <c r="C54" s="21"/>
      <c r="D54" s="21"/>
      <c r="E54" s="21"/>
      <c r="F54" s="27" t="s">
        <v>53</v>
      </c>
      <c r="G54" s="27" t="s">
        <v>53</v>
      </c>
      <c r="H54" s="25">
        <v>159.6</v>
      </c>
      <c r="I54" s="21"/>
    </row>
    <row r="55" spans="2:9">
      <c r="B55" s="21" t="s">
        <v>74</v>
      </c>
      <c r="C55" s="21"/>
      <c r="D55" s="21"/>
      <c r="E55" s="21"/>
      <c r="F55" s="27" t="s">
        <v>53</v>
      </c>
      <c r="G55" s="27" t="s">
        <v>53</v>
      </c>
      <c r="H55" s="25">
        <v>60.6</v>
      </c>
      <c r="I55" s="21"/>
    </row>
    <row r="56" spans="2:9">
      <c r="B56" s="21" t="s">
        <v>75</v>
      </c>
      <c r="C56" s="21"/>
      <c r="D56" s="21"/>
      <c r="E56" s="21"/>
      <c r="F56" s="27" t="s">
        <v>53</v>
      </c>
      <c r="G56" s="27" t="s">
        <v>53</v>
      </c>
      <c r="H56" s="25">
        <v>354.2</v>
      </c>
      <c r="I56" s="21"/>
    </row>
    <row r="57" spans="2:9">
      <c r="B57" s="21" t="s">
        <v>76</v>
      </c>
      <c r="C57" s="21"/>
      <c r="D57" s="21"/>
      <c r="E57" s="21"/>
      <c r="F57" s="27" t="s">
        <v>53</v>
      </c>
      <c r="G57" s="27" t="s">
        <v>53</v>
      </c>
      <c r="H57" s="25">
        <v>455.2</v>
      </c>
      <c r="I57" s="21"/>
    </row>
    <row r="58" spans="2:9">
      <c r="B58" s="21" t="s">
        <v>77</v>
      </c>
      <c r="C58" s="21"/>
      <c r="D58" s="21"/>
      <c r="E58" s="21"/>
      <c r="F58" s="27" t="s">
        <v>53</v>
      </c>
      <c r="G58" s="27" t="s">
        <v>53</v>
      </c>
      <c r="H58" s="25">
        <v>80.400000000000006</v>
      </c>
      <c r="I58" s="21"/>
    </row>
    <row r="59" spans="2:9">
      <c r="B59" s="21" t="s">
        <v>78</v>
      </c>
      <c r="C59" s="21"/>
      <c r="D59" s="21"/>
      <c r="E59" s="21"/>
      <c r="F59" s="21"/>
      <c r="G59" s="21"/>
      <c r="H59" s="21"/>
      <c r="I59" s="29">
        <f>I24+I40</f>
        <v>2859.1134999999995</v>
      </c>
    </row>
    <row r="60" spans="2:9">
      <c r="B60" s="21" t="s">
        <v>79</v>
      </c>
      <c r="C60" s="21"/>
      <c r="D60" s="21"/>
      <c r="E60" s="21"/>
      <c r="F60" s="21"/>
      <c r="G60" s="21"/>
      <c r="H60" s="21"/>
      <c r="I60" s="25">
        <v>0</v>
      </c>
    </row>
    <row r="61" spans="2:9">
      <c r="B61" s="21" t="s">
        <v>80</v>
      </c>
      <c r="C61" s="21"/>
      <c r="D61" s="21"/>
      <c r="E61" s="21"/>
      <c r="F61" s="21"/>
      <c r="G61" s="21"/>
      <c r="H61" s="21"/>
      <c r="I61" s="25">
        <v>3139.1</v>
      </c>
    </row>
    <row r="62" spans="2:9">
      <c r="B62" s="21" t="s">
        <v>81</v>
      </c>
      <c r="C62" s="21"/>
      <c r="D62" s="21"/>
      <c r="E62" s="21"/>
      <c r="F62" s="27" t="s">
        <v>53</v>
      </c>
      <c r="G62" s="27" t="s">
        <v>53</v>
      </c>
      <c r="H62" s="25">
        <v>1139</v>
      </c>
      <c r="I62" s="21"/>
    </row>
    <row r="63" spans="2:9">
      <c r="B63" s="21" t="s">
        <v>82</v>
      </c>
      <c r="C63" s="21"/>
      <c r="D63" s="21"/>
      <c r="E63" s="21"/>
      <c r="F63" s="27" t="s">
        <v>53</v>
      </c>
      <c r="G63" s="27" t="s">
        <v>53</v>
      </c>
      <c r="H63" s="25">
        <v>1868.1</v>
      </c>
      <c r="I63" s="21"/>
    </row>
    <row r="64" spans="2:9">
      <c r="B64" s="21" t="s">
        <v>83</v>
      </c>
      <c r="C64" s="21"/>
      <c r="D64" s="21"/>
      <c r="E64" s="21"/>
      <c r="F64" s="27"/>
      <c r="G64" s="27"/>
      <c r="H64" s="25">
        <v>132</v>
      </c>
      <c r="I64" s="21"/>
    </row>
    <row r="65" spans="1:9">
      <c r="B65" s="21" t="s">
        <v>84</v>
      </c>
      <c r="C65" s="21"/>
      <c r="D65" s="21"/>
      <c r="E65" s="21"/>
      <c r="F65" s="21"/>
      <c r="G65" s="21"/>
      <c r="H65" s="21"/>
      <c r="I65" s="29">
        <f>I59+I61</f>
        <v>5998.2134999999998</v>
      </c>
    </row>
    <row r="66" spans="1:9">
      <c r="B66" s="21" t="s">
        <v>85</v>
      </c>
      <c r="C66" s="21"/>
      <c r="D66" s="21"/>
      <c r="E66" s="21"/>
      <c r="F66" s="21"/>
      <c r="G66" s="21"/>
      <c r="H66" s="21"/>
      <c r="I66" s="25">
        <v>0</v>
      </c>
    </row>
    <row r="67" spans="1:9">
      <c r="B67" s="21" t="s">
        <v>86</v>
      </c>
      <c r="C67" s="21"/>
      <c r="D67" s="21"/>
      <c r="E67" s="21"/>
      <c r="F67" s="21"/>
      <c r="G67" s="21"/>
      <c r="H67" s="21"/>
      <c r="I67" s="29">
        <f>I65</f>
        <v>5998.2134999999998</v>
      </c>
    </row>
    <row r="68" spans="1:9">
      <c r="B68" s="21" t="s">
        <v>87</v>
      </c>
      <c r="C68" s="21"/>
      <c r="D68" s="21"/>
      <c r="E68" s="21"/>
      <c r="F68" s="21"/>
      <c r="G68" s="21"/>
      <c r="H68" s="21"/>
      <c r="I68" s="25">
        <v>136</v>
      </c>
    </row>
    <row r="69" spans="1:9" s="20" customFormat="1">
      <c r="B69" s="21" t="s">
        <v>88</v>
      </c>
      <c r="C69" s="21"/>
      <c r="D69" s="21"/>
      <c r="E69" s="21"/>
      <c r="F69" s="21"/>
      <c r="G69" s="21"/>
      <c r="H69" s="21"/>
      <c r="I69" s="29">
        <f>I67+I68</f>
        <v>6134.2134999999998</v>
      </c>
    </row>
    <row r="70" spans="1:9" s="20" customFormat="1">
      <c r="B70" s="21" t="s">
        <v>89</v>
      </c>
      <c r="C70" s="21"/>
      <c r="D70" s="21"/>
      <c r="E70" s="21"/>
      <c r="F70" s="21"/>
      <c r="G70" s="21"/>
      <c r="H70" s="21"/>
      <c r="I70" s="29">
        <f>I71-I69</f>
        <v>565.78650000000016</v>
      </c>
    </row>
    <row r="71" spans="1:9" s="20" customFormat="1" ht="15" thickBot="1">
      <c r="B71" s="22" t="s">
        <v>90</v>
      </c>
      <c r="C71" s="22"/>
      <c r="D71" s="22"/>
      <c r="E71" s="22"/>
      <c r="F71" s="22"/>
      <c r="G71" s="22"/>
      <c r="H71" s="22"/>
      <c r="I71" s="26">
        <v>6700</v>
      </c>
    </row>
    <row r="72" spans="1:9" s="20" customFormat="1" ht="15" thickTop="1"/>
    <row r="73" spans="1:9">
      <c r="B73" s="19"/>
      <c r="C73" s="19"/>
      <c r="D73" s="19"/>
      <c r="E73" s="19"/>
      <c r="F73" s="19"/>
      <c r="G73" s="19"/>
      <c r="H73" s="19"/>
      <c r="I73" s="19"/>
    </row>
    <row r="75" spans="1:9">
      <c r="A75" s="14" t="s">
        <v>91</v>
      </c>
      <c r="B75" s="19" t="s">
        <v>92</v>
      </c>
      <c r="C75" s="37">
        <f>I70/I69</f>
        <v>9.2234562752013791E-2</v>
      </c>
      <c r="D75" s="19"/>
      <c r="E75" s="19"/>
      <c r="F75" s="19"/>
      <c r="G75" s="19"/>
      <c r="H75" s="19"/>
      <c r="I75" s="19"/>
    </row>
    <row r="80" spans="1:9">
      <c r="A80" s="15" t="s">
        <v>93</v>
      </c>
    </row>
    <row r="88" spans="1:3">
      <c r="A88" s="16" t="s">
        <v>94</v>
      </c>
    </row>
    <row r="93" spans="1:3">
      <c r="A93" s="17" t="s">
        <v>95</v>
      </c>
      <c r="B93" s="17"/>
      <c r="C93" s="17"/>
    </row>
    <row r="94" spans="1:3">
      <c r="A94" s="17"/>
      <c r="B94" s="17" t="s">
        <v>96</v>
      </c>
      <c r="C94" s="18" t="s">
        <v>97</v>
      </c>
    </row>
    <row r="96" spans="1:3">
      <c r="B96" s="19" t="s">
        <v>98</v>
      </c>
      <c r="C96" s="19" t="s">
        <v>98</v>
      </c>
    </row>
  </sheetData>
  <mergeCells count="3">
    <mergeCell ref="L1:O1"/>
    <mergeCell ref="J12:M12"/>
    <mergeCell ref="F22:H2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Martimus</dc:creator>
  <cp:lastModifiedBy>Zachary Tschirhart</cp:lastModifiedBy>
  <dcterms:created xsi:type="dcterms:W3CDTF">2013-09-12T18:03:52Z</dcterms:created>
  <dcterms:modified xsi:type="dcterms:W3CDTF">2013-09-26T12:26:56Z</dcterms:modified>
</cp:coreProperties>
</file>