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3613"/>
  <workbookPr autoCompressPictures="0"/>
  <bookViews>
    <workbookView xWindow="0" yWindow="0" windowWidth="14400" windowHeight="16040"/>
  </bookViews>
  <sheets>
    <sheet name="Sheet1" sheetId="1" r:id="rId1"/>
    <sheet name="Sheet2" sheetId="2" r:id="rId2"/>
    <sheet name="Sheet3" sheetId="3" r:id="rId3"/>
  </sheets>
  <calcPr calcId="140001" iterate="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86" i="1" l="1"/>
  <c r="F85" i="1"/>
  <c r="E53" i="1"/>
  <c r="G110" i="1"/>
  <c r="E111" i="1"/>
  <c r="F111" i="1"/>
  <c r="G111" i="1"/>
  <c r="G81" i="1"/>
  <c r="E108" i="1"/>
  <c r="F108" i="1"/>
  <c r="G108" i="1"/>
  <c r="F110" i="1"/>
  <c r="E110" i="1"/>
  <c r="F82" i="1"/>
  <c r="H81" i="1"/>
  <c r="I81" i="1"/>
  <c r="P4" i="1"/>
  <c r="P3" i="1"/>
  <c r="E31" i="1"/>
  <c r="E35" i="1"/>
  <c r="E36" i="1"/>
  <c r="F48" i="1"/>
  <c r="F47" i="1"/>
  <c r="O3" i="1"/>
  <c r="F46" i="1"/>
  <c r="F45" i="1"/>
  <c r="F44" i="1"/>
  <c r="F43" i="1"/>
  <c r="F41" i="1"/>
  <c r="E18" i="1"/>
  <c r="N3" i="1"/>
  <c r="E24" i="1"/>
  <c r="E28" i="1"/>
  <c r="E27" i="1"/>
  <c r="E23" i="1"/>
  <c r="E17" i="1"/>
  <c r="E14" i="1"/>
  <c r="E13" i="1"/>
  <c r="F3" i="1"/>
  <c r="E3" i="1"/>
  <c r="E52" i="1"/>
  <c r="J78" i="1"/>
  <c r="G87" i="1"/>
  <c r="H87" i="1"/>
  <c r="I87" i="1"/>
  <c r="J91" i="1"/>
  <c r="J97" i="1"/>
  <c r="J99" i="1"/>
  <c r="J101" i="1"/>
  <c r="J102" i="1"/>
  <c r="E109" i="1"/>
  <c r="F109" i="1"/>
  <c r="G109" i="1"/>
</calcChain>
</file>

<file path=xl/sharedStrings.xml><?xml version="1.0" encoding="utf-8"?>
<sst xmlns="http://schemas.openxmlformats.org/spreadsheetml/2006/main" count="154" uniqueCount="110">
  <si>
    <t>c</t>
  </si>
  <si>
    <t>k</t>
  </si>
  <si>
    <t>dsc</t>
  </si>
  <si>
    <t>ddsn</t>
  </si>
  <si>
    <t>f</t>
  </si>
  <si>
    <t>λ</t>
  </si>
  <si>
    <t>αsc</t>
  </si>
  <si>
    <t>ηcomm</t>
  </si>
  <si>
    <t>θbw</t>
  </si>
  <si>
    <t>αdsn</t>
  </si>
  <si>
    <t>R</t>
  </si>
  <si>
    <t>AU</t>
  </si>
  <si>
    <t>Ts</t>
  </si>
  <si>
    <t>La</t>
  </si>
  <si>
    <t>B</t>
  </si>
  <si>
    <t>Lθ</t>
  </si>
  <si>
    <t>θ</t>
  </si>
  <si>
    <t>Part a)</t>
  </si>
  <si>
    <t>Assumptions:</t>
  </si>
  <si>
    <t>Part b)</t>
  </si>
  <si>
    <t>Gtrans</t>
  </si>
  <si>
    <t>Gain s/c:</t>
  </si>
  <si>
    <t>Grec</t>
  </si>
  <si>
    <t>Gain DSN:</t>
  </si>
  <si>
    <t>EbNoreq</t>
  </si>
  <si>
    <t>I</t>
  </si>
  <si>
    <t>Margin</t>
  </si>
  <si>
    <t>Ls</t>
  </si>
  <si>
    <r>
      <t>Pin = k*EbNo*Ts*B/(ηcomm*Gtrans*Ls*La*L</t>
    </r>
    <r>
      <rPr>
        <sz val="11"/>
        <color theme="1"/>
        <rFont val="Calibri"/>
        <family val="2"/>
      </rPr>
      <t>θ*Grec)</t>
    </r>
  </si>
  <si>
    <t>Pin</t>
  </si>
  <si>
    <r>
      <t>EbNo=(Pin*ηcomm*Gtrans*Ls*La*L</t>
    </r>
    <r>
      <rPr>
        <sz val="11"/>
        <color theme="1"/>
        <rFont val="Calibri"/>
        <family val="2"/>
      </rPr>
      <t>θ*Grec)/( k*Ts*B)</t>
    </r>
  </si>
  <si>
    <t>EbNo</t>
  </si>
  <si>
    <t>Part c)</t>
  </si>
  <si>
    <t>Comm System</t>
  </si>
  <si>
    <t>1.0 S/C Antenna Gain</t>
  </si>
  <si>
    <t xml:space="preserve">       1.1 High Gain</t>
  </si>
  <si>
    <t xml:space="preserve">       1.2 Low Gain</t>
  </si>
  <si>
    <t>2.0 DSN Antenna Gain</t>
  </si>
  <si>
    <t>3.0 Comm Subsystem Input Power</t>
  </si>
  <si>
    <t>4.0 RF Power Tx by S/C</t>
  </si>
  <si>
    <t>5.0 RF Power Rc by DSN</t>
  </si>
  <si>
    <t>6.0 C/N</t>
  </si>
  <si>
    <t>7.0 Eb/No</t>
  </si>
  <si>
    <t>Part d)</t>
  </si>
  <si>
    <t>C&amp;DH System</t>
  </si>
  <si>
    <t>Each</t>
  </si>
  <si>
    <t>1.0 Mass</t>
  </si>
  <si>
    <t>2.0 Power</t>
  </si>
  <si>
    <t>Level 2</t>
  </si>
  <si>
    <t>Element</t>
  </si>
  <si>
    <t>Level 3</t>
  </si>
  <si>
    <t>CBE</t>
  </si>
  <si>
    <t>Cont.</t>
  </si>
  <si>
    <t>Allocated</t>
  </si>
  <si>
    <t>Level 1</t>
  </si>
  <si>
    <t>1.0 Payload</t>
  </si>
  <si>
    <t xml:space="preserve">       1.1 Huygens Probe</t>
  </si>
  <si>
    <t>--</t>
  </si>
  <si>
    <t xml:space="preserve">       1.2 Radio Frequency Instrument (RFIS)</t>
  </si>
  <si>
    <t xml:space="preserve">       1.3 Magnetometer (MAG)</t>
  </si>
  <si>
    <t xml:space="preserve">       1.4 Visible &amp; Infrared Mapping Spectrometer (VIMS)</t>
  </si>
  <si>
    <t xml:space="preserve">       1.5 Narrow Angle Camera (NAC)</t>
  </si>
  <si>
    <t xml:space="preserve">       1.6 Wide Angle Camera (WAC)</t>
  </si>
  <si>
    <t xml:space="preserve">       1.7Radio and Plasma Wave Science (RPWS)</t>
  </si>
  <si>
    <t xml:space="preserve">       1.8 Ion and Neutral Mass Spectrometer (INCA)</t>
  </si>
  <si>
    <t xml:space="preserve">       1.9 Magnetospheric Imaging Instrument (MIMI)</t>
  </si>
  <si>
    <t xml:space="preserve">       1.10 Cosmic Dust Analyzer (CDA)</t>
  </si>
  <si>
    <t xml:space="preserve">       1.11 Cassini Radar</t>
  </si>
  <si>
    <t xml:space="preserve">       1.12 Cassini Plasma Spectrometer (CAPS)</t>
  </si>
  <si>
    <t xml:space="preserve">       1.13 Ultraviolet Imaging Spectrograph (UVIS)</t>
  </si>
  <si>
    <t xml:space="preserve">       1.14 Composite Infrared Spectrometer (CIRS)</t>
  </si>
  <si>
    <t xml:space="preserve">       1.15 Science Calibration Subsystem</t>
  </si>
  <si>
    <t>2.0 Spacecraft Bus (dry)</t>
  </si>
  <si>
    <t xml:space="preserve">       2.1 Propulsion</t>
  </si>
  <si>
    <t xml:space="preserve">       2.2 ADCS</t>
  </si>
  <si>
    <t xml:space="preserve">       2.3 Communications</t>
  </si>
  <si>
    <t xml:space="preserve">              2.3.1 Low/Medium Gain Antennas</t>
  </si>
  <si>
    <t xml:space="preserve">              2.3.2 High Gain Antennas</t>
  </si>
  <si>
    <t xml:space="preserve">              2.3.3 Transponders</t>
  </si>
  <si>
    <t xml:space="preserve">              2.3.4 Diplexers</t>
  </si>
  <si>
    <t xml:space="preserve">              2.3.5 RF switches, cables, TWTA, etc.</t>
  </si>
  <si>
    <t xml:space="preserve">       2.4 C&amp;DH</t>
  </si>
  <si>
    <t xml:space="preserve">       2.5 Power</t>
  </si>
  <si>
    <t xml:space="preserve">       2.6 Structure</t>
  </si>
  <si>
    <t xml:space="preserve">       2.7 Thermal Control System</t>
  </si>
  <si>
    <t>3.0 Spacecraft Dry Mass</t>
  </si>
  <si>
    <t>4.0 Consumables</t>
  </si>
  <si>
    <t>5.0 Propellant</t>
  </si>
  <si>
    <t xml:space="preserve">       5.1 Biprop. Fuel (MMH) Mass</t>
  </si>
  <si>
    <t xml:space="preserve">       5.2 Biprop. Oxidizer (NTO) Mass</t>
  </si>
  <si>
    <t xml:space="preserve">       5.3 Monoprop. Hydrazine Mass</t>
  </si>
  <si>
    <t>6.0 Loaded Mass</t>
  </si>
  <si>
    <t>7.0 Kick Stage</t>
  </si>
  <si>
    <t>8.0 Injected Mass</t>
  </si>
  <si>
    <t>9.0 Launch Vehicle Adapter</t>
  </si>
  <si>
    <t>10.0 Boosted Mass</t>
  </si>
  <si>
    <t>11.0 Margin</t>
  </si>
  <si>
    <t>12.0 Total Launch Vehicle Capacity (@ C3=16.6 km2/s2)</t>
  </si>
  <si>
    <t>Part e)</t>
  </si>
  <si>
    <t>Part f)</t>
  </si>
  <si>
    <t>Acutal Cassini</t>
  </si>
  <si>
    <t>Estimated Cassini</t>
  </si>
  <si>
    <t>Difference</t>
  </si>
  <si>
    <t>% error</t>
  </si>
  <si>
    <t>Comm Subsystem</t>
  </si>
  <si>
    <t>C&amp;DH Subsystem</t>
  </si>
  <si>
    <t>Comm Power</t>
  </si>
  <si>
    <t>C&amp;DH Power</t>
  </si>
  <si>
    <t>Low-gain antenna has a typical gain of 1.5 dB</t>
  </si>
  <si>
    <t>High-gain antenna half-power beamwidth is 3 degrees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</si>
</sst>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9">
    <numFmt numFmtId="164" formatCode="0.0\ &quot;kg&quot;"/>
    <numFmt numFmtId="165" formatCode="0.00\ &quot;m/s&quot;"/>
    <numFmt numFmtId="166" formatCode="0.00\ &quot;kg&quot;"/>
    <numFmt numFmtId="167" formatCode="0.00E+00\ &quot;m/s&quot;"/>
    <numFmt numFmtId="168" formatCode="0.00E+00\ &quot;J/K&quot;"/>
    <numFmt numFmtId="169" formatCode="0.00\ &quot;m&quot;"/>
    <numFmt numFmtId="170" formatCode="0.00E+00\ &quot;Hz&quot;"/>
    <numFmt numFmtId="171" formatCode="0.00E+00\ &quot;m&quot;"/>
    <numFmt numFmtId="172" formatCode="0.00\ &quot;deg&quot;"/>
    <numFmt numFmtId="173" formatCode="0.00\ &quot;AU&quot;"/>
    <numFmt numFmtId="174" formatCode="0.00\ &quot;K&quot;"/>
    <numFmt numFmtId="175" formatCode="0.00\ &quot;dB&quot;"/>
    <numFmt numFmtId="176" formatCode="0.00E+00\ &quot;W&quot;"/>
    <numFmt numFmtId="177" formatCode="0.00\ &quot;W&quot;"/>
    <numFmt numFmtId="178" formatCode="0.0000"/>
    <numFmt numFmtId="179" formatCode="0.00\ &quot;%&quot;"/>
    <numFmt numFmtId="180" formatCode="00.00E+00\ &quot;W&quot;"/>
    <numFmt numFmtId="181" formatCode="0.00\ \W"/>
    <numFmt numFmtId="182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/>
      <right/>
      <top style="double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5"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7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/>
    <xf numFmtId="0" fontId="0" fillId="0" borderId="0" xfId="0"/>
    <xf numFmtId="0" fontId="0" fillId="0" borderId="1" xfId="0" applyBorder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0" applyNumberFormat="1"/>
    <xf numFmtId="175" fontId="0" fillId="0" borderId="0" xfId="0" applyNumberFormat="1" applyAlignment="1">
      <alignment horizontal="center"/>
    </xf>
    <xf numFmtId="11" fontId="0" fillId="0" borderId="0" xfId="0" applyNumberFormat="1" applyAlignment="1">
      <alignment horizontal="center"/>
    </xf>
    <xf numFmtId="0" fontId="0" fillId="2" borderId="0" xfId="0" applyFill="1" applyBorder="1" applyAlignment="1">
      <alignment horizontal="left" indent="2"/>
    </xf>
    <xf numFmtId="175" fontId="0" fillId="0" borderId="0" xfId="0" applyNumberFormat="1" applyAlignment="1">
      <alignment horizontal="left"/>
    </xf>
    <xf numFmtId="176" fontId="0" fillId="0" borderId="0" xfId="0" applyNumberFormat="1" applyAlignment="1">
      <alignment horizontal="left"/>
    </xf>
    <xf numFmtId="0" fontId="0" fillId="0" borderId="1" xfId="0" applyBorder="1" applyAlignment="1">
      <alignment horizontal="center"/>
    </xf>
    <xf numFmtId="175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left"/>
    </xf>
    <xf numFmtId="175" fontId="0" fillId="0" borderId="2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177" fontId="0" fillId="0" borderId="0" xfId="0" applyNumberFormat="1"/>
    <xf numFmtId="178" fontId="0" fillId="0" borderId="1" xfId="0" applyNumberFormat="1" applyBorder="1"/>
    <xf numFmtId="11" fontId="0" fillId="0" borderId="0" xfId="0" applyNumberFormat="1"/>
    <xf numFmtId="180" fontId="0" fillId="0" borderId="0" xfId="0" applyNumberFormat="1" applyAlignment="1">
      <alignment horizontal="center"/>
    </xf>
    <xf numFmtId="180" fontId="0" fillId="0" borderId="0" xfId="0" applyNumberFormat="1" applyAlignment="1">
      <alignment horizontal="left"/>
    </xf>
    <xf numFmtId="0" fontId="0" fillId="0" borderId="0" xfId="0" applyBorder="1"/>
    <xf numFmtId="178" fontId="0" fillId="0" borderId="0" xfId="0" applyNumberFormat="1" applyBorder="1"/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0" xfId="0" applyAlignment="1">
      <alignment horizontal="left"/>
    </xf>
    <xf numFmtId="164" fontId="0" fillId="0" borderId="0" xfId="0" applyNumberFormat="1"/>
    <xf numFmtId="0" fontId="0" fillId="0" borderId="0" xfId="0" quotePrefix="1" applyAlignment="1">
      <alignment horizontal="center"/>
    </xf>
    <xf numFmtId="166" fontId="0" fillId="0" borderId="0" xfId="0" applyNumberFormat="1"/>
    <xf numFmtId="166" fontId="0" fillId="0" borderId="4" xfId="0" applyNumberFormat="1" applyBorder="1"/>
    <xf numFmtId="166" fontId="0" fillId="0" borderId="4" xfId="0" quotePrefix="1" applyNumberFormat="1" applyBorder="1" applyAlignment="1">
      <alignment horizontal="center"/>
    </xf>
    <xf numFmtId="164" fontId="0" fillId="0" borderId="1" xfId="0" applyNumberFormat="1" applyBorder="1"/>
    <xf numFmtId="0" fontId="0" fillId="0" borderId="0" xfId="0" applyBorder="1"/>
    <xf numFmtId="164" fontId="0" fillId="0" borderId="4" xfId="0" applyNumberFormat="1" applyBorder="1"/>
    <xf numFmtId="0" fontId="0" fillId="0" borderId="0" xfId="0"/>
    <xf numFmtId="0" fontId="0" fillId="0" borderId="0" xfId="0"/>
    <xf numFmtId="166" fontId="0" fillId="0" borderId="0" xfId="0" applyNumberFormat="1"/>
    <xf numFmtId="177" fontId="0" fillId="0" borderId="0" xfId="0" applyNumberFormat="1"/>
    <xf numFmtId="179" fontId="0" fillId="0" borderId="0" xfId="0" applyNumberFormat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175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/>
    </xf>
    <xf numFmtId="180" fontId="0" fillId="0" borderId="0" xfId="0" applyNumberFormat="1"/>
    <xf numFmtId="175" fontId="0" fillId="0" borderId="0" xfId="0" applyNumberFormat="1" applyAlignment="1">
      <alignment horizontal="right"/>
    </xf>
    <xf numFmtId="177" fontId="0" fillId="0" borderId="0" xfId="0" applyNumberFormat="1" applyAlignment="1">
      <alignment horizontal="right"/>
    </xf>
    <xf numFmtId="175" fontId="0" fillId="0" borderId="0" xfId="0" applyNumberFormat="1" applyBorder="1" applyAlignment="1">
      <alignment horizontal="left"/>
    </xf>
    <xf numFmtId="175" fontId="0" fillId="0" borderId="1" xfId="0" applyNumberFormat="1" applyBorder="1"/>
    <xf numFmtId="181" fontId="0" fillId="0" borderId="0" xfId="0" applyNumberFormat="1"/>
    <xf numFmtId="182" fontId="0" fillId="0" borderId="0" xfId="0" applyNumberFormat="1"/>
  </cellXfs>
  <cellStyles count="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111"/>
  <sheetViews>
    <sheetView tabSelected="1" topLeftCell="A93" workbookViewId="0">
      <selection activeCell="F111" sqref="F111"/>
    </sheetView>
  </sheetViews>
  <sheetFormatPr baseColWidth="10" defaultColWidth="8.83203125" defaultRowHeight="14" x14ac:dyDescent="0"/>
  <cols>
    <col min="1" max="1" width="12.5" customWidth="1"/>
    <col min="2" max="2" width="13.83203125" customWidth="1"/>
    <col min="3" max="3" width="18.1640625" customWidth="1"/>
    <col min="4" max="4" width="15" customWidth="1"/>
    <col min="5" max="5" width="23.1640625" customWidth="1"/>
    <col min="6" max="6" width="13.33203125" customWidth="1"/>
    <col min="7" max="7" width="11.1640625" bestFit="1" customWidth="1"/>
    <col min="8" max="8" width="9.5" bestFit="1" customWidth="1"/>
    <col min="10" max="10" width="9.5" bestFit="1" customWidth="1"/>
    <col min="12" max="12" width="10.1640625" bestFit="1" customWidth="1"/>
    <col min="15" max="15" width="10.5" bestFit="1" customWidth="1"/>
  </cols>
  <sheetData>
    <row r="2" spans="1:18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2" t="s">
        <v>16</v>
      </c>
      <c r="R2" s="17"/>
    </row>
    <row r="3" spans="1:18">
      <c r="A3" s="4">
        <v>299792458</v>
      </c>
      <c r="B3" s="5">
        <v>1.38065E-23</v>
      </c>
      <c r="C3" s="6">
        <v>4</v>
      </c>
      <c r="D3" s="6">
        <v>34</v>
      </c>
      <c r="E3" s="7">
        <f>8.425*1000000000</f>
        <v>8425000000.000001</v>
      </c>
      <c r="F3" s="8">
        <f>A3/E3</f>
        <v>3.558367454005934E-2</v>
      </c>
      <c r="G3" s="9">
        <v>0.6</v>
      </c>
      <c r="H3" s="2">
        <v>0.25</v>
      </c>
      <c r="I3" s="10">
        <v>3</v>
      </c>
      <c r="J3" s="2">
        <v>0.7</v>
      </c>
      <c r="K3" s="11">
        <v>11</v>
      </c>
      <c r="L3" s="8">
        <v>149599650000</v>
      </c>
      <c r="M3" s="12">
        <v>40.5</v>
      </c>
      <c r="N3">
        <f>10^(N4/10)</f>
        <v>0.92257142715476315</v>
      </c>
      <c r="O3" s="7">
        <f>14.2*1000</f>
        <v>14200</v>
      </c>
      <c r="P3" s="57">
        <f>10^(P4/10)</f>
        <v>1</v>
      </c>
      <c r="Q3" s="10">
        <v>0</v>
      </c>
      <c r="R3" s="56"/>
    </row>
    <row r="4" spans="1:18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20">
        <v>-0.35</v>
      </c>
      <c r="O4" s="1"/>
      <c r="P4" s="13">
        <f>-12*(Q3/I3)</f>
        <v>0</v>
      </c>
      <c r="Q4" s="1"/>
      <c r="R4" s="1"/>
    </row>
    <row r="6" spans="1:18">
      <c r="C6" s="14" t="s">
        <v>17</v>
      </c>
      <c r="D6" s="14" t="s">
        <v>18</v>
      </c>
      <c r="E6" s="14"/>
      <c r="F6" s="14"/>
      <c r="G6" s="14"/>
      <c r="H6" s="14"/>
      <c r="I6" s="14"/>
      <c r="J6" s="14"/>
    </row>
    <row r="7" spans="1:18">
      <c r="D7" t="s">
        <v>108</v>
      </c>
    </row>
    <row r="8" spans="1:18">
      <c r="C8" s="14"/>
      <c r="D8" s="40" t="s">
        <v>109</v>
      </c>
      <c r="E8" s="18"/>
      <c r="F8" s="14"/>
      <c r="G8" s="14"/>
      <c r="H8" s="14"/>
      <c r="I8" s="14"/>
      <c r="J8" s="14"/>
    </row>
    <row r="11" spans="1:18">
      <c r="C11" s="16" t="s">
        <v>19</v>
      </c>
      <c r="D11" s="17"/>
      <c r="E11" s="17"/>
      <c r="F11" s="17"/>
      <c r="G11" s="17"/>
      <c r="H11" s="17"/>
      <c r="I11" s="17"/>
      <c r="J11" s="17"/>
    </row>
    <row r="12" spans="1:18">
      <c r="C12" s="17"/>
      <c r="D12" s="17"/>
      <c r="E12" s="17" t="s">
        <v>20</v>
      </c>
      <c r="F12" s="17"/>
      <c r="G12" s="17"/>
      <c r="H12" s="17"/>
      <c r="I12" s="17"/>
      <c r="J12" s="14"/>
    </row>
    <row r="13" spans="1:18">
      <c r="C13" s="17"/>
      <c r="D13" s="17" t="s">
        <v>21</v>
      </c>
      <c r="E13" s="21">
        <f>G3*(((PI()*C3)/F3)^2)</f>
        <v>74828.905273359996</v>
      </c>
      <c r="F13" s="21">
        <v>1</v>
      </c>
      <c r="G13" s="17"/>
      <c r="H13" s="17"/>
      <c r="I13" s="17"/>
      <c r="J13" s="14"/>
    </row>
    <row r="14" spans="1:18">
      <c r="C14" s="17"/>
      <c r="D14" s="17"/>
      <c r="E14" s="20">
        <f>10*LOG(E13,10)</f>
        <v>48.740693916587333</v>
      </c>
      <c r="F14" s="32"/>
      <c r="G14" s="17"/>
      <c r="H14" s="17"/>
      <c r="I14" s="17"/>
      <c r="J14" s="14"/>
    </row>
    <row r="15" spans="1:18">
      <c r="C15" s="17"/>
      <c r="D15" s="17"/>
      <c r="E15" s="17"/>
      <c r="F15" s="17"/>
      <c r="G15" s="17"/>
      <c r="H15" s="17"/>
      <c r="I15" s="17"/>
      <c r="J15" s="14"/>
    </row>
    <row r="16" spans="1:18">
      <c r="C16" s="17"/>
      <c r="D16" s="17"/>
      <c r="E16" s="17" t="s">
        <v>22</v>
      </c>
      <c r="F16" s="17"/>
      <c r="G16" s="17"/>
      <c r="H16" s="17"/>
      <c r="I16" s="17"/>
      <c r="J16" s="14"/>
    </row>
    <row r="17" spans="3:10">
      <c r="C17" s="17"/>
      <c r="D17" s="17" t="s">
        <v>23</v>
      </c>
      <c r="E17" s="21">
        <f>J3*(((PI()*D3)/F3)^2)</f>
        <v>6307453.1403336357</v>
      </c>
      <c r="F17" s="17"/>
      <c r="G17" s="17"/>
      <c r="H17" s="17"/>
      <c r="I17" s="17"/>
      <c r="J17" s="14"/>
    </row>
    <row r="18" spans="3:10">
      <c r="C18" s="17"/>
      <c r="D18" s="17"/>
      <c r="E18" s="20">
        <f>10*LOG(E17,10)</f>
        <v>67.998540327179327</v>
      </c>
      <c r="F18" s="17"/>
      <c r="G18" s="17"/>
      <c r="H18" s="17"/>
      <c r="I18" s="17"/>
      <c r="J18" s="14"/>
    </row>
    <row r="19" spans="3:10">
      <c r="C19" s="17"/>
      <c r="D19" s="17"/>
      <c r="E19" s="17"/>
      <c r="F19" s="17"/>
      <c r="G19" s="17"/>
      <c r="H19" s="17"/>
      <c r="I19" s="17"/>
      <c r="J19" s="14"/>
    </row>
    <row r="20" spans="3:10">
      <c r="C20" s="17"/>
      <c r="D20" s="17" t="s">
        <v>24</v>
      </c>
      <c r="E20" s="17" t="s">
        <v>25</v>
      </c>
      <c r="F20" s="17" t="s">
        <v>26</v>
      </c>
      <c r="G20" s="17"/>
      <c r="H20" s="17"/>
      <c r="I20" s="17"/>
      <c r="J20" s="14"/>
    </row>
    <row r="21" spans="3:10">
      <c r="C21" s="17"/>
      <c r="D21" s="20">
        <v>1</v>
      </c>
      <c r="E21" s="20">
        <v>1</v>
      </c>
      <c r="F21" s="20">
        <v>3.1</v>
      </c>
      <c r="G21" s="20"/>
      <c r="H21" s="17"/>
      <c r="I21" s="17"/>
      <c r="J21" s="14"/>
    </row>
    <row r="22" spans="3:10">
      <c r="C22" s="17"/>
      <c r="D22" s="17"/>
      <c r="E22" s="17"/>
      <c r="F22" s="17"/>
      <c r="G22" s="17"/>
      <c r="H22" s="17"/>
      <c r="I22" s="17"/>
      <c r="J22" s="14"/>
    </row>
    <row r="23" spans="3:10">
      <c r="C23" s="17"/>
      <c r="D23" s="17" t="s">
        <v>31</v>
      </c>
      <c r="E23" s="20">
        <f>SUM(D21:F21)</f>
        <v>5.0999999999999996</v>
      </c>
      <c r="F23" s="17"/>
      <c r="G23" s="17"/>
      <c r="H23" s="17"/>
      <c r="I23" s="17"/>
      <c r="J23" s="14"/>
    </row>
    <row r="24" spans="3:10">
      <c r="C24" s="17"/>
      <c r="D24" s="17"/>
      <c r="E24" s="57">
        <f>10^(E23/10)</f>
        <v>3.2359365692962836</v>
      </c>
      <c r="F24" s="17"/>
      <c r="G24" s="17"/>
      <c r="H24" s="17"/>
      <c r="I24" s="17"/>
      <c r="J24" s="14"/>
    </row>
    <row r="25" spans="3:10">
      <c r="C25" s="17"/>
      <c r="D25" s="17"/>
      <c r="E25" s="17"/>
      <c r="F25" s="17"/>
      <c r="G25" s="17"/>
      <c r="H25" s="17"/>
      <c r="I25" s="17"/>
      <c r="J25" s="14"/>
    </row>
    <row r="26" spans="3:10">
      <c r="C26" s="17"/>
      <c r="D26" s="17"/>
      <c r="E26" s="17"/>
      <c r="F26" s="17"/>
      <c r="G26" s="17"/>
      <c r="H26" s="17"/>
      <c r="I26" s="17"/>
      <c r="J26" s="14"/>
    </row>
    <row r="27" spans="3:10">
      <c r="C27" s="17"/>
      <c r="D27" s="17" t="s">
        <v>27</v>
      </c>
      <c r="E27" s="17">
        <f>(F3/(4*PI()*K3*L3))^2</f>
        <v>2.9609790423042237E-30</v>
      </c>
      <c r="F27" s="17"/>
      <c r="G27" s="17"/>
      <c r="H27" s="17"/>
      <c r="I27" s="17"/>
      <c r="J27" s="14"/>
    </row>
    <row r="28" spans="3:10">
      <c r="C28" s="17"/>
      <c r="D28" s="17"/>
      <c r="E28" s="20">
        <f>10*LOG(E27,10)</f>
        <v>-295.28564666519458</v>
      </c>
      <c r="F28" s="17"/>
      <c r="G28" s="17"/>
      <c r="H28" s="17"/>
      <c r="I28" s="17"/>
      <c r="J28" s="14"/>
    </row>
    <row r="29" spans="3:10">
      <c r="C29" s="17"/>
      <c r="D29" s="17"/>
      <c r="E29" s="17"/>
      <c r="F29" s="17"/>
      <c r="G29" s="17"/>
      <c r="H29" s="17"/>
      <c r="I29" s="17"/>
      <c r="J29" s="14"/>
    </row>
    <row r="30" spans="3:10">
      <c r="C30" s="17"/>
      <c r="D30" s="54" t="s">
        <v>28</v>
      </c>
      <c r="E30" s="54"/>
      <c r="F30" s="54"/>
      <c r="G30" s="54"/>
      <c r="H30" s="54"/>
      <c r="I30" s="54"/>
      <c r="J30" s="14"/>
    </row>
    <row r="31" spans="3:10">
      <c r="C31" s="17"/>
      <c r="D31" s="17" t="s">
        <v>29</v>
      </c>
      <c r="E31" s="33">
        <f>(B3*E24*M3*O3)/(H3*E13*E27*N3*P3*E17)</f>
        <v>79.712824564700185</v>
      </c>
      <c r="F31" s="17"/>
      <c r="G31" s="17"/>
      <c r="H31" s="17"/>
      <c r="I31" s="17"/>
      <c r="J31" s="14"/>
    </row>
    <row r="32" spans="3:10">
      <c r="C32" s="14"/>
      <c r="D32" s="14"/>
      <c r="E32" s="14"/>
      <c r="F32" s="14"/>
      <c r="G32" s="14"/>
      <c r="H32" s="14"/>
      <c r="I32" s="14"/>
      <c r="J32" s="14"/>
    </row>
    <row r="33" spans="3:10">
      <c r="C33" s="17"/>
      <c r="D33" s="17"/>
      <c r="E33" s="17"/>
      <c r="F33" s="17"/>
      <c r="G33" s="17"/>
      <c r="H33" s="17"/>
      <c r="I33" s="17"/>
      <c r="J33" s="17"/>
    </row>
    <row r="34" spans="3:10">
      <c r="C34" s="17"/>
      <c r="D34" s="17"/>
      <c r="E34" s="54" t="s">
        <v>30</v>
      </c>
      <c r="F34" s="54"/>
      <c r="G34" s="54"/>
      <c r="H34" s="54"/>
      <c r="I34" s="54"/>
      <c r="J34" s="54"/>
    </row>
    <row r="35" spans="3:10">
      <c r="C35" s="17"/>
      <c r="D35" s="17" t="s">
        <v>31</v>
      </c>
      <c r="E35" s="5">
        <f>(E31*H3*E13*E27*N3*P3*E17)/(B3*M3*O3)</f>
        <v>3.235936569296284</v>
      </c>
      <c r="F35" s="17"/>
      <c r="G35" s="17"/>
      <c r="H35" s="17"/>
      <c r="I35" s="17"/>
      <c r="J35" s="17"/>
    </row>
    <row r="36" spans="3:10">
      <c r="C36" s="17"/>
      <c r="D36" s="17"/>
      <c r="E36" s="20">
        <f>10*LOG(E35,10)</f>
        <v>5.1000000000000014</v>
      </c>
      <c r="F36" s="14"/>
      <c r="G36" s="22"/>
      <c r="H36" s="22"/>
      <c r="I36" s="14"/>
      <c r="J36" s="17"/>
    </row>
    <row r="37" spans="3:10">
      <c r="C37" s="17"/>
      <c r="D37" s="17"/>
      <c r="E37" s="20"/>
      <c r="F37" s="14"/>
      <c r="G37" s="22"/>
      <c r="H37" s="22"/>
      <c r="I37" s="14"/>
      <c r="J37" s="17"/>
    </row>
    <row r="38" spans="3:10" ht="15" thickBot="1">
      <c r="C38" s="17"/>
      <c r="D38" s="25"/>
      <c r="E38" s="26"/>
      <c r="F38" s="25"/>
      <c r="G38" s="22"/>
      <c r="H38" s="22"/>
      <c r="I38" s="14"/>
      <c r="J38" s="17"/>
    </row>
    <row r="39" spans="3:10" ht="16" thickTop="1" thickBot="1">
      <c r="C39" s="16" t="s">
        <v>32</v>
      </c>
      <c r="D39" s="27" t="s">
        <v>33</v>
      </c>
      <c r="E39" s="28"/>
      <c r="F39" s="27"/>
      <c r="G39" s="22"/>
      <c r="H39" s="22"/>
      <c r="I39" s="14"/>
      <c r="J39" s="17"/>
    </row>
    <row r="40" spans="3:10">
      <c r="C40" s="17"/>
      <c r="D40" s="16" t="s">
        <v>34</v>
      </c>
      <c r="E40" s="23"/>
      <c r="F40" s="16"/>
      <c r="G40" s="22"/>
      <c r="H40" s="22"/>
      <c r="I40" s="14"/>
      <c r="J40" s="17"/>
    </row>
    <row r="41" spans="3:10">
      <c r="C41" s="17"/>
      <c r="D41" s="16" t="s">
        <v>35</v>
      </c>
      <c r="E41" s="14"/>
      <c r="F41" s="59">
        <f>E14</f>
        <v>48.740693916587333</v>
      </c>
      <c r="G41" s="22"/>
      <c r="H41" s="22"/>
      <c r="I41" s="14"/>
      <c r="J41" s="17"/>
    </row>
    <row r="42" spans="3:10">
      <c r="C42" s="14"/>
      <c r="D42" s="16" t="s">
        <v>36</v>
      </c>
      <c r="E42" s="14"/>
      <c r="F42" s="59">
        <v>1.5</v>
      </c>
      <c r="G42" s="16"/>
      <c r="H42" s="16"/>
      <c r="I42" s="14"/>
      <c r="J42" s="14"/>
    </row>
    <row r="43" spans="3:10">
      <c r="C43" s="14"/>
      <c r="D43" s="16" t="s">
        <v>37</v>
      </c>
      <c r="E43" s="14"/>
      <c r="F43" s="59">
        <f>E18</f>
        <v>67.998540327179327</v>
      </c>
      <c r="G43" s="16"/>
      <c r="H43" s="16"/>
      <c r="I43" s="14"/>
      <c r="J43" s="14"/>
    </row>
    <row r="44" spans="3:10">
      <c r="C44" s="14"/>
      <c r="D44" s="16" t="s">
        <v>38</v>
      </c>
      <c r="E44" s="14"/>
      <c r="F44" s="60">
        <f>E31</f>
        <v>79.712824564700185</v>
      </c>
      <c r="G44" s="16"/>
      <c r="H44" s="16"/>
      <c r="I44" s="14"/>
      <c r="J44" s="14"/>
    </row>
    <row r="45" spans="3:10">
      <c r="C45" s="14"/>
      <c r="D45" s="16" t="s">
        <v>39</v>
      </c>
      <c r="E45" s="14"/>
      <c r="F45" s="58">
        <f>E31*H3</f>
        <v>19.928206141175046</v>
      </c>
      <c r="G45" s="34"/>
      <c r="H45" s="16"/>
      <c r="I45" s="14"/>
      <c r="J45" s="14"/>
    </row>
    <row r="46" spans="3:10">
      <c r="C46" s="14"/>
      <c r="D46" s="16" t="s">
        <v>40</v>
      </c>
      <c r="E46" s="14"/>
      <c r="F46" s="58">
        <f>E31*H3*E13*E27*N3*P3*E17</f>
        <v>2.5693718686118158E-17</v>
      </c>
      <c r="G46" s="24"/>
      <c r="H46" s="16"/>
      <c r="I46" s="14"/>
      <c r="J46" s="14"/>
    </row>
    <row r="47" spans="3:10">
      <c r="C47" s="14"/>
      <c r="D47" s="16" t="s">
        <v>41</v>
      </c>
      <c r="E47" s="14"/>
      <c r="F47" s="13">
        <f>E36</f>
        <v>5.1000000000000014</v>
      </c>
      <c r="G47" s="23"/>
      <c r="H47" s="16"/>
      <c r="I47" s="14"/>
      <c r="J47" s="14"/>
    </row>
    <row r="48" spans="3:10" ht="15" thickBot="1">
      <c r="C48" s="14"/>
      <c r="D48" s="29" t="s">
        <v>42</v>
      </c>
      <c r="E48" s="15"/>
      <c r="F48" s="62">
        <f>E36</f>
        <v>5.1000000000000014</v>
      </c>
      <c r="G48" s="61"/>
      <c r="H48" s="16"/>
      <c r="I48" s="14"/>
      <c r="J48" s="14"/>
    </row>
    <row r="49" spans="3:10" ht="15" thickTop="1">
      <c r="C49" s="14"/>
      <c r="D49" s="16"/>
      <c r="E49" s="16"/>
      <c r="F49" s="16"/>
      <c r="G49" s="16"/>
      <c r="H49" s="16"/>
      <c r="I49" s="14"/>
      <c r="J49" s="14"/>
    </row>
    <row r="50" spans="3:10" ht="15" thickBot="1">
      <c r="C50" s="14" t="s">
        <v>43</v>
      </c>
      <c r="D50" s="15"/>
      <c r="E50" s="15"/>
      <c r="F50" s="35"/>
      <c r="G50" s="14"/>
      <c r="H50" s="14"/>
      <c r="I50" s="14"/>
      <c r="J50" s="14"/>
    </row>
    <row r="51" spans="3:10" ht="15" thickTop="1">
      <c r="C51" s="14"/>
      <c r="D51" s="16" t="s">
        <v>44</v>
      </c>
      <c r="E51" s="14" t="s">
        <v>45</v>
      </c>
      <c r="F51" s="35"/>
      <c r="G51" s="14"/>
      <c r="H51" s="14"/>
      <c r="I51" s="14"/>
      <c r="J51" s="14"/>
    </row>
    <row r="52" spans="3:10">
      <c r="C52" s="14"/>
      <c r="D52" s="16" t="s">
        <v>46</v>
      </c>
      <c r="E52" s="51">
        <f ca="1">0.04*J91</f>
        <v>95.280503880963863</v>
      </c>
      <c r="F52" s="19"/>
      <c r="G52" s="14"/>
      <c r="H52" s="14"/>
      <c r="I52" s="14"/>
      <c r="J52" s="14"/>
    </row>
    <row r="53" spans="3:10">
      <c r="C53" s="14"/>
      <c r="D53" s="16" t="s">
        <v>47</v>
      </c>
      <c r="E53" s="63">
        <f>2*14+50</f>
        <v>78</v>
      </c>
      <c r="F53" s="30"/>
      <c r="G53" s="14"/>
      <c r="H53" s="14"/>
      <c r="I53" s="14"/>
      <c r="J53" s="14"/>
    </row>
    <row r="54" spans="3:10" ht="15" thickBot="1">
      <c r="C54" s="14"/>
      <c r="D54" s="29"/>
      <c r="E54" s="31"/>
      <c r="F54" s="36"/>
      <c r="G54" s="14"/>
      <c r="H54" s="14"/>
      <c r="I54" s="14"/>
      <c r="J54" s="14"/>
    </row>
    <row r="55" spans="3:10" ht="15" thickTop="1">
      <c r="C55" s="14"/>
      <c r="D55" s="14"/>
      <c r="E55" s="14"/>
      <c r="F55" s="35"/>
      <c r="G55" s="14"/>
      <c r="H55" s="14"/>
      <c r="I55" s="14"/>
      <c r="J55" s="14"/>
    </row>
    <row r="58" spans="3:10">
      <c r="C58" s="49" t="s">
        <v>98</v>
      </c>
    </row>
    <row r="59" spans="3:10" ht="15" thickBot="1">
      <c r="C59" s="38"/>
      <c r="D59" s="38"/>
      <c r="E59" s="38"/>
      <c r="F59" s="38"/>
      <c r="G59" s="38"/>
      <c r="H59" s="38"/>
      <c r="I59" s="38"/>
      <c r="J59" s="38"/>
    </row>
    <row r="60" spans="3:10" ht="16" thickTop="1" thickBot="1">
      <c r="C60" s="37"/>
      <c r="D60" s="37"/>
      <c r="E60" s="37"/>
      <c r="F60" s="37"/>
      <c r="G60" s="55" t="s">
        <v>48</v>
      </c>
      <c r="H60" s="55"/>
      <c r="I60" s="55"/>
      <c r="J60" s="37"/>
    </row>
    <row r="61" spans="3:10" ht="15" thickBot="1">
      <c r="C61" s="39" t="s">
        <v>49</v>
      </c>
      <c r="D61" s="39"/>
      <c r="E61" s="39"/>
      <c r="F61" s="39" t="s">
        <v>50</v>
      </c>
      <c r="G61" s="39" t="s">
        <v>51</v>
      </c>
      <c r="H61" s="39" t="s">
        <v>52</v>
      </c>
      <c r="I61" s="39" t="s">
        <v>53</v>
      </c>
      <c r="J61" s="39" t="s">
        <v>54</v>
      </c>
    </row>
    <row r="62" spans="3:10">
      <c r="C62" s="37" t="s">
        <v>55</v>
      </c>
      <c r="D62" s="37"/>
      <c r="E62" s="37"/>
      <c r="F62" s="37"/>
      <c r="G62" s="37"/>
      <c r="H62" s="37"/>
      <c r="I62" s="37"/>
      <c r="J62" s="41">
        <v>688.39999999999986</v>
      </c>
    </row>
    <row r="63" spans="3:10">
      <c r="C63" s="37" t="s">
        <v>56</v>
      </c>
      <c r="D63" s="37"/>
      <c r="E63" s="37"/>
      <c r="F63" s="37"/>
      <c r="G63" s="42" t="s">
        <v>57</v>
      </c>
      <c r="H63" s="42" t="s">
        <v>57</v>
      </c>
      <c r="I63" s="41">
        <v>350</v>
      </c>
      <c r="J63" s="37"/>
    </row>
    <row r="64" spans="3:10">
      <c r="C64" s="37" t="s">
        <v>58</v>
      </c>
      <c r="D64" s="37"/>
      <c r="E64" s="37"/>
      <c r="F64" s="37"/>
      <c r="G64" s="42" t="s">
        <v>57</v>
      </c>
      <c r="H64" s="42" t="s">
        <v>57</v>
      </c>
      <c r="I64" s="41">
        <v>14.4</v>
      </c>
      <c r="J64" s="37"/>
    </row>
    <row r="65" spans="3:10">
      <c r="C65" s="37" t="s">
        <v>59</v>
      </c>
      <c r="D65" s="37"/>
      <c r="E65" s="37"/>
      <c r="F65" s="37"/>
      <c r="G65" s="42" t="s">
        <v>57</v>
      </c>
      <c r="H65" s="42" t="s">
        <v>57</v>
      </c>
      <c r="I65" s="41">
        <v>8.8000000000000007</v>
      </c>
      <c r="J65" s="37"/>
    </row>
    <row r="66" spans="3:10">
      <c r="C66" s="37" t="s">
        <v>60</v>
      </c>
      <c r="D66" s="37"/>
      <c r="E66" s="37"/>
      <c r="F66" s="37"/>
      <c r="G66" s="42" t="s">
        <v>57</v>
      </c>
      <c r="H66" s="42" t="s">
        <v>57</v>
      </c>
      <c r="I66" s="41">
        <v>37.1</v>
      </c>
      <c r="J66" s="37"/>
    </row>
    <row r="67" spans="3:10">
      <c r="C67" s="37" t="s">
        <v>61</v>
      </c>
      <c r="D67" s="37"/>
      <c r="E67" s="37"/>
      <c r="F67" s="37"/>
      <c r="G67" s="42" t="s">
        <v>57</v>
      </c>
      <c r="H67" s="42" t="s">
        <v>57</v>
      </c>
      <c r="I67" s="41">
        <v>30.6</v>
      </c>
      <c r="J67" s="37"/>
    </row>
    <row r="68" spans="3:10">
      <c r="C68" s="37" t="s">
        <v>62</v>
      </c>
      <c r="D68" s="37"/>
      <c r="E68" s="37"/>
      <c r="F68" s="37"/>
      <c r="G68" s="42" t="s">
        <v>57</v>
      </c>
      <c r="H68" s="42" t="s">
        <v>57</v>
      </c>
      <c r="I68" s="41">
        <v>25.9</v>
      </c>
      <c r="J68" s="37"/>
    </row>
    <row r="69" spans="3:10">
      <c r="C69" s="37" t="s">
        <v>63</v>
      </c>
      <c r="D69" s="37"/>
      <c r="E69" s="37"/>
      <c r="F69" s="37"/>
      <c r="G69" s="42" t="s">
        <v>57</v>
      </c>
      <c r="H69" s="42" t="s">
        <v>57</v>
      </c>
      <c r="I69" s="41">
        <v>37.700000000000003</v>
      </c>
      <c r="J69" s="37"/>
    </row>
    <row r="70" spans="3:10">
      <c r="C70" s="37" t="s">
        <v>64</v>
      </c>
      <c r="D70" s="37"/>
      <c r="E70" s="37"/>
      <c r="F70" s="37"/>
      <c r="G70" s="42" t="s">
        <v>57</v>
      </c>
      <c r="H70" s="42" t="s">
        <v>57</v>
      </c>
      <c r="I70" s="41">
        <v>10.3</v>
      </c>
      <c r="J70" s="37"/>
    </row>
    <row r="71" spans="3:10">
      <c r="C71" s="37" t="s">
        <v>65</v>
      </c>
      <c r="D71" s="37"/>
      <c r="E71" s="37"/>
      <c r="F71" s="37"/>
      <c r="G71" s="42" t="s">
        <v>57</v>
      </c>
      <c r="H71" s="42" t="s">
        <v>57</v>
      </c>
      <c r="I71" s="41">
        <v>29</v>
      </c>
      <c r="J71" s="37"/>
    </row>
    <row r="72" spans="3:10">
      <c r="C72" s="37" t="s">
        <v>66</v>
      </c>
      <c r="D72" s="37"/>
      <c r="E72" s="37"/>
      <c r="F72" s="37"/>
      <c r="G72" s="42" t="s">
        <v>57</v>
      </c>
      <c r="H72" s="42" t="s">
        <v>57</v>
      </c>
      <c r="I72" s="41">
        <v>16.8</v>
      </c>
      <c r="J72" s="37"/>
    </row>
    <row r="73" spans="3:10">
      <c r="C73" s="37" t="s">
        <v>67</v>
      </c>
      <c r="D73" s="37"/>
      <c r="E73" s="37"/>
      <c r="F73" s="37"/>
      <c r="G73" s="42" t="s">
        <v>57</v>
      </c>
      <c r="H73" s="42" t="s">
        <v>57</v>
      </c>
      <c r="I73" s="41">
        <v>43.3</v>
      </c>
      <c r="J73" s="37"/>
    </row>
    <row r="74" spans="3:10">
      <c r="C74" s="37" t="s">
        <v>68</v>
      </c>
      <c r="D74" s="37"/>
      <c r="E74" s="37"/>
      <c r="F74" s="37"/>
      <c r="G74" s="42" t="s">
        <v>57</v>
      </c>
      <c r="H74" s="42" t="s">
        <v>57</v>
      </c>
      <c r="I74" s="41">
        <v>23.8</v>
      </c>
      <c r="J74" s="37"/>
    </row>
    <row r="75" spans="3:10">
      <c r="C75" s="37" t="s">
        <v>69</v>
      </c>
      <c r="D75" s="37"/>
      <c r="E75" s="37"/>
      <c r="F75" s="37"/>
      <c r="G75" s="42" t="s">
        <v>57</v>
      </c>
      <c r="H75" s="42" t="s">
        <v>57</v>
      </c>
      <c r="I75" s="41">
        <v>15.5</v>
      </c>
      <c r="J75" s="37"/>
    </row>
    <row r="76" spans="3:10">
      <c r="C76" s="37" t="s">
        <v>70</v>
      </c>
      <c r="D76" s="37"/>
      <c r="E76" s="37"/>
      <c r="F76" s="37"/>
      <c r="G76" s="42" t="s">
        <v>57</v>
      </c>
      <c r="H76" s="42" t="s">
        <v>57</v>
      </c>
      <c r="I76" s="41">
        <v>43</v>
      </c>
      <c r="J76" s="37"/>
    </row>
    <row r="77" spans="3:10">
      <c r="C77" s="37" t="s">
        <v>71</v>
      </c>
      <c r="D77" s="37"/>
      <c r="E77" s="37"/>
      <c r="F77" s="37"/>
      <c r="G77" s="42" t="s">
        <v>57</v>
      </c>
      <c r="H77" s="42" t="s">
        <v>57</v>
      </c>
      <c r="I77" s="41">
        <v>2.2000000000000002</v>
      </c>
      <c r="J77" s="37"/>
    </row>
    <row r="78" spans="3:10">
      <c r="C78" s="37" t="s">
        <v>72</v>
      </c>
      <c r="D78" s="37"/>
      <c r="E78" s="37"/>
      <c r="F78" s="37"/>
      <c r="G78" s="37"/>
      <c r="H78" s="37"/>
      <c r="I78" s="37"/>
      <c r="J78" s="48">
        <f ca="1">SUM(I79:I90)</f>
        <v>1693.6125970240967</v>
      </c>
    </row>
    <row r="79" spans="3:10">
      <c r="C79" s="37" t="s">
        <v>73</v>
      </c>
      <c r="D79" s="37"/>
      <c r="E79" s="37"/>
      <c r="F79" s="37"/>
      <c r="G79" s="42" t="s">
        <v>57</v>
      </c>
      <c r="H79" s="42" t="s">
        <v>57</v>
      </c>
      <c r="I79" s="41">
        <v>495.9</v>
      </c>
      <c r="J79" s="47"/>
    </row>
    <row r="80" spans="3:10">
      <c r="C80" s="40" t="s">
        <v>74</v>
      </c>
      <c r="D80" s="37"/>
      <c r="E80" s="37"/>
      <c r="F80" s="37"/>
      <c r="G80" s="42" t="s">
        <v>57</v>
      </c>
      <c r="H80" s="42" t="s">
        <v>57</v>
      </c>
      <c r="I80" s="41">
        <v>150.5</v>
      </c>
      <c r="J80" s="37"/>
    </row>
    <row r="81" spans="3:10">
      <c r="C81" s="37" t="s">
        <v>75</v>
      </c>
      <c r="D81" s="37"/>
      <c r="E81" s="37"/>
      <c r="F81" s="37"/>
      <c r="G81" s="45">
        <f>SUM(F82:F86)</f>
        <v>41.6</v>
      </c>
      <c r="H81" s="45">
        <f>0.15*G81</f>
        <v>6.24</v>
      </c>
      <c r="I81" s="48">
        <f>G81+H81</f>
        <v>47.84</v>
      </c>
      <c r="J81" s="37"/>
    </row>
    <row r="82" spans="3:10">
      <c r="C82" s="37" t="s">
        <v>76</v>
      </c>
      <c r="D82" s="37"/>
      <c r="E82" s="37"/>
      <c r="F82" s="48">
        <f>2*0.7</f>
        <v>1.4</v>
      </c>
      <c r="G82" s="43"/>
      <c r="H82" s="37"/>
      <c r="I82" s="37"/>
      <c r="J82" s="37"/>
    </row>
    <row r="83" spans="3:10">
      <c r="C83" s="37" t="s">
        <v>77</v>
      </c>
      <c r="D83" s="37"/>
      <c r="E83" s="37"/>
      <c r="F83" s="48">
        <v>6</v>
      </c>
      <c r="G83" s="43"/>
      <c r="H83" s="37"/>
      <c r="I83" s="37"/>
      <c r="J83" s="37"/>
    </row>
    <row r="84" spans="3:10">
      <c r="C84" s="37" t="s">
        <v>78</v>
      </c>
      <c r="D84" s="37"/>
      <c r="E84" s="37"/>
      <c r="F84" s="48">
        <v>6</v>
      </c>
      <c r="G84" s="43"/>
      <c r="H84" s="37"/>
      <c r="I84" s="37"/>
      <c r="J84" s="37"/>
    </row>
    <row r="85" spans="3:10">
      <c r="C85" s="37" t="s">
        <v>79</v>
      </c>
      <c r="D85" s="37"/>
      <c r="E85" s="37"/>
      <c r="F85" s="48">
        <f>2*0.6</f>
        <v>1.2</v>
      </c>
      <c r="G85" s="43"/>
      <c r="H85" s="37"/>
      <c r="I85" s="37"/>
      <c r="J85" s="37"/>
    </row>
    <row r="86" spans="3:10">
      <c r="C86" s="37" t="s">
        <v>80</v>
      </c>
      <c r="D86" s="37"/>
      <c r="E86" s="37"/>
      <c r="F86" s="48">
        <f>2.5*2+1*2+5*4</f>
        <v>27</v>
      </c>
      <c r="G86" s="43"/>
      <c r="H86" s="37"/>
      <c r="I86" s="37"/>
      <c r="J86" s="37"/>
    </row>
    <row r="87" spans="3:10">
      <c r="C87" s="37" t="s">
        <v>81</v>
      </c>
      <c r="D87" s="37"/>
      <c r="E87" s="37"/>
      <c r="F87" s="37"/>
      <c r="G87" s="44">
        <f ca="1">E52</f>
        <v>95.280503880963863</v>
      </c>
      <c r="H87" s="45">
        <f ca="1">0.15*G87</f>
        <v>14.292075582144578</v>
      </c>
      <c r="I87" s="48">
        <f ca="1">G87+H87</f>
        <v>109.57257946310844</v>
      </c>
      <c r="J87" s="37"/>
    </row>
    <row r="88" spans="3:10">
      <c r="C88" s="37" t="s">
        <v>82</v>
      </c>
      <c r="D88" s="37"/>
      <c r="E88" s="37"/>
      <c r="F88" s="37"/>
      <c r="G88" s="42" t="s">
        <v>57</v>
      </c>
      <c r="H88" s="42" t="s">
        <v>57</v>
      </c>
      <c r="I88" s="41">
        <v>354.2</v>
      </c>
      <c r="J88" s="37"/>
    </row>
    <row r="89" spans="3:10">
      <c r="C89" s="37" t="s">
        <v>83</v>
      </c>
      <c r="D89" s="37"/>
      <c r="E89" s="37"/>
      <c r="F89" s="37"/>
      <c r="G89" s="42" t="s">
        <v>57</v>
      </c>
      <c r="H89" s="42" t="s">
        <v>57</v>
      </c>
      <c r="I89" s="41">
        <v>455.2</v>
      </c>
      <c r="J89" s="37"/>
    </row>
    <row r="90" spans="3:10">
      <c r="C90" s="37" t="s">
        <v>84</v>
      </c>
      <c r="D90" s="37"/>
      <c r="E90" s="37"/>
      <c r="F90" s="37"/>
      <c r="G90" s="42" t="s">
        <v>57</v>
      </c>
      <c r="H90" s="42" t="s">
        <v>57</v>
      </c>
      <c r="I90" s="41">
        <v>80.400000000000006</v>
      </c>
      <c r="J90" s="37"/>
    </row>
    <row r="91" spans="3:10">
      <c r="C91" s="37" t="s">
        <v>85</v>
      </c>
      <c r="D91" s="37"/>
      <c r="E91" s="37"/>
      <c r="F91" s="37"/>
      <c r="G91" s="37"/>
      <c r="H91" s="37"/>
      <c r="I91" s="37"/>
      <c r="J91" s="48">
        <f ca="1">J62+J78</f>
        <v>2382.0125970240965</v>
      </c>
    </row>
    <row r="92" spans="3:10">
      <c r="C92" s="37" t="s">
        <v>86</v>
      </c>
      <c r="D92" s="37"/>
      <c r="E92" s="37"/>
      <c r="F92" s="37"/>
      <c r="G92" s="37"/>
      <c r="H92" s="37"/>
      <c r="I92" s="37"/>
      <c r="J92" s="41">
        <v>0</v>
      </c>
    </row>
    <row r="93" spans="3:10">
      <c r="C93" s="37" t="s">
        <v>87</v>
      </c>
      <c r="D93" s="37"/>
      <c r="E93" s="37"/>
      <c r="F93" s="37"/>
      <c r="G93" s="37"/>
      <c r="H93" s="37"/>
      <c r="I93" s="37"/>
      <c r="J93" s="41">
        <v>3139.1</v>
      </c>
    </row>
    <row r="94" spans="3:10">
      <c r="C94" s="37" t="s">
        <v>88</v>
      </c>
      <c r="D94" s="37"/>
      <c r="E94" s="37"/>
      <c r="F94" s="37"/>
      <c r="G94" s="42" t="s">
        <v>57</v>
      </c>
      <c r="H94" s="42" t="s">
        <v>57</v>
      </c>
      <c r="I94" s="41">
        <v>1139</v>
      </c>
      <c r="J94" s="37"/>
    </row>
    <row r="95" spans="3:10">
      <c r="C95" s="37" t="s">
        <v>89</v>
      </c>
      <c r="D95" s="37"/>
      <c r="E95" s="37"/>
      <c r="F95" s="37"/>
      <c r="G95" s="42" t="s">
        <v>57</v>
      </c>
      <c r="H95" s="42" t="s">
        <v>57</v>
      </c>
      <c r="I95" s="41">
        <v>1868.1</v>
      </c>
      <c r="J95" s="37"/>
    </row>
    <row r="96" spans="3:10">
      <c r="C96" s="37" t="s">
        <v>90</v>
      </c>
      <c r="D96" s="37"/>
      <c r="E96" s="37"/>
      <c r="F96" s="37"/>
      <c r="G96" s="42"/>
      <c r="H96" s="42"/>
      <c r="I96" s="41">
        <v>132</v>
      </c>
      <c r="J96" s="37"/>
    </row>
    <row r="97" spans="3:10">
      <c r="C97" s="37" t="s">
        <v>91</v>
      </c>
      <c r="D97" s="37"/>
      <c r="E97" s="37"/>
      <c r="F97" s="37"/>
      <c r="G97" s="37"/>
      <c r="H97" s="37"/>
      <c r="I97" s="37"/>
      <c r="J97" s="48">
        <f ca="1">SUM(J91:J93)</f>
        <v>5521.1125970240964</v>
      </c>
    </row>
    <row r="98" spans="3:10">
      <c r="C98" s="37" t="s">
        <v>92</v>
      </c>
      <c r="D98" s="37"/>
      <c r="E98" s="37"/>
      <c r="F98" s="37"/>
      <c r="G98" s="37"/>
      <c r="H98" s="37"/>
      <c r="I98" s="37"/>
      <c r="J98" s="41">
        <v>0</v>
      </c>
    </row>
    <row r="99" spans="3:10">
      <c r="C99" s="37" t="s">
        <v>93</v>
      </c>
      <c r="D99" s="37"/>
      <c r="E99" s="37"/>
      <c r="F99" s="37"/>
      <c r="G99" s="37"/>
      <c r="H99" s="37"/>
      <c r="I99" s="37"/>
      <c r="J99" s="48">
        <f ca="1">J97+J98</f>
        <v>5521.1125970240964</v>
      </c>
    </row>
    <row r="100" spans="3:10">
      <c r="C100" s="37" t="s">
        <v>94</v>
      </c>
      <c r="D100" s="37"/>
      <c r="E100" s="37"/>
      <c r="F100" s="37"/>
      <c r="G100" s="37"/>
      <c r="H100" s="37"/>
      <c r="I100" s="37"/>
      <c r="J100" s="41">
        <v>136</v>
      </c>
    </row>
    <row r="101" spans="3:10">
      <c r="C101" s="37" t="s">
        <v>95</v>
      </c>
      <c r="D101" s="37"/>
      <c r="E101" s="37"/>
      <c r="F101" s="37"/>
      <c r="G101" s="37"/>
      <c r="H101" s="37"/>
      <c r="I101" s="37"/>
      <c r="J101" s="48">
        <f ca="1">J99+J100</f>
        <v>5657.1125970240964</v>
      </c>
    </row>
    <row r="102" spans="3:10">
      <c r="C102" s="37" t="s">
        <v>96</v>
      </c>
      <c r="D102" s="37"/>
      <c r="E102" s="37"/>
      <c r="F102" s="37"/>
      <c r="G102" s="37"/>
      <c r="H102" s="37"/>
      <c r="I102" s="37"/>
      <c r="J102" s="48">
        <f ca="1">J103-J101</f>
        <v>1042.8874029759036</v>
      </c>
    </row>
    <row r="103" spans="3:10" ht="15" thickBot="1">
      <c r="C103" s="38" t="s">
        <v>97</v>
      </c>
      <c r="D103" s="38"/>
      <c r="E103" s="38"/>
      <c r="F103" s="38"/>
      <c r="G103" s="38"/>
      <c r="H103" s="38"/>
      <c r="I103" s="38"/>
      <c r="J103" s="46">
        <v>6700</v>
      </c>
    </row>
    <row r="104" spans="3:10" ht="15" thickTop="1">
      <c r="C104" s="37"/>
      <c r="D104" s="37"/>
      <c r="E104" s="37"/>
      <c r="F104" s="37"/>
      <c r="G104" s="37"/>
      <c r="H104" s="37"/>
      <c r="I104" s="37"/>
      <c r="J104" s="37"/>
    </row>
    <row r="107" spans="3:10">
      <c r="C107" s="50" t="s">
        <v>99</v>
      </c>
      <c r="D107" s="50" t="s">
        <v>100</v>
      </c>
      <c r="E107" s="50" t="s">
        <v>101</v>
      </c>
      <c r="F107" s="50" t="s">
        <v>102</v>
      </c>
      <c r="G107" s="50" t="s">
        <v>103</v>
      </c>
      <c r="H107" s="50"/>
    </row>
    <row r="108" spans="3:10">
      <c r="C108" s="50" t="s">
        <v>104</v>
      </c>
      <c r="D108" s="51">
        <v>159.6</v>
      </c>
      <c r="E108" s="51">
        <f>G81</f>
        <v>41.6</v>
      </c>
      <c r="F108" s="64">
        <f>D108-E108</f>
        <v>118</v>
      </c>
      <c r="G108" s="53">
        <f>ABS((F108/D108)*100)</f>
        <v>73.934837092731826</v>
      </c>
      <c r="H108" s="50"/>
    </row>
    <row r="109" spans="3:10">
      <c r="C109" s="50" t="s">
        <v>105</v>
      </c>
      <c r="D109" s="51">
        <v>60.6</v>
      </c>
      <c r="E109" s="51">
        <f ca="1">G87</f>
        <v>95.280503880963863</v>
      </c>
      <c r="F109" s="64">
        <f t="shared" ref="F109:F111" ca="1" si="0">D109-E109</f>
        <v>-34.680503880963862</v>
      </c>
      <c r="G109" s="53">
        <f t="shared" ref="G109:G111" ca="1" si="1">ABS((F109/D109)*100)</f>
        <v>57.228554259016271</v>
      </c>
      <c r="H109" s="50"/>
    </row>
    <row r="110" spans="3:10">
      <c r="C110" s="50" t="s">
        <v>106</v>
      </c>
      <c r="D110" s="52">
        <v>80.099999999999994</v>
      </c>
      <c r="E110" s="52">
        <f>E31</f>
        <v>79.712824564700185</v>
      </c>
      <c r="F110" s="64">
        <f t="shared" si="0"/>
        <v>0.38717543529980958</v>
      </c>
      <c r="G110" s="53">
        <f t="shared" si="1"/>
        <v>0.48336508776505566</v>
      </c>
      <c r="H110" s="50"/>
    </row>
    <row r="111" spans="3:10">
      <c r="C111" s="50" t="s">
        <v>107</v>
      </c>
      <c r="D111" s="52">
        <v>52.6</v>
      </c>
      <c r="E111" s="52">
        <f>E53</f>
        <v>78</v>
      </c>
      <c r="F111" s="64">
        <f t="shared" si="0"/>
        <v>-25.4</v>
      </c>
      <c r="G111" s="53">
        <f t="shared" si="1"/>
        <v>48.288973384030413</v>
      </c>
      <c r="H111" s="50"/>
    </row>
  </sheetData>
  <mergeCells count="3">
    <mergeCell ref="D30:I30"/>
    <mergeCell ref="E34:J34"/>
    <mergeCell ref="G60:I60"/>
  </mergeCells>
  <pageMargins left="0.7" right="0.7" top="0.75" bottom="0.75" header="0.3" footer="0.3"/>
  <pageSetup orientation="portrait" horizontalDpi="4294967292" verticalDpi="4294967292"/>
  <ignoredErrors>
    <ignoredError sqref="O3" formula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Martimus</dc:creator>
  <cp:lastModifiedBy>Zachary Tschirhart</cp:lastModifiedBy>
  <dcterms:created xsi:type="dcterms:W3CDTF">2013-09-27T16:10:11Z</dcterms:created>
  <dcterms:modified xsi:type="dcterms:W3CDTF">2013-10-10T04:58:40Z</dcterms:modified>
</cp:coreProperties>
</file>