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613"/>
  <workbookPr autoCompressPictures="0"/>
  <bookViews>
    <workbookView xWindow="0" yWindow="0" windowWidth="14400" windowHeight="16140"/>
  </bookViews>
  <sheets>
    <sheet name="Sheet1" sheetId="1" r:id="rId1"/>
    <sheet name="Sheet2" sheetId="2" r:id="rId2"/>
    <sheet name="Sheet3" sheetId="3" r:id="rId3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4" i="1" l="1"/>
  <c r="G85" i="1"/>
  <c r="G83" i="1"/>
  <c r="F84" i="1"/>
  <c r="F85" i="1"/>
  <c r="F83" i="1"/>
  <c r="E85" i="1"/>
  <c r="E84" i="1"/>
  <c r="E83" i="1"/>
  <c r="F63" i="1"/>
  <c r="F62" i="1"/>
  <c r="D27" i="1"/>
  <c r="D28" i="1"/>
  <c r="D29" i="1"/>
  <c r="F61" i="1"/>
  <c r="D33" i="1"/>
  <c r="F18" i="1"/>
  <c r="F17" i="1"/>
  <c r="D24" i="1"/>
  <c r="D23" i="1"/>
  <c r="D22" i="1"/>
  <c r="D34" i="1"/>
  <c r="D36" i="1"/>
  <c r="D39" i="1"/>
  <c r="J55" i="1"/>
  <c r="G60" i="1"/>
  <c r="H60" i="1"/>
  <c r="I60" i="1"/>
  <c r="F64" i="1"/>
  <c r="I65" i="1"/>
  <c r="I66" i="1"/>
  <c r="J67" i="1"/>
  <c r="J72" i="1"/>
  <c r="J74" i="1"/>
  <c r="J76" i="1"/>
  <c r="J77" i="1"/>
  <c r="E86" i="1"/>
  <c r="F86" i="1"/>
  <c r="G86" i="1"/>
  <c r="E87" i="1"/>
  <c r="F87" i="1"/>
  <c r="G87" i="1"/>
</calcChain>
</file>

<file path=xl/sharedStrings.xml><?xml version="1.0" encoding="utf-8"?>
<sst xmlns="http://schemas.openxmlformats.org/spreadsheetml/2006/main" count="123" uniqueCount="88">
  <si>
    <t>Level 2</t>
  </si>
  <si>
    <t>Element</t>
  </si>
  <si>
    <t>Level 3</t>
  </si>
  <si>
    <t>CBE</t>
  </si>
  <si>
    <t>Cont.</t>
  </si>
  <si>
    <t>Allocated</t>
  </si>
  <si>
    <t>Level 1</t>
  </si>
  <si>
    <t>1.0 Payload</t>
  </si>
  <si>
    <t xml:space="preserve">       1.1 Multi-spectral Imager (MSI)</t>
  </si>
  <si>
    <t>--</t>
  </si>
  <si>
    <t xml:space="preserve">       1.2 NEAR Imaging Spectrograph (NIS)</t>
  </si>
  <si>
    <t xml:space="preserve">       1.3 X-Ray/Gamma_Ray Spectrograph (XGRS)</t>
  </si>
  <si>
    <t xml:space="preserve">       1.4 Magnetometer</t>
  </si>
  <si>
    <t xml:space="preserve">       1.5 Laser Rangefinder</t>
  </si>
  <si>
    <t>2.0 Spacecraft Bus (dry)</t>
  </si>
  <si>
    <t xml:space="preserve">       2.1 Propulsion</t>
  </si>
  <si>
    <t xml:space="preserve">       2.2 ADCS</t>
  </si>
  <si>
    <t xml:space="preserve">       2.3 Communications</t>
  </si>
  <si>
    <t xml:space="preserve">       2.4 C&amp;DH</t>
  </si>
  <si>
    <t xml:space="preserve">       2.5 Power</t>
  </si>
  <si>
    <t xml:space="preserve">              2.5.1 Solar Arrays</t>
  </si>
  <si>
    <t xml:space="preserve">              2.5.2 Batteries</t>
  </si>
  <si>
    <t xml:space="preserve">              2.5.3 PMAD</t>
  </si>
  <si>
    <t xml:space="preserve">              2.5.4 Wiring</t>
  </si>
  <si>
    <t xml:space="preserve">       2.6 Structure</t>
  </si>
  <si>
    <t xml:space="preserve">       2.7 Thermal Control System</t>
  </si>
  <si>
    <t>3.0 Spacecraft Dry Mass</t>
  </si>
  <si>
    <t>4.0 Consumables</t>
  </si>
  <si>
    <t>5.0 Propellant</t>
  </si>
  <si>
    <t xml:space="preserve">       5.1 Fuel (N2H4) Mass</t>
  </si>
  <si>
    <t xml:space="preserve">       5.2 Oxidizer (N2O4) Mass</t>
  </si>
  <si>
    <t>6.0 Loaded Mass</t>
  </si>
  <si>
    <t>7.0 Kick Stage</t>
  </si>
  <si>
    <t>8.0 Injected Mass</t>
  </si>
  <si>
    <t>9.0 Launch Vehicle Adapter</t>
  </si>
  <si>
    <t>10.0 Boosted Mass</t>
  </si>
  <si>
    <t>11.0 Margin</t>
  </si>
  <si>
    <t>12.0 Total Launch Vehicle Capacity (Delta II 7925H at C3=26 km2/s2)</t>
  </si>
  <si>
    <t>θ</t>
  </si>
  <si>
    <t>Vbus</t>
  </si>
  <si>
    <t>Cbat</t>
  </si>
  <si>
    <t>Γbat</t>
  </si>
  <si>
    <t>DOD</t>
  </si>
  <si>
    <t>ηconv</t>
  </si>
  <si>
    <t>PsaBOL</t>
  </si>
  <si>
    <t>ρ</t>
  </si>
  <si>
    <t>t</t>
  </si>
  <si>
    <t>ξ</t>
  </si>
  <si>
    <t>Rsc</t>
  </si>
  <si>
    <t>a)</t>
  </si>
  <si>
    <t>b)</t>
  </si>
  <si>
    <t xml:space="preserve">       1.3 X-Ray/Gamma-Ray Spectrograph (XGRS)</t>
  </si>
  <si>
    <t xml:space="preserve">       1.3 Magetometer</t>
  </si>
  <si>
    <t xml:space="preserve">       1.3 Laser Rangefinder</t>
  </si>
  <si>
    <t>2.0 Spacecraft Bus</t>
  </si>
  <si>
    <t>3.0 Spacecraft Allocated Power</t>
  </si>
  <si>
    <t>4.0 Margin</t>
  </si>
  <si>
    <t>5.0 Total Power Available</t>
  </si>
  <si>
    <t>c)</t>
  </si>
  <si>
    <t>i</t>
  </si>
  <si>
    <t>ii</t>
  </si>
  <si>
    <t>iii</t>
  </si>
  <si>
    <t>mbat</t>
  </si>
  <si>
    <t>d)</t>
  </si>
  <si>
    <t>PsaEOL</t>
  </si>
  <si>
    <t>Asa</t>
  </si>
  <si>
    <t>msa</t>
  </si>
  <si>
    <t>Cuseable</t>
  </si>
  <si>
    <t>e)</t>
  </si>
  <si>
    <t>PMAD mass</t>
  </si>
  <si>
    <t>wiring mass</t>
  </si>
  <si>
    <t>f)</t>
  </si>
  <si>
    <t>Thermal subsystem mass</t>
  </si>
  <si>
    <t>g)</t>
  </si>
  <si>
    <t>Structure subsystem mass</t>
  </si>
  <si>
    <t>i)</t>
  </si>
  <si>
    <t>j)</t>
  </si>
  <si>
    <t>Solar Array Area</t>
  </si>
  <si>
    <t>Solar Array Mass</t>
  </si>
  <si>
    <t>Battery Mass</t>
  </si>
  <si>
    <t>Thermal Subsystem Mass</t>
  </si>
  <si>
    <t>Structure Subsystem Mass</t>
  </si>
  <si>
    <t>Actual Near Mission</t>
  </si>
  <si>
    <t xml:space="preserve">Estimated </t>
  </si>
  <si>
    <t>Difference</t>
  </si>
  <si>
    <t>% error</t>
  </si>
  <si>
    <t>Assume Thermal subsystem mass fraction is 3 percent</t>
  </si>
  <si>
    <t>Assume θ is 20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</si>
</sst>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\ &quot;W&quot;"/>
    <numFmt numFmtId="165" formatCode="0.00\ &quot;kg&quot;"/>
    <numFmt numFmtId="166" formatCode="0.0\ &quot;kg&quot;"/>
    <numFmt numFmtId="167" formatCode="0.0\ &quot;m2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quotePrefix="1" applyAlignment="1">
      <alignment horizontal="center"/>
    </xf>
    <xf numFmtId="165" fontId="0" fillId="0" borderId="0" xfId="0" quotePrefix="1" applyNumberFormat="1" applyAlignment="1">
      <alignment horizontal="center"/>
    </xf>
    <xf numFmtId="165" fontId="0" fillId="0" borderId="0" xfId="0" applyNumberFormat="1"/>
    <xf numFmtId="166" fontId="0" fillId="0" borderId="2" xfId="0" applyNumberFormat="1" applyBorder="1"/>
    <xf numFmtId="165" fontId="0" fillId="0" borderId="0" xfId="0" quotePrefix="1" applyNumberFormat="1" applyAlignment="1">
      <alignment horizontal="center" vertical="center"/>
    </xf>
    <xf numFmtId="166" fontId="0" fillId="0" borderId="4" xfId="0" quotePrefix="1" applyNumberFormat="1" applyBorder="1" applyAlignment="1">
      <alignment horizontal="center"/>
    </xf>
    <xf numFmtId="166" fontId="0" fillId="0" borderId="4" xfId="0" applyNumberFormat="1" applyBorder="1"/>
    <xf numFmtId="0" fontId="0" fillId="0" borderId="0" xfId="0" applyBorder="1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6" fontId="0" fillId="0" borderId="4" xfId="0" applyNumberFormat="1" applyBorder="1"/>
    <xf numFmtId="164" fontId="0" fillId="0" borderId="4" xfId="0" applyNumberFormat="1" applyBorder="1"/>
    <xf numFmtId="0" fontId="0" fillId="0" borderId="0" xfId="0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3" xfId="0" applyBorder="1" applyAlignment="1">
      <alignment horizontal="center"/>
    </xf>
    <xf numFmtId="10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workbookViewId="0">
      <selection activeCell="C4" sqref="C4"/>
    </sheetView>
  </sheetViews>
  <sheetFormatPr baseColWidth="10" defaultColWidth="8.83203125" defaultRowHeight="14" x14ac:dyDescent="0"/>
  <cols>
    <col min="3" max="3" width="42.83203125" customWidth="1"/>
    <col min="4" max="4" width="19.83203125" customWidth="1"/>
    <col min="5" max="5" width="13.5" customWidth="1"/>
    <col min="6" max="6" width="10.5" customWidth="1"/>
    <col min="9" max="9" width="13" customWidth="1"/>
    <col min="10" max="10" width="13.5" customWidth="1"/>
  </cols>
  <sheetData>
    <row r="1" spans="1:11" s="1" customFormat="1">
      <c r="A1" s="15" t="s">
        <v>38</v>
      </c>
      <c r="B1" s="14" t="s">
        <v>39</v>
      </c>
      <c r="C1" s="14" t="s">
        <v>40</v>
      </c>
      <c r="D1" s="15" t="s">
        <v>41</v>
      </c>
      <c r="E1" s="14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</row>
    <row r="2" spans="1:11" s="1" customFormat="1">
      <c r="A2" s="1">
        <v>20</v>
      </c>
      <c r="B2" s="1">
        <v>28</v>
      </c>
      <c r="C2" s="1">
        <v>9</v>
      </c>
      <c r="D2" s="1">
        <v>25</v>
      </c>
      <c r="E2" s="1">
        <v>0.25</v>
      </c>
      <c r="F2" s="1">
        <v>0.9</v>
      </c>
      <c r="G2" s="1">
        <v>228</v>
      </c>
      <c r="H2" s="1">
        <v>5.2</v>
      </c>
      <c r="I2" s="1">
        <v>4</v>
      </c>
      <c r="J2" s="1">
        <v>2.75E-2</v>
      </c>
    </row>
    <row r="3" spans="1:11" s="1" customFormat="1">
      <c r="B3" s="16" t="s">
        <v>49</v>
      </c>
      <c r="C3" s="14" t="s">
        <v>87</v>
      </c>
    </row>
    <row r="4" spans="1:11" s="1" customFormat="1">
      <c r="C4" s="1" t="s">
        <v>86</v>
      </c>
    </row>
    <row r="5" spans="1:11" s="1" customFormat="1"/>
    <row r="6" spans="1:11" s="1" customFormat="1"/>
    <row r="7" spans="1:11" s="1" customFormat="1" ht="15" thickBot="1">
      <c r="B7" s="17" t="s">
        <v>50</v>
      </c>
      <c r="C7" s="20"/>
      <c r="D7" s="20"/>
      <c r="E7" s="20"/>
      <c r="F7" s="20"/>
    </row>
    <row r="8" spans="1:11" s="1" customFormat="1" ht="16" thickTop="1" thickBot="1">
      <c r="B8" s="17"/>
      <c r="C8" s="19" t="s">
        <v>1</v>
      </c>
      <c r="D8" s="19"/>
      <c r="E8" s="19" t="s">
        <v>0</v>
      </c>
      <c r="F8" s="19" t="s">
        <v>6</v>
      </c>
    </row>
    <row r="9" spans="1:11" s="1" customFormat="1">
      <c r="B9" s="17"/>
      <c r="C9" s="17" t="s">
        <v>7</v>
      </c>
      <c r="D9" s="17"/>
      <c r="E9" s="17"/>
      <c r="F9" s="18">
        <v>93.5</v>
      </c>
    </row>
    <row r="10" spans="1:11" s="1" customFormat="1">
      <c r="B10" s="17"/>
      <c r="C10" s="17" t="s">
        <v>8</v>
      </c>
      <c r="D10" s="17"/>
      <c r="E10" s="18">
        <v>13.9</v>
      </c>
      <c r="F10" s="17"/>
      <c r="G10" s="13"/>
      <c r="H10" s="13"/>
      <c r="I10" s="13"/>
      <c r="J10" s="13"/>
      <c r="K10" s="13"/>
    </row>
    <row r="11" spans="1:11">
      <c r="B11" s="17"/>
      <c r="C11" s="17" t="s">
        <v>10</v>
      </c>
      <c r="D11" s="17"/>
      <c r="E11" s="18">
        <v>20</v>
      </c>
      <c r="F11" s="17"/>
      <c r="G11" s="13"/>
      <c r="H11" s="13"/>
      <c r="I11" s="13"/>
      <c r="J11" s="13"/>
      <c r="K11" s="13"/>
    </row>
    <row r="12" spans="1:11">
      <c r="B12" s="17"/>
      <c r="C12" s="17" t="s">
        <v>51</v>
      </c>
      <c r="D12" s="17"/>
      <c r="E12" s="18">
        <v>31.3</v>
      </c>
      <c r="F12" s="17"/>
      <c r="G12" s="13"/>
      <c r="H12" s="13"/>
      <c r="I12" s="13"/>
      <c r="J12" s="13"/>
      <c r="K12" s="13"/>
    </row>
    <row r="13" spans="1:11">
      <c r="B13" s="17"/>
      <c r="C13" s="17" t="s">
        <v>52</v>
      </c>
      <c r="D13" s="17"/>
      <c r="E13" s="18">
        <v>1.5</v>
      </c>
      <c r="F13" s="17"/>
    </row>
    <row r="14" spans="1:11">
      <c r="B14" s="17"/>
      <c r="C14" s="17" t="s">
        <v>53</v>
      </c>
      <c r="D14" s="17"/>
      <c r="E14" s="18">
        <v>26.8</v>
      </c>
      <c r="F14" s="17"/>
    </row>
    <row r="15" spans="1:11" s="1" customFormat="1">
      <c r="B15" s="17"/>
      <c r="C15" s="17" t="s">
        <v>54</v>
      </c>
      <c r="D15" s="17"/>
      <c r="E15" s="17"/>
      <c r="F15" s="18">
        <v>221.5</v>
      </c>
    </row>
    <row r="16" spans="1:11">
      <c r="B16" s="17"/>
      <c r="C16" s="17" t="s">
        <v>55</v>
      </c>
      <c r="D16" s="17"/>
      <c r="E16" s="17"/>
      <c r="F16" s="18">
        <v>315</v>
      </c>
    </row>
    <row r="17" spans="2:6">
      <c r="B17" s="17"/>
      <c r="C17" s="17" t="s">
        <v>56</v>
      </c>
      <c r="D17" s="17"/>
      <c r="E17" s="17"/>
      <c r="F17" s="22">
        <f>F16-F15</f>
        <v>93.5</v>
      </c>
    </row>
    <row r="18" spans="2:6" ht="15" thickBot="1">
      <c r="B18" s="17"/>
      <c r="C18" s="20" t="s">
        <v>57</v>
      </c>
      <c r="D18" s="20"/>
      <c r="E18" s="20"/>
      <c r="F18" s="22">
        <f>F17-(F16*0.2)</f>
        <v>30.5</v>
      </c>
    </row>
    <row r="19" spans="2:6" ht="15" thickTop="1">
      <c r="B19" s="17"/>
      <c r="C19" s="17"/>
      <c r="D19" s="17"/>
      <c r="E19" s="17"/>
      <c r="F19" s="17"/>
    </row>
    <row r="20" spans="2:6" s="17" customFormat="1"/>
    <row r="21" spans="2:6" s="17" customFormat="1">
      <c r="B21" s="23"/>
      <c r="C21" s="23" t="s">
        <v>58</v>
      </c>
    </row>
    <row r="22" spans="2:6" s="17" customFormat="1">
      <c r="B22" s="23" t="s">
        <v>59</v>
      </c>
      <c r="C22" s="23" t="s">
        <v>40</v>
      </c>
      <c r="D22" s="17">
        <f>C2*B2</f>
        <v>252</v>
      </c>
    </row>
    <row r="23" spans="2:6" s="17" customFormat="1">
      <c r="B23" s="23" t="s">
        <v>60</v>
      </c>
      <c r="C23" s="23" t="s">
        <v>67</v>
      </c>
      <c r="D23" s="17">
        <f>D22*E2*F2</f>
        <v>56.7</v>
      </c>
    </row>
    <row r="24" spans="2:6" s="17" customFormat="1">
      <c r="B24" s="23" t="s">
        <v>61</v>
      </c>
      <c r="C24" s="23" t="s">
        <v>62</v>
      </c>
      <c r="D24" s="17">
        <f>D22/D2</f>
        <v>10.08</v>
      </c>
    </row>
    <row r="25" spans="2:6" s="17" customFormat="1">
      <c r="B25" s="23"/>
      <c r="C25" s="23"/>
    </row>
    <row r="26" spans="2:6" s="17" customFormat="1">
      <c r="B26" s="23"/>
      <c r="C26" s="23" t="s">
        <v>63</v>
      </c>
    </row>
    <row r="27" spans="2:6" s="17" customFormat="1">
      <c r="B27" s="23" t="s">
        <v>59</v>
      </c>
      <c r="C27" s="23" t="s">
        <v>64</v>
      </c>
      <c r="D27" s="17">
        <f>POWER((1-J2),I2)*COS(A2*(PI()/180))*F16*POWER(1/2.2,2)</f>
        <v>54.702786398882083</v>
      </c>
    </row>
    <row r="28" spans="2:6" s="17" customFormat="1">
      <c r="B28" s="23" t="s">
        <v>60</v>
      </c>
      <c r="C28" s="23" t="s">
        <v>65</v>
      </c>
      <c r="D28" s="17">
        <f>F16/D27</f>
        <v>5.7583903990389311</v>
      </c>
    </row>
    <row r="29" spans="2:6" s="17" customFormat="1">
      <c r="B29" s="23" t="s">
        <v>61</v>
      </c>
      <c r="C29" s="23" t="s">
        <v>66</v>
      </c>
      <c r="D29" s="17">
        <f>D28*H2</f>
        <v>29.943630075002442</v>
      </c>
    </row>
    <row r="30" spans="2:6" s="25" customFormat="1"/>
    <row r="31" spans="2:6" s="25" customFormat="1"/>
    <row r="32" spans="2:6" s="25" customFormat="1">
      <c r="C32" s="26" t="s">
        <v>68</v>
      </c>
    </row>
    <row r="33" spans="3:10" s="25" customFormat="1">
      <c r="C33" s="26" t="s">
        <v>69</v>
      </c>
      <c r="D33" s="25">
        <f>0.045*F18</f>
        <v>1.3725000000000001</v>
      </c>
    </row>
    <row r="34" spans="3:10" s="25" customFormat="1">
      <c r="C34" s="26" t="s">
        <v>70</v>
      </c>
      <c r="D34" s="25">
        <f ca="1">(0.02)*J67</f>
        <v>6.1270327448567619</v>
      </c>
    </row>
    <row r="35" spans="3:10" s="25" customFormat="1">
      <c r="C35" s="26" t="s">
        <v>71</v>
      </c>
    </row>
    <row r="36" spans="3:10" s="25" customFormat="1">
      <c r="C36" s="26" t="s">
        <v>72</v>
      </c>
      <c r="D36" s="25">
        <f ca="1">J67*0.03</f>
        <v>9.1905491172851423</v>
      </c>
    </row>
    <row r="37" spans="3:10" s="25" customFormat="1"/>
    <row r="38" spans="3:10" s="17" customFormat="1">
      <c r="C38" s="26" t="s">
        <v>73</v>
      </c>
    </row>
    <row r="39" spans="3:10" s="17" customFormat="1">
      <c r="C39" s="26" t="s">
        <v>74</v>
      </c>
      <c r="D39" s="29">
        <f ca="1">0.238*J67</f>
        <v>72.911689663795457</v>
      </c>
    </row>
    <row r="40" spans="3:10" s="17" customFormat="1">
      <c r="C40" s="23"/>
    </row>
    <row r="41" spans="3:10" s="17" customFormat="1">
      <c r="C41" s="23"/>
    </row>
    <row r="42" spans="3:10" s="17" customFormat="1">
      <c r="C42" s="23"/>
    </row>
    <row r="43" spans="3:10" s="17" customFormat="1">
      <c r="C43" s="23"/>
    </row>
    <row r="44" spans="3:10" s="17" customFormat="1">
      <c r="C44" s="23"/>
    </row>
    <row r="45" spans="3:10">
      <c r="C45" s="27" t="s">
        <v>75</v>
      </c>
    </row>
    <row r="46" spans="3:10" ht="15" thickBot="1">
      <c r="C46" s="24"/>
      <c r="D46" s="3"/>
      <c r="E46" s="3"/>
      <c r="F46" s="3"/>
      <c r="G46" s="3"/>
      <c r="H46" s="3"/>
      <c r="I46" s="3"/>
      <c r="J46" s="3"/>
    </row>
    <row r="47" spans="3:10" ht="16" thickTop="1" thickBot="1">
      <c r="C47" s="23"/>
      <c r="D47" s="1"/>
      <c r="E47" s="1"/>
      <c r="F47" s="1"/>
      <c r="G47" s="32" t="s">
        <v>0</v>
      </c>
      <c r="H47" s="32"/>
      <c r="I47" s="32"/>
      <c r="J47" s="1"/>
    </row>
    <row r="48" spans="3:10" ht="15" thickBot="1">
      <c r="C48" s="2" t="s">
        <v>1</v>
      </c>
      <c r="D48" s="2"/>
      <c r="E48" s="2"/>
      <c r="F48" s="2" t="s">
        <v>2</v>
      </c>
      <c r="G48" s="2" t="s">
        <v>3</v>
      </c>
      <c r="H48" s="2" t="s">
        <v>4</v>
      </c>
      <c r="I48" s="2" t="s">
        <v>5</v>
      </c>
      <c r="J48" s="2" t="s">
        <v>6</v>
      </c>
    </row>
    <row r="49" spans="3:10">
      <c r="C49" s="1" t="s">
        <v>7</v>
      </c>
      <c r="D49" s="1"/>
      <c r="E49" s="1"/>
      <c r="F49" s="1"/>
      <c r="G49" s="1"/>
      <c r="H49" s="1"/>
      <c r="I49" s="1"/>
      <c r="J49" s="5">
        <v>56</v>
      </c>
    </row>
    <row r="50" spans="3:10">
      <c r="C50" s="1" t="s">
        <v>8</v>
      </c>
      <c r="D50" s="1"/>
      <c r="E50" s="1"/>
      <c r="F50" s="1"/>
      <c r="G50" s="6" t="s">
        <v>9</v>
      </c>
      <c r="H50" s="6" t="s">
        <v>9</v>
      </c>
      <c r="I50" s="5">
        <v>7.8</v>
      </c>
      <c r="J50" s="1"/>
    </row>
    <row r="51" spans="3:10">
      <c r="C51" s="1" t="s">
        <v>10</v>
      </c>
      <c r="D51" s="1"/>
      <c r="E51" s="1"/>
      <c r="F51" s="1"/>
      <c r="G51" s="6" t="s">
        <v>9</v>
      </c>
      <c r="H51" s="6" t="s">
        <v>9</v>
      </c>
      <c r="I51" s="5">
        <v>14.2</v>
      </c>
      <c r="J51" s="1"/>
    </row>
    <row r="52" spans="3:10">
      <c r="C52" s="1" t="s">
        <v>11</v>
      </c>
      <c r="D52" s="1"/>
      <c r="E52" s="1"/>
      <c r="F52" s="1"/>
      <c r="G52" s="6" t="s">
        <v>9</v>
      </c>
      <c r="H52" s="6" t="s">
        <v>9</v>
      </c>
      <c r="I52" s="5">
        <v>27.3</v>
      </c>
      <c r="J52" s="1"/>
    </row>
    <row r="53" spans="3:10">
      <c r="C53" s="1" t="s">
        <v>12</v>
      </c>
      <c r="D53" s="1"/>
      <c r="E53" s="1"/>
      <c r="F53" s="1"/>
      <c r="G53" s="6" t="s">
        <v>9</v>
      </c>
      <c r="H53" s="6" t="s">
        <v>9</v>
      </c>
      <c r="I53" s="5">
        <v>1.6</v>
      </c>
      <c r="J53" s="1"/>
    </row>
    <row r="54" spans="3:10">
      <c r="C54" s="1" t="s">
        <v>13</v>
      </c>
      <c r="D54" s="1"/>
      <c r="E54" s="1"/>
      <c r="F54" s="1"/>
      <c r="G54" s="6" t="s">
        <v>9</v>
      </c>
      <c r="H54" s="6" t="s">
        <v>9</v>
      </c>
      <c r="I54" s="5">
        <v>5.0999999999999996</v>
      </c>
      <c r="J54" s="1"/>
    </row>
    <row r="55" spans="3:10">
      <c r="C55" s="1" t="s">
        <v>14</v>
      </c>
      <c r="D55" s="1"/>
      <c r="E55" s="1"/>
      <c r="F55" s="1"/>
      <c r="G55" s="1"/>
      <c r="H55" s="1"/>
      <c r="I55" s="1"/>
      <c r="J55" s="21">
        <f ca="1">SUM(I56:I60)</f>
        <v>250.35163724283808</v>
      </c>
    </row>
    <row r="56" spans="3:10">
      <c r="C56" s="1" t="s">
        <v>15</v>
      </c>
      <c r="D56" s="1"/>
      <c r="E56" s="1"/>
      <c r="F56" s="1"/>
      <c r="G56" s="6" t="s">
        <v>9</v>
      </c>
      <c r="H56" s="6" t="s">
        <v>9</v>
      </c>
      <c r="I56" s="5">
        <v>118.2</v>
      </c>
      <c r="J56" s="1"/>
    </row>
    <row r="57" spans="3:10">
      <c r="C57" s="4" t="s">
        <v>16</v>
      </c>
      <c r="D57" s="1"/>
      <c r="E57" s="1"/>
      <c r="F57" s="1"/>
      <c r="G57" s="6" t="s">
        <v>9</v>
      </c>
      <c r="H57" s="6" t="s">
        <v>9</v>
      </c>
      <c r="I57" s="5">
        <v>33.9</v>
      </c>
      <c r="J57" s="1"/>
    </row>
    <row r="58" spans="3:10">
      <c r="C58" s="1" t="s">
        <v>17</v>
      </c>
      <c r="D58" s="1"/>
      <c r="E58" s="1"/>
      <c r="F58" s="1"/>
      <c r="G58" s="7" t="s">
        <v>9</v>
      </c>
      <c r="H58" s="7" t="s">
        <v>9</v>
      </c>
      <c r="I58" s="5">
        <v>24.9</v>
      </c>
      <c r="J58" s="1"/>
    </row>
    <row r="59" spans="3:10">
      <c r="C59" s="1" t="s">
        <v>18</v>
      </c>
      <c r="D59" s="1"/>
      <c r="E59" s="1"/>
      <c r="F59" s="1"/>
      <c r="G59" s="10" t="s">
        <v>9</v>
      </c>
      <c r="H59" s="7" t="s">
        <v>9</v>
      </c>
      <c r="I59" s="5">
        <v>18.7</v>
      </c>
      <c r="J59" s="1"/>
    </row>
    <row r="60" spans="3:10">
      <c r="C60" s="1" t="s">
        <v>19</v>
      </c>
      <c r="D60" s="1"/>
      <c r="E60" s="1"/>
      <c r="F60" s="1"/>
      <c r="G60" s="11">
        <f ca="1">SUM(F61:F64)</f>
        <v>47.523162819859209</v>
      </c>
      <c r="H60" s="11">
        <f ca="1">0.15*G60</f>
        <v>7.128474422978881</v>
      </c>
      <c r="I60" s="12">
        <f ca="1">G60+H60</f>
        <v>54.651637242838092</v>
      </c>
      <c r="J60" s="1"/>
    </row>
    <row r="61" spans="3:10">
      <c r="C61" s="1" t="s">
        <v>20</v>
      </c>
      <c r="D61" s="1"/>
      <c r="E61" s="1"/>
      <c r="F61" s="12">
        <f>D29</f>
        <v>29.943630075002442</v>
      </c>
      <c r="G61" s="8"/>
      <c r="H61" s="1"/>
      <c r="I61" s="1"/>
      <c r="J61" s="1"/>
    </row>
    <row r="62" spans="3:10">
      <c r="C62" s="1" t="s">
        <v>21</v>
      </c>
      <c r="D62" s="1"/>
      <c r="E62" s="1"/>
      <c r="F62" s="12">
        <f>D24</f>
        <v>10.08</v>
      </c>
      <c r="G62" s="8"/>
      <c r="H62" s="1"/>
      <c r="I62" s="1"/>
      <c r="J62" s="1"/>
    </row>
    <row r="63" spans="3:10">
      <c r="C63" s="1" t="s">
        <v>22</v>
      </c>
      <c r="D63" s="1"/>
      <c r="E63" s="1"/>
      <c r="F63" s="12">
        <f>D33</f>
        <v>1.3725000000000001</v>
      </c>
      <c r="G63" s="8"/>
      <c r="H63" s="1"/>
      <c r="I63" s="1"/>
      <c r="J63" s="1"/>
    </row>
    <row r="64" spans="3:10">
      <c r="C64" s="1" t="s">
        <v>23</v>
      </c>
      <c r="D64" s="1"/>
      <c r="E64" s="1"/>
      <c r="F64" s="12">
        <f ca="1">D34</f>
        <v>6.1270327448567619</v>
      </c>
      <c r="G64" s="1"/>
      <c r="H64" s="1"/>
      <c r="I64" s="1"/>
      <c r="J64" s="1"/>
    </row>
    <row r="65" spans="3:10">
      <c r="C65" s="1" t="s">
        <v>24</v>
      </c>
      <c r="D65" s="1"/>
      <c r="E65" s="1"/>
      <c r="F65" s="1"/>
      <c r="G65" s="6" t="s">
        <v>9</v>
      </c>
      <c r="H65" s="6" t="s">
        <v>9</v>
      </c>
      <c r="I65" s="12">
        <f ca="1">D39</f>
        <v>72.911689663795457</v>
      </c>
      <c r="J65" s="1"/>
    </row>
    <row r="66" spans="3:10">
      <c r="C66" s="1" t="s">
        <v>25</v>
      </c>
      <c r="D66" s="1"/>
      <c r="E66" s="1"/>
      <c r="F66" s="1"/>
      <c r="G66" s="6" t="s">
        <v>9</v>
      </c>
      <c r="H66" s="6" t="s">
        <v>9</v>
      </c>
      <c r="I66" s="12">
        <f ca="1">D36</f>
        <v>9.1905491172851423</v>
      </c>
      <c r="J66" s="1"/>
    </row>
    <row r="67" spans="3:10">
      <c r="C67" s="1" t="s">
        <v>26</v>
      </c>
      <c r="D67" s="1"/>
      <c r="E67" s="1"/>
      <c r="F67" s="1"/>
      <c r="G67" s="1"/>
      <c r="H67" s="1"/>
      <c r="I67" s="1"/>
      <c r="J67" s="12">
        <f ca="1">J49+J55</f>
        <v>306.35163724283808</v>
      </c>
    </row>
    <row r="68" spans="3:10">
      <c r="C68" s="1" t="s">
        <v>27</v>
      </c>
      <c r="D68" s="1"/>
      <c r="E68" s="1"/>
      <c r="F68" s="1"/>
      <c r="G68" s="1"/>
      <c r="H68" s="1"/>
      <c r="I68" s="1"/>
      <c r="J68" s="5">
        <v>0</v>
      </c>
    </row>
    <row r="69" spans="3:10">
      <c r="C69" s="1" t="s">
        <v>28</v>
      </c>
      <c r="D69" s="1"/>
      <c r="E69" s="1"/>
      <c r="F69" s="1"/>
      <c r="G69" s="1"/>
      <c r="H69" s="1"/>
      <c r="I69" s="1"/>
      <c r="J69" s="5">
        <v>318</v>
      </c>
    </row>
    <row r="70" spans="3:10">
      <c r="C70" s="1" t="s">
        <v>29</v>
      </c>
      <c r="D70" s="1"/>
      <c r="E70" s="1"/>
      <c r="F70" s="1"/>
      <c r="G70" s="6" t="s">
        <v>9</v>
      </c>
      <c r="H70" s="6" t="s">
        <v>9</v>
      </c>
      <c r="I70" s="5">
        <v>209</v>
      </c>
      <c r="J70" s="1"/>
    </row>
    <row r="71" spans="3:10">
      <c r="C71" s="1" t="s">
        <v>30</v>
      </c>
      <c r="D71" s="1"/>
      <c r="E71" s="1"/>
      <c r="F71" s="1"/>
      <c r="G71" s="6" t="s">
        <v>9</v>
      </c>
      <c r="H71" s="6" t="s">
        <v>9</v>
      </c>
      <c r="I71" s="5">
        <v>109</v>
      </c>
      <c r="J71" s="1"/>
    </row>
    <row r="72" spans="3:10">
      <c r="C72" s="1" t="s">
        <v>31</v>
      </c>
      <c r="D72" s="1"/>
      <c r="E72" s="1"/>
      <c r="F72" s="1"/>
      <c r="G72" s="1"/>
      <c r="H72" s="1"/>
      <c r="I72" s="1"/>
      <c r="J72" s="12">
        <f ca="1">SUM(J67:J69)</f>
        <v>624.35163724283802</v>
      </c>
    </row>
    <row r="73" spans="3:10">
      <c r="C73" s="1" t="s">
        <v>32</v>
      </c>
      <c r="D73" s="1"/>
      <c r="E73" s="1"/>
      <c r="F73" s="1"/>
      <c r="G73" s="1"/>
      <c r="H73" s="1"/>
      <c r="I73" s="1"/>
      <c r="J73" s="5">
        <v>0</v>
      </c>
    </row>
    <row r="74" spans="3:10">
      <c r="C74" s="1" t="s">
        <v>33</v>
      </c>
      <c r="D74" s="1"/>
      <c r="E74" s="1"/>
      <c r="F74" s="1"/>
      <c r="G74" s="1"/>
      <c r="H74" s="1"/>
      <c r="I74" s="1"/>
      <c r="J74" s="12">
        <f ca="1">SUM(J72:J73)</f>
        <v>624.35163724283802</v>
      </c>
    </row>
    <row r="75" spans="3:10">
      <c r="C75" s="1" t="s">
        <v>34</v>
      </c>
      <c r="D75" s="1"/>
      <c r="E75" s="1"/>
      <c r="F75" s="1"/>
      <c r="G75" s="1"/>
      <c r="H75" s="1"/>
      <c r="I75" s="1"/>
      <c r="J75" s="5">
        <v>45</v>
      </c>
    </row>
    <row r="76" spans="3:10">
      <c r="C76" s="1" t="s">
        <v>35</v>
      </c>
      <c r="D76" s="1"/>
      <c r="E76" s="1"/>
      <c r="F76" s="1"/>
      <c r="G76" s="1"/>
      <c r="H76" s="1"/>
      <c r="I76" s="1"/>
      <c r="J76" s="12">
        <f ca="1">J74+J75</f>
        <v>669.35163724283802</v>
      </c>
    </row>
    <row r="77" spans="3:10">
      <c r="C77" s="1" t="s">
        <v>36</v>
      </c>
      <c r="D77" s="1"/>
      <c r="E77" s="1"/>
      <c r="F77" s="1"/>
      <c r="G77" s="1"/>
      <c r="H77" s="1"/>
      <c r="I77" s="1"/>
      <c r="J77" s="12">
        <f ca="1">J78-J76</f>
        <v>230.64836275716198</v>
      </c>
    </row>
    <row r="78" spans="3:10" ht="15" thickBot="1">
      <c r="C78" s="3" t="s">
        <v>37</v>
      </c>
      <c r="D78" s="3"/>
      <c r="E78" s="3"/>
      <c r="F78" s="3"/>
      <c r="G78" s="3"/>
      <c r="H78" s="3"/>
      <c r="I78" s="3"/>
      <c r="J78" s="9">
        <v>900</v>
      </c>
    </row>
    <row r="79" spans="3:10" ht="15" thickTop="1">
      <c r="C79" s="1"/>
      <c r="D79" s="1"/>
      <c r="E79" s="1"/>
      <c r="F79" s="1"/>
      <c r="G79" s="1"/>
      <c r="H79" s="1"/>
      <c r="I79" s="1"/>
      <c r="J79" s="1"/>
    </row>
    <row r="82" spans="3:7">
      <c r="C82" s="28" t="s">
        <v>76</v>
      </c>
      <c r="D82" s="29" t="s">
        <v>82</v>
      </c>
      <c r="E82" s="29" t="s">
        <v>83</v>
      </c>
      <c r="F82" s="29" t="s">
        <v>84</v>
      </c>
      <c r="G82" s="29" t="s">
        <v>85</v>
      </c>
    </row>
    <row r="83" spans="3:7">
      <c r="C83" s="28" t="s">
        <v>77</v>
      </c>
      <c r="D83" s="31">
        <v>8.9</v>
      </c>
      <c r="E83">
        <f>D28</f>
        <v>5.7583903990389311</v>
      </c>
      <c r="F83">
        <f>ABS(D83-E83)</f>
        <v>3.1416096009610692</v>
      </c>
      <c r="G83" s="33">
        <f>F83/D83</f>
        <v>0.35298984280461448</v>
      </c>
    </row>
    <row r="84" spans="3:7">
      <c r="C84" s="28" t="s">
        <v>78</v>
      </c>
      <c r="D84" s="30">
        <v>46.1</v>
      </c>
      <c r="E84">
        <f>D29</f>
        <v>29.943630075002442</v>
      </c>
      <c r="F84" s="29">
        <f t="shared" ref="F84:F87" si="0">ABS(D84-E84)</f>
        <v>16.156369924997559</v>
      </c>
      <c r="G84" s="33">
        <f t="shared" ref="G84:G87" si="1">F84/D84</f>
        <v>0.35046355585678002</v>
      </c>
    </row>
    <row r="85" spans="3:7">
      <c r="C85" s="28" t="s">
        <v>79</v>
      </c>
      <c r="D85" s="30">
        <v>12.2</v>
      </c>
      <c r="E85">
        <f>D24</f>
        <v>10.08</v>
      </c>
      <c r="F85" s="29">
        <f t="shared" si="0"/>
        <v>2.1199999999999992</v>
      </c>
      <c r="G85" s="33">
        <f t="shared" si="1"/>
        <v>0.17377049180327864</v>
      </c>
    </row>
    <row r="86" spans="3:7">
      <c r="C86" s="28" t="s">
        <v>80</v>
      </c>
      <c r="D86" s="30">
        <v>11</v>
      </c>
      <c r="E86">
        <f ca="1">D36</f>
        <v>9.1905491172851423</v>
      </c>
      <c r="F86" s="29">
        <f t="shared" ca="1" si="0"/>
        <v>1.8094508827148577</v>
      </c>
      <c r="G86" s="33">
        <f t="shared" ca="1" si="1"/>
        <v>0.16449553479225978</v>
      </c>
    </row>
    <row r="87" spans="3:7">
      <c r="C87" s="28" t="s">
        <v>81</v>
      </c>
      <c r="D87" s="30">
        <v>102.2</v>
      </c>
      <c r="E87">
        <f ca="1">D39</f>
        <v>72.911689663795457</v>
      </c>
      <c r="F87" s="29">
        <f t="shared" ca="1" si="0"/>
        <v>29.288310336204546</v>
      </c>
      <c r="G87" s="33">
        <f t="shared" ca="1" si="1"/>
        <v>0.28657837902352784</v>
      </c>
    </row>
  </sheetData>
  <mergeCells count="1">
    <mergeCell ref="G47:I47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Martimus</dc:creator>
  <cp:lastModifiedBy>Zachary Tschirhart</cp:lastModifiedBy>
  <dcterms:created xsi:type="dcterms:W3CDTF">2013-10-31T14:25:02Z</dcterms:created>
  <dcterms:modified xsi:type="dcterms:W3CDTF">2013-11-04T01:38:18Z</dcterms:modified>
</cp:coreProperties>
</file>