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indy/Desktop/"/>
    </mc:Choice>
  </mc:AlternateContent>
  <xr:revisionPtr revIDLastSave="0" documentId="13_ncr:1_{0EFF31A3-2435-1C4A-9DEB-4D2D70EAAA0B}" xr6:coauthVersionLast="36" xr6:coauthVersionMax="36" xr10:uidLastSave="{00000000-0000-0000-0000-000000000000}"/>
  <bookViews>
    <workbookView xWindow="6120" yWindow="720" windowWidth="24020" windowHeight="15700" xr2:uid="{00000000-000D-0000-FFFF-FFFF00000000}"/>
  </bookViews>
  <sheets>
    <sheet name="Credit Reward Offer" sheetId="14" r:id="rId1"/>
    <sheet name="Auto Sales Promotion Program" sheetId="7" r:id="rId2"/>
    <sheet name="Data Viz" sheetId="15" r:id="rId3"/>
    <sheet name="Problem_2 (2)" sheetId="8" state="hidden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16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localSheetId="0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localSheetId="0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dded_Fees" localSheetId="3">'Problem_2 (2)'!$G$4:$G$27</definedName>
    <definedName name="Car_Type" localSheetId="3">'Problem_2 (2)'!$E$4:$E$27</definedName>
    <definedName name="CBWorkbookPriority" hidden="1">-1591358542</definedName>
    <definedName name="Compact_Markup" localSheetId="3">'Problem_2 (2)'!$L$8</definedName>
    <definedName name="Fee_1000" localSheetId="3">'Problem_2 (2)'!$O$6</definedName>
    <definedName name="Fee_1300" localSheetId="3">'Problem_2 (2)'!$O$7</definedName>
    <definedName name="Fee_1600" localSheetId="3">'Problem_2 (2)'!$O$8</definedName>
    <definedName name="Fee_1900" localSheetId="3">'Problem_2 (2)'!$O$9</definedName>
    <definedName name="Fee_2500" localSheetId="3">'Problem_2 (2)'!$O$10</definedName>
    <definedName name="Fee_500" localSheetId="3">'Problem_2 (2)'!$O$4</definedName>
    <definedName name="Fee_750" localSheetId="3">'Problem_2 (2)'!$O$5</definedName>
    <definedName name="Letter">#REF!</definedName>
    <definedName name="Luxury_Markup" localSheetId="3">'Problem_2 (2)'!$L$4</definedName>
    <definedName name="Mini_Markup" localSheetId="3">'Problem_2 (2)'!$L$10</definedName>
    <definedName name="Model" localSheetId="3">'Problem_2 (2)'!$A$4:$A$27</definedName>
    <definedName name="Pal_Workbook_GUID" localSheetId="0" hidden="1">"SARZE8Q9GZLNHF8MZDM1GYFW"</definedName>
    <definedName name="Pal_Workbook_GUID" hidden="1">"8IFITU8PTMX47SBL8APLKYSN"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FALSE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FALSE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100</definedName>
    <definedName name="PTree_SensitivityAnalysis_Inputs_1_Minimum" hidden="1">-100</definedName>
    <definedName name="PTree_SensitivityAnalysis_Inputs_1_OneWayAnalysis" hidden="1">1</definedName>
    <definedName name="PTree_SensitivityAnalysis_Inputs_1_Steps" hidden="1">11</definedName>
    <definedName name="PTree_SensitivityAnalysis_Inputs_1_TwoWayAnalysis" hidden="1">0</definedName>
    <definedName name="PTree_SensitivityAnalysis_Inputs_1_VariationMethod" hidden="1">0</definedName>
    <definedName name="PTree_SensitivityAnalysis_Inputs_1_VaryCell" localSheetId="2" hidden="1">#REF!</definedName>
    <definedName name="PTree_SensitivityAnalysis_Inputs_1_VaryCell" hidden="1">#REF!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100</definedName>
    <definedName name="PTree_SensitivityAnalysis_Inputs_2_Minimum" hidden="1">-100</definedName>
    <definedName name="PTree_SensitivityAnalysis_Inputs_2_OneWayAnalysis" hidden="1">1</definedName>
    <definedName name="PTree_SensitivityAnalysis_Inputs_2_Steps" hidden="1">11</definedName>
    <definedName name="PTree_SensitivityAnalysis_Inputs_2_TwoWayAnalysis" hidden="1">0</definedName>
    <definedName name="PTree_SensitivityAnalysis_Inputs_2_VariationMethod" hidden="1">0</definedName>
    <definedName name="PTree_SensitivityAnalysis_Inputs_2_VaryCell" localSheetId="2" hidden="1">#REF!</definedName>
    <definedName name="PTree_SensitivityAnalysis_Inputs_2_VaryCell" hidden="1">#REF!</definedName>
    <definedName name="PTree_SensitivityAnalysis_Inputs_3_AlternateCellLabel" hidden="1">""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100</definedName>
    <definedName name="PTree_SensitivityAnalysis_Inputs_3_Minimum" hidden="1">-100</definedName>
    <definedName name="PTree_SensitivityAnalysis_Inputs_3_OneWayAnalysis" hidden="1">1</definedName>
    <definedName name="PTree_SensitivityAnalysis_Inputs_3_Steps" hidden="1">11</definedName>
    <definedName name="PTree_SensitivityAnalysis_Inputs_3_TwoWayAnalysis" hidden="1">0</definedName>
    <definedName name="PTree_SensitivityAnalysis_Inputs_3_VariationMethod" hidden="1">0</definedName>
    <definedName name="PTree_SensitivityAnalysis_Inputs_3_VaryCell" localSheetId="2" hidden="1">#REF!</definedName>
    <definedName name="PTree_SensitivityAnalysis_Inputs_3_VaryCell" hidden="1">#REF!</definedName>
    <definedName name="PTree_SensitivityAnalysis_Inputs_4_AlternateCellLabel" hidden="1">""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100</definedName>
    <definedName name="PTree_SensitivityAnalysis_Inputs_4_Minimum" hidden="1">-100</definedName>
    <definedName name="PTree_SensitivityAnalysis_Inputs_4_OneWayAnalysis" hidden="1">1</definedName>
    <definedName name="PTree_SensitivityAnalysis_Inputs_4_Steps" hidden="1">11</definedName>
    <definedName name="PTree_SensitivityAnalysis_Inputs_4_TwoWayAnalysis" hidden="1">0</definedName>
    <definedName name="PTree_SensitivityAnalysis_Inputs_4_VariationMethod" hidden="1">0</definedName>
    <definedName name="PTree_SensitivityAnalysis_Inputs_4_VaryCell" localSheetId="2" hidden="1">#REF!</definedName>
    <definedName name="PTree_SensitivityAnalysis_Inputs_4_VaryCell" hidden="1">#REF!</definedName>
    <definedName name="PTree_SensitivityAnalysis_Inputs_5_AlternateCellLabel" hidden="1">""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100</definedName>
    <definedName name="PTree_SensitivityAnalysis_Inputs_5_Minimum" hidden="1">-100</definedName>
    <definedName name="PTree_SensitivityAnalysis_Inputs_5_OneWayAnalysis" hidden="1">1</definedName>
    <definedName name="PTree_SensitivityAnalysis_Inputs_5_Steps" hidden="1">11</definedName>
    <definedName name="PTree_SensitivityAnalysis_Inputs_5_TwoWayAnalysis" hidden="1">0</definedName>
    <definedName name="PTree_SensitivityAnalysis_Inputs_5_VariationMethod" hidden="1">0</definedName>
    <definedName name="PTree_SensitivityAnalysis_Inputs_5_VaryCell" localSheetId="2" hidden="1">#REF!</definedName>
    <definedName name="PTree_SensitivityAnalysis_Inputs_5_VaryCell" hidden="1">#REF!</definedName>
    <definedName name="PTree_SensitivityAnalysis_Inputs_6_AlternateCellLabel" hidden="1">""</definedName>
    <definedName name="PTree_SensitivityAnalysis_Inputs_6_BaseValueIsAutomatic" hidden="1">TRUE</definedName>
    <definedName name="PTree_SensitivityAnalysis_Inputs_6_MaintainProbabilityNormalization" hidden="1">FALSE</definedName>
    <definedName name="PTree_SensitivityAnalysis_Inputs_6_ManualBaseValue" hidden="1">0</definedName>
    <definedName name="PTree_SensitivityAnalysis_Inputs_6_Maximum" hidden="1">100</definedName>
    <definedName name="PTree_SensitivityAnalysis_Inputs_6_Minimum" hidden="1">-100</definedName>
    <definedName name="PTree_SensitivityAnalysis_Inputs_6_OneWayAnalysis" hidden="1">1</definedName>
    <definedName name="PTree_SensitivityAnalysis_Inputs_6_Steps" hidden="1">11</definedName>
    <definedName name="PTree_SensitivityAnalysis_Inputs_6_TwoWayAnalysis" hidden="1">0</definedName>
    <definedName name="PTree_SensitivityAnalysis_Inputs_6_VariationMethod" hidden="1">0</definedName>
    <definedName name="PTree_SensitivityAnalysis_Inputs_6_VaryCell" localSheetId="2" hidden="1">#REF!</definedName>
    <definedName name="PTree_SensitivityAnalysis_Inputs_6_VaryCell" hidden="1">#REF!</definedName>
    <definedName name="PTree_SensitivityAnalysis_Inputs_7_AlternateCellLabel" hidden="1">""</definedName>
    <definedName name="PTree_SensitivityAnalysis_Inputs_7_BaseValueIsAutomatic" hidden="1">TRUE</definedName>
    <definedName name="PTree_SensitivityAnalysis_Inputs_7_MaintainProbabilityNormalization" hidden="1">FALSE</definedName>
    <definedName name="PTree_SensitivityAnalysis_Inputs_7_ManualBaseValue" hidden="1">0</definedName>
    <definedName name="PTree_SensitivityAnalysis_Inputs_7_Maximum" hidden="1">100</definedName>
    <definedName name="PTree_SensitivityAnalysis_Inputs_7_Minimum" hidden="1">-100</definedName>
    <definedName name="PTree_SensitivityAnalysis_Inputs_7_OneWayAnalysis" hidden="1">1</definedName>
    <definedName name="PTree_SensitivityAnalysis_Inputs_7_Steps" hidden="1">11</definedName>
    <definedName name="PTree_SensitivityAnalysis_Inputs_7_TwoWayAnalysis" hidden="1">0</definedName>
    <definedName name="PTree_SensitivityAnalysis_Inputs_7_VariationMethod" hidden="1">0</definedName>
    <definedName name="PTree_SensitivityAnalysis_Inputs_7_VaryCell" localSheetId="2" hidden="1">#REF!</definedName>
    <definedName name="PTree_SensitivityAnalysis_Inputs_7_VaryCell" hidden="1">#REF!</definedName>
    <definedName name="PTree_SensitivityAnalysis_Inputs_8_AlternateCellLabel" hidden="1">""</definedName>
    <definedName name="PTree_SensitivityAnalysis_Inputs_8_BaseValueIsAutomatic" hidden="1">TRUE</definedName>
    <definedName name="PTree_SensitivityAnalysis_Inputs_8_MaintainProbabilityNormalization" hidden="1">FALSE</definedName>
    <definedName name="PTree_SensitivityAnalysis_Inputs_8_ManualBaseValue" hidden="1">0</definedName>
    <definedName name="PTree_SensitivityAnalysis_Inputs_8_Maximum" hidden="1">100</definedName>
    <definedName name="PTree_SensitivityAnalysis_Inputs_8_Minimum" hidden="1">-100</definedName>
    <definedName name="PTree_SensitivityAnalysis_Inputs_8_OneWayAnalysis" hidden="1">1</definedName>
    <definedName name="PTree_SensitivityAnalysis_Inputs_8_Steps" hidden="1">11</definedName>
    <definedName name="PTree_SensitivityAnalysis_Inputs_8_TwoWayAnalysis" hidden="1">0</definedName>
    <definedName name="PTree_SensitivityAnalysis_Inputs_8_VariationMethod" hidden="1">0</definedName>
    <definedName name="PTree_SensitivityAnalysis_Inputs_8_VaryCell" localSheetId="2" hidden="1">#REF!</definedName>
    <definedName name="PTree_SensitivityAnalysis_Inputs_8_VaryCell" hidden="1">#REF!</definedName>
    <definedName name="PTree_SensitivityAnalysis_Inputs_Count" hidden="1">8</definedName>
    <definedName name="PTree_SensitivityAnalysis_Output_AlternateCellLabel" hidden="1">""</definedName>
    <definedName name="PTree_SensitivityAnalysis_Output_Model" localSheetId="2" hidden="1">PTreeObjectReference(PTDecisionTree_9,[1]treeCalc_9!$A$1)</definedName>
    <definedName name="PTree_SensitivityAnalysis_Output_Model" hidden="1">PTreeObjectReference(PTDecisionTree_9,[1]treeCalc_9!$A$1)</definedName>
    <definedName name="PTree_SensitivityAnalysis_Output_OutputType" hidden="1">1</definedName>
    <definedName name="PTree_SensitivityAnalysis_Output_StartingNode" localSheetId="2" hidden="1">PTreeObjectReference(PTDecisionTreeNode_9_8,#REF!)</definedName>
    <definedName name="PTree_SensitivityAnalysis_Output_StartingNode" hidden="1">PTreeObjectReference(PTDecisionTreeNode_9_8,#REF!)</definedName>
    <definedName name="PTree_SensitivityAnalysis_UpdateDisplay" hidden="1">FALSE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FALSE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FALSE</definedName>
    <definedName name="riskATSSpercentileValue" hidden="1">0.5</definedName>
    <definedName name="riskATSSprintReport" hidden="1">FALSE</definedName>
    <definedName name="riskATSSreportsInActiveBook" hidden="1">TRUE</definedName>
    <definedName name="riskATSSreportsSelected" hidden="1">TRUE</definedName>
    <definedName name="riskATSSsummaryReport" hidden="1">TRUE</definedName>
    <definedName name="riskATSStornadoGraph" hidden="1">FALSE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IsInput" hidden="1">_xll.RiskCellHasTokens(262144+512+524288)</definedName>
    <definedName name="RiskIsOutput" hidden="1">_xll.RiskCellHasTokens(1024)</definedName>
    <definedName name="RiskIsStatistics" hidden="1">_xll.RiskCellHasTokens(4096+32768+65536)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"$I$10"</definedName>
    <definedName name="RiskSelectedNameCell1" hidden="1">"$D$9"</definedName>
    <definedName name="RiskSelectedNameCell2" hidden="1">"$J$6"</definedName>
    <definedName name="RiskStandardRecalc" localSheetId="0" hidden="1">2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_Volume" localSheetId="3">'Problem_2 (2)'!$B$4:$B$27</definedName>
    <definedName name="Sedan_Markup" localSheetId="3">'Problem_2 (2)'!$L$7</definedName>
    <definedName name="solvero_CRMax" hidden="1">"System.Double:Infinity"</definedName>
    <definedName name="solvero_CRMin" hidden="1">"System.Double:-Infinity"</definedName>
    <definedName name="solvero_OSpPars" hidden="1">"RiskSolver.UI.Charts.OutDlgPars:-1000001;5;11;55;45;0;1;90;80;0;0;0;0;"</definedName>
    <definedName name="Sporty_Markup" localSheetId="3">'Problem_2 (2)'!$L$5</definedName>
    <definedName name="Sub_Markup" localSheetId="3">'Problem_2 (2)'!$L$9</definedName>
    <definedName name="Tax_Table">#REF!</definedName>
    <definedName name="Taxable_income">#REF!</definedName>
    <definedName name="TopRankDefaultDistForRange" hidden="1">0</definedName>
    <definedName name="TopRankDefaultMaxChange" hidden="1">0.1</definedName>
    <definedName name="TopRankDefaultMinChange" hidden="1">-0.1</definedName>
    <definedName name="TopRankDefaultMultiGroupSize" hidden="1">2</definedName>
    <definedName name="TopRankDefaultMultiStepsPerInput" hidden="1">2</definedName>
    <definedName name="TopRankDefaultRangeType" hidden="1">0</definedName>
    <definedName name="TopRankDefaultStepsPerInput" hidden="1">5</definedName>
    <definedName name="TopRankDetailByInputReport" hidden="1">FALSE</definedName>
    <definedName name="TopRankMaxInputsPerGraph" hidden="1">10</definedName>
    <definedName name="TopRankMultiWayReport" hidden="1">FALSE</definedName>
    <definedName name="TopRankNumberOfRuns" hidden="1">1</definedName>
    <definedName name="TopRankOnlyInputsOverThreshold" hidden="1">TRUE</definedName>
    <definedName name="TopRankOnlyTopRanking" hidden="1">TRUE</definedName>
    <definedName name="TopRankOutputDetailReport" hidden="1">FALSE</definedName>
    <definedName name="TopRankOutputsAsPercentChange" hidden="1">FALSE</definedName>
    <definedName name="TopRankOverwriteExisting" hidden="1">FALSE</definedName>
    <definedName name="TopRankPauseOnError" hidden="1">FALSE</definedName>
    <definedName name="TopRankPerformPrecedentScanAddOutput" hidden="1">FALSE</definedName>
    <definedName name="TopRankPerformPrecedentScanAtStart" hidden="1">TRUE</definedName>
    <definedName name="TopRankPrecedentScanType" hidden="1">1</definedName>
    <definedName name="TopRankReportAllOutputCells" hidden="1">TRUE</definedName>
    <definedName name="TopRankReportsInExistingWorkbook" hidden="1">FALSE</definedName>
    <definedName name="TopRankReportsInExistingWorkbookName" hidden="1">"Active Workbook"</definedName>
    <definedName name="TopRankReportsInNewWorkbook" hidden="1">TRUE</definedName>
    <definedName name="TopRankSensitivityGraphs" hidden="1">FALSE</definedName>
    <definedName name="TopRankSingleWorkbookAllResults" hidden="1">FALSE</definedName>
    <definedName name="TopRankSpiderGraphs" hidden="1">TRUE</definedName>
    <definedName name="TopRankTornadoGraphs" hidden="1">TRUE</definedName>
    <definedName name="TopRankUpdateDisplay" hidden="1">FALSE</definedName>
    <definedName name="Total_Dealer_Cost" localSheetId="3">'Problem_2 (2)'!$F$4:$F$27</definedName>
    <definedName name="Total_manu_cost" localSheetId="3">'Problem_2 (2)'!$D$4:$D$27</definedName>
    <definedName name="total_sales" localSheetId="3">'Problem_2 (2)'!$H$4:$H$27</definedName>
    <definedName name="treeList" hidden="1">"00000100100000000000000000000000000000000000000000000000000000000000000000000000000000000000000000000000000000000000000000000000000000000000000000000000000000000000000000000000000000000000000000000000"</definedName>
    <definedName name="Wagon_Markup" localSheetId="3">'Problem_2 (2)'!$L$6</definedName>
    <definedName name="Wholesale_Cost" localSheetId="3">'Problem_2 (2)'!$C$4:$C$27</definedName>
  </definedNames>
  <calcPr calcId="191029"/>
</workbook>
</file>

<file path=xl/calcChain.xml><?xml version="1.0" encoding="utf-8"?>
<calcChain xmlns="http://schemas.openxmlformats.org/spreadsheetml/2006/main">
  <c r="N29" i="7" l="1"/>
  <c r="M29" i="7"/>
  <c r="N19" i="7"/>
  <c r="N20" i="7"/>
  <c r="N21" i="7"/>
  <c r="N22" i="7"/>
  <c r="N23" i="7"/>
  <c r="N24" i="7"/>
  <c r="N25" i="7"/>
  <c r="N26" i="7"/>
  <c r="N27" i="7"/>
  <c r="N28" i="7"/>
  <c r="N18" i="7"/>
  <c r="M19" i="7"/>
  <c r="M20" i="7"/>
  <c r="M21" i="7"/>
  <c r="M22" i="7"/>
  <c r="M23" i="7"/>
  <c r="M24" i="7"/>
  <c r="M25" i="7"/>
  <c r="M26" i="7"/>
  <c r="M27" i="7"/>
  <c r="M28" i="7"/>
  <c r="M18" i="7"/>
  <c r="L19" i="7"/>
  <c r="L20" i="7"/>
  <c r="L21" i="7"/>
  <c r="L22" i="7"/>
  <c r="L23" i="7"/>
  <c r="L24" i="7"/>
  <c r="L25" i="7"/>
  <c r="L26" i="7"/>
  <c r="L27" i="7"/>
  <c r="L28" i="7"/>
  <c r="L18" i="7"/>
  <c r="K19" i="7" l="1"/>
  <c r="K20" i="7"/>
  <c r="K21" i="7"/>
  <c r="K22" i="7"/>
  <c r="K23" i="7"/>
  <c r="K24" i="7"/>
  <c r="K25" i="7"/>
  <c r="K26" i="7"/>
  <c r="K27" i="7"/>
  <c r="K28" i="7"/>
  <c r="K29" i="7"/>
  <c r="K18" i="7"/>
  <c r="J10" i="14"/>
  <c r="J5" i="14" l="1"/>
  <c r="J6" i="14"/>
  <c r="J7" i="14"/>
  <c r="J8" i="14"/>
  <c r="J9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4" i="14"/>
  <c r="H19" i="7"/>
  <c r="I19" i="7"/>
  <c r="J19" i="7"/>
  <c r="H20" i="7"/>
  <c r="I20" i="7"/>
  <c r="J20" i="7"/>
  <c r="H21" i="7"/>
  <c r="I21" i="7"/>
  <c r="J21" i="7"/>
  <c r="H22" i="7"/>
  <c r="I22" i="7"/>
  <c r="J22" i="7"/>
  <c r="H23" i="7"/>
  <c r="I23" i="7"/>
  <c r="J23" i="7"/>
  <c r="H24" i="7"/>
  <c r="I24" i="7"/>
  <c r="J24" i="7"/>
  <c r="H25" i="7"/>
  <c r="I25" i="7"/>
  <c r="J25" i="7"/>
  <c r="H26" i="7"/>
  <c r="I26" i="7"/>
  <c r="J26" i="7"/>
  <c r="H27" i="7"/>
  <c r="I27" i="7"/>
  <c r="J27" i="7"/>
  <c r="H28" i="7"/>
  <c r="I28" i="7"/>
  <c r="J28" i="7"/>
  <c r="H18" i="7"/>
  <c r="H29" i="7" s="1"/>
  <c r="I18" i="7"/>
  <c r="I29" i="7" s="1"/>
  <c r="J18" i="7"/>
  <c r="G18" i="7"/>
  <c r="G29" i="7" s="1"/>
  <c r="G19" i="7"/>
  <c r="G20" i="7"/>
  <c r="G21" i="7"/>
  <c r="G22" i="7"/>
  <c r="G23" i="7"/>
  <c r="G24" i="7"/>
  <c r="G25" i="7"/>
  <c r="G26" i="7"/>
  <c r="G27" i="7"/>
  <c r="G28" i="7"/>
  <c r="J29" i="7" l="1"/>
  <c r="F19" i="7"/>
  <c r="F6" i="7"/>
  <c r="F18" i="7"/>
  <c r="F20" i="7"/>
  <c r="F21" i="7"/>
  <c r="F22" i="7"/>
  <c r="F23" i="7"/>
  <c r="F24" i="7"/>
  <c r="F25" i="7"/>
  <c r="F26" i="7"/>
  <c r="F27" i="7"/>
  <c r="F28" i="7"/>
  <c r="F29" i="7" l="1"/>
  <c r="F5" i="7"/>
  <c r="D4" i="8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F19" i="8" s="1"/>
  <c r="D20" i="8"/>
  <c r="D21" i="8"/>
  <c r="D22" i="8"/>
  <c r="D23" i="8"/>
  <c r="F23" i="8" s="1"/>
  <c r="D24" i="8"/>
  <c r="D25" i="8"/>
  <c r="D26" i="8"/>
  <c r="D27" i="8"/>
  <c r="F27" i="8" s="1"/>
  <c r="F4" i="8"/>
  <c r="F5" i="8"/>
  <c r="F6" i="8"/>
  <c r="F7" i="8"/>
  <c r="F8" i="8"/>
  <c r="F9" i="8"/>
  <c r="F10" i="8"/>
  <c r="F11" i="8"/>
  <c r="G11" i="8" s="1"/>
  <c r="F16" i="8"/>
  <c r="F20" i="8"/>
  <c r="F24" i="8"/>
  <c r="G24" i="8" s="1"/>
  <c r="H24" i="8" s="1"/>
  <c r="D34" i="8"/>
  <c r="B32" i="8"/>
  <c r="B31" i="8"/>
  <c r="C30" i="8"/>
  <c r="B30" i="8"/>
  <c r="B29" i="8"/>
  <c r="F26" i="8"/>
  <c r="F25" i="8"/>
  <c r="F22" i="8"/>
  <c r="G22" i="8" s="1"/>
  <c r="H22" i="8" s="1"/>
  <c r="F21" i="8"/>
  <c r="F18" i="8"/>
  <c r="F17" i="8"/>
  <c r="G17" i="8" s="1"/>
  <c r="H17" i="8" s="1"/>
  <c r="F14" i="8"/>
  <c r="G14" i="8" s="1"/>
  <c r="F13" i="8"/>
  <c r="G13" i="8" s="1"/>
  <c r="H13" i="8" s="1"/>
  <c r="G8" i="8"/>
  <c r="H8" i="8" s="1"/>
  <c r="G20" i="8"/>
  <c r="H20" i="8" s="1"/>
  <c r="G26" i="8"/>
  <c r="H26" i="8" s="1"/>
  <c r="G5" i="8"/>
  <c r="H5" i="8" s="1"/>
  <c r="G9" i="8"/>
  <c r="H9" i="8" s="1"/>
  <c r="G18" i="8"/>
  <c r="H18" i="8" s="1"/>
  <c r="G10" i="8"/>
  <c r="H10" i="8" s="1"/>
  <c r="G16" i="8"/>
  <c r="H16" i="8"/>
  <c r="G21" i="8"/>
  <c r="H21" i="8" s="1"/>
  <c r="G25" i="8"/>
  <c r="H25" i="8" s="1"/>
  <c r="G6" i="8"/>
  <c r="H6" i="8" s="1"/>
  <c r="G4" i="8"/>
  <c r="H4" i="8" s="1"/>
  <c r="E29" i="7"/>
  <c r="D29" i="7"/>
  <c r="C29" i="7"/>
  <c r="B29" i="7"/>
  <c r="G23" i="8" l="1"/>
  <c r="H23" i="8" s="1"/>
  <c r="D29" i="8"/>
  <c r="H14" i="8"/>
  <c r="G27" i="8"/>
  <c r="H27" i="8" s="1"/>
  <c r="F30" i="8"/>
  <c r="G19" i="8"/>
  <c r="H19" i="8" s="1"/>
  <c r="D30" i="8"/>
  <c r="H11" i="8"/>
  <c r="G7" i="8"/>
  <c r="F29" i="8"/>
  <c r="G30" i="8" l="1"/>
  <c r="H7" i="8"/>
  <c r="G29" i="8"/>
  <c r="H29" i="8" l="1"/>
  <c r="H30" i="8"/>
  <c r="I20" i="8" l="1"/>
  <c r="I12" i="8"/>
  <c r="I9" i="8"/>
  <c r="I26" i="8"/>
  <c r="I21" i="8"/>
  <c r="I15" i="8"/>
  <c r="I24" i="8"/>
  <c r="I16" i="8"/>
  <c r="I10" i="8"/>
  <c r="I14" i="8"/>
  <c r="I18" i="8"/>
  <c r="I23" i="8"/>
  <c r="I25" i="8"/>
  <c r="I17" i="8"/>
  <c r="I22" i="8"/>
  <c r="I13" i="8"/>
  <c r="I8" i="8"/>
  <c r="I4" i="8"/>
  <c r="I6" i="8"/>
  <c r="I5" i="8"/>
  <c r="I19" i="8"/>
  <c r="I11" i="8"/>
  <c r="I27" i="8"/>
  <c r="I7" i="8"/>
</calcChain>
</file>

<file path=xl/sharedStrings.xml><?xml version="1.0" encoding="utf-8"?>
<sst xmlns="http://schemas.openxmlformats.org/spreadsheetml/2006/main" count="260" uniqueCount="165">
  <si>
    <t>Model</t>
  </si>
  <si>
    <t>Sales Volume</t>
  </si>
  <si>
    <t>Wholesale Cost per Vehicle</t>
  </si>
  <si>
    <t>Total Manufacturing Cost</t>
  </si>
  <si>
    <t>Car Type</t>
  </si>
  <si>
    <t>Total Dealer Cost</t>
  </si>
  <si>
    <t>Added Fees</t>
  </si>
  <si>
    <t>Total Sales</t>
  </si>
  <si>
    <t>% of total Volume</t>
  </si>
  <si>
    <t>VX207</t>
  </si>
  <si>
    <t>Luxury</t>
  </si>
  <si>
    <t>&lt;$15,000</t>
  </si>
  <si>
    <t>VX212</t>
  </si>
  <si>
    <t>Sporty</t>
  </si>
  <si>
    <t>$15,000 to $19,999</t>
  </si>
  <si>
    <t>VX208</t>
  </si>
  <si>
    <t>Wagon</t>
  </si>
  <si>
    <t>$20,000 to $24,999</t>
  </si>
  <si>
    <t>VX217</t>
  </si>
  <si>
    <t>Sedan</t>
  </si>
  <si>
    <t>$25,000 to $29,999</t>
  </si>
  <si>
    <t>VX220</t>
  </si>
  <si>
    <t>Compact</t>
  </si>
  <si>
    <t>$30,000 to $34,999</t>
  </si>
  <si>
    <t>VX219</t>
  </si>
  <si>
    <t>Subcompact</t>
  </si>
  <si>
    <t>$35,000 to $39,999</t>
  </si>
  <si>
    <t>VX201</t>
  </si>
  <si>
    <t>Mini-sub</t>
  </si>
  <si>
    <t>$40,000 and up</t>
  </si>
  <si>
    <t>VX209</t>
  </si>
  <si>
    <t>VX204</t>
  </si>
  <si>
    <t>VX215</t>
  </si>
  <si>
    <t>VX210</t>
  </si>
  <si>
    <t>VX211</t>
  </si>
  <si>
    <t>VX216</t>
  </si>
  <si>
    <t>VX214</t>
  </si>
  <si>
    <t>VX224</t>
  </si>
  <si>
    <t>VX218</t>
  </si>
  <si>
    <t>VX223</t>
  </si>
  <si>
    <t>VX213</t>
  </si>
  <si>
    <t>VX206</t>
  </si>
  <si>
    <t>VX202</t>
  </si>
  <si>
    <t>VX205</t>
  </si>
  <si>
    <t>VX222</t>
  </si>
  <si>
    <t>VX221</t>
  </si>
  <si>
    <t>VX203</t>
  </si>
  <si>
    <t xml:space="preserve">  total</t>
  </si>
  <si>
    <t>average</t>
  </si>
  <si>
    <t>highest</t>
  </si>
  <si>
    <t>lowest</t>
  </si>
  <si>
    <t># models available for sale</t>
  </si>
  <si>
    <t>July - December 2013 Sales Summary</t>
  </si>
  <si>
    <t>JMB AUTO SALES</t>
  </si>
  <si>
    <t>Sales Promotion Program</t>
  </si>
  <si>
    <t>1Q</t>
  </si>
  <si>
    <t>2Q</t>
  </si>
  <si>
    <t>3Q</t>
  </si>
  <si>
    <t>4Q</t>
  </si>
  <si>
    <t>Annual</t>
  </si>
  <si>
    <t>Additional Inputs:</t>
  </si>
  <si>
    <t>Estimate quality:Good category within</t>
  </si>
  <si>
    <t>Estimate quality:Poor category over</t>
  </si>
  <si>
    <t>Quarterly Sales Volumes</t>
  </si>
  <si>
    <t>Dealer#</t>
  </si>
  <si>
    <t xml:space="preserve">  Totals</t>
  </si>
  <si>
    <t xml:space="preserve"> Model</t>
  </si>
  <si>
    <t>Mark-up Percentages</t>
  </si>
  <si>
    <t>Total Dealer Cost per Unit</t>
  </si>
  <si>
    <t>Fees per Uni</t>
  </si>
  <si>
    <t>Last Name</t>
  </si>
  <si>
    <t>First Name</t>
  </si>
  <si>
    <t>Bonus</t>
  </si>
  <si>
    <t>Best in class bonus</t>
  </si>
  <si>
    <t>Estimate quality:
Excellent category within</t>
  </si>
  <si>
    <t>7% or less</t>
  </si>
  <si>
    <t>Sales above expected volume by a minimum of</t>
  </si>
  <si>
    <t>Shipping Rebates (per car sold):</t>
  </si>
  <si>
    <t>Expected Sales Volume (quarterly):</t>
  </si>
  <si>
    <t>Mathew</t>
  </si>
  <si>
    <t>Sales volume above expected volume by</t>
  </si>
  <si>
    <t>Credit Reward Offer</t>
  </si>
  <si>
    <t>Card Obtained</t>
  </si>
  <si>
    <t>Account Type</t>
  </si>
  <si>
    <t>Reward</t>
  </si>
  <si>
    <t>Purchase Levels</t>
  </si>
  <si>
    <t>Amante</t>
  </si>
  <si>
    <t>Serena</t>
  </si>
  <si>
    <t>Business</t>
  </si>
  <si>
    <t>Last Year Purchase</t>
  </si>
  <si>
    <t>Last Two Years Purchase</t>
  </si>
  <si>
    <t>Member Since</t>
  </si>
  <si>
    <t>Offer</t>
  </si>
  <si>
    <t>Amherst</t>
  </si>
  <si>
    <t>Julio</t>
  </si>
  <si>
    <t>Personal</t>
  </si>
  <si>
    <t>2.5% APR</t>
  </si>
  <si>
    <t>Applebee</t>
  </si>
  <si>
    <t>Clinton</t>
  </si>
  <si>
    <t>No Annual Fee</t>
  </si>
  <si>
    <t>Brandl</t>
  </si>
  <si>
    <t>Darren</t>
  </si>
  <si>
    <t>4% APR</t>
  </si>
  <si>
    <t>Buesing</t>
  </si>
  <si>
    <t>Max</t>
  </si>
  <si>
    <t>Cali</t>
  </si>
  <si>
    <t>Clayton</t>
  </si>
  <si>
    <t>Carrow</t>
  </si>
  <si>
    <t>Annabelle</t>
  </si>
  <si>
    <t/>
  </si>
  <si>
    <t>Cowens</t>
  </si>
  <si>
    <t>Jami</t>
  </si>
  <si>
    <t>Durazo</t>
  </si>
  <si>
    <t>Lilia</t>
  </si>
  <si>
    <t>Gries</t>
  </si>
  <si>
    <t>Roxie</t>
  </si>
  <si>
    <t>Halvorsen</t>
  </si>
  <si>
    <t>Neil</t>
  </si>
  <si>
    <t>Hocker</t>
  </si>
  <si>
    <t>Dollie</t>
  </si>
  <si>
    <t>Kerrick</t>
  </si>
  <si>
    <t>Fernando</t>
  </si>
  <si>
    <t>Kitzmiller</t>
  </si>
  <si>
    <t>Kurt</t>
  </si>
  <si>
    <t>Larock</t>
  </si>
  <si>
    <t>Jessie</t>
  </si>
  <si>
    <t>Lobaugh</t>
  </si>
  <si>
    <t>Liza</t>
  </si>
  <si>
    <t>Madere</t>
  </si>
  <si>
    <t>Benita</t>
  </si>
  <si>
    <t>Mero</t>
  </si>
  <si>
    <t>Meyerhoff</t>
  </si>
  <si>
    <t>Ostler</t>
  </si>
  <si>
    <t>Erik</t>
  </si>
  <si>
    <t>Roquemore</t>
  </si>
  <si>
    <t>Rae</t>
  </si>
  <si>
    <t>Sabatini</t>
  </si>
  <si>
    <t>Earnestine</t>
  </si>
  <si>
    <t>Schrack</t>
  </si>
  <si>
    <t>Lenore</t>
  </si>
  <si>
    <t>Shimmin</t>
  </si>
  <si>
    <t>Ted</t>
  </si>
  <si>
    <t>Stell</t>
  </si>
  <si>
    <t>Cody</t>
  </si>
  <si>
    <t>Straw</t>
  </si>
  <si>
    <t>Guy</t>
  </si>
  <si>
    <t>Tall</t>
  </si>
  <si>
    <t>Avis</t>
  </si>
  <si>
    <t>Temples</t>
  </si>
  <si>
    <t>Terrel</t>
  </si>
  <si>
    <t>Yelton</t>
  </si>
  <si>
    <t>Sofia</t>
  </si>
  <si>
    <t>Original Data</t>
  </si>
  <si>
    <t>Facebook</t>
  </si>
  <si>
    <t>Instagram</t>
  </si>
  <si>
    <t>WhatsApp</t>
  </si>
  <si>
    <t xml:space="preserve">Total annual sales volume </t>
  </si>
  <si>
    <t>Space 1</t>
  </si>
  <si>
    <t>Space 3</t>
  </si>
  <si>
    <t>Space 2</t>
  </si>
  <si>
    <t>Height</t>
  </si>
  <si>
    <t>Estimate quality</t>
  </si>
  <si>
    <t>Top Perfromer Bonus</t>
  </si>
  <si>
    <t>Overall sales volume Bonus</t>
  </si>
  <si>
    <t>Shipping Rebate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</si>
</sst>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_);_(&quot;$&quot;* \(#,##0\);_(&quot;$&quot;* &quot;-&quot;??_);_(@_)"/>
    <numFmt numFmtId="166" formatCode="_(* #,##0_);_(* \(#,##0\);_(* &quot;-&quot;??_);_(@_)"/>
    <numFmt numFmtId="167" formatCode="&quot;$&quot;#,##0"/>
    <numFmt numFmtId="168" formatCode="0.0%"/>
  </numFmts>
  <fonts count="2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mbria"/>
      <family val="2"/>
      <scheme val="maj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6B9B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BC08E"/>
        <bgColor indexed="64"/>
      </patternFill>
    </fill>
    <fill>
      <patternFill patternType="solid">
        <fgColor rgb="FFECF2DF"/>
        <bgColor indexed="64"/>
      </patternFill>
    </fill>
    <fill>
      <patternFill patternType="solid">
        <fgColor rgb="FF95363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0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44" fontId="7" fillId="0" borderId="0" applyFont="0" applyFill="0" applyBorder="0" applyAlignment="0" applyProtection="0"/>
    <xf numFmtId="0" fontId="8" fillId="0" borderId="2" applyNumberFormat="0" applyFill="0" applyAlignment="0" applyProtection="0"/>
    <xf numFmtId="0" fontId="4" fillId="2" borderId="0" applyNumberFormat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6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3" fillId="10" borderId="0" applyNumberFormat="0" applyBorder="0" applyAlignment="0" applyProtection="0"/>
    <xf numFmtId="0" fontId="24" fillId="0" borderId="0"/>
    <xf numFmtId="41" fontId="24" fillId="0" borderId="0" applyFont="0" applyFill="0" applyBorder="0" applyAlignment="0" applyProtection="0"/>
  </cellStyleXfs>
  <cellXfs count="147">
    <xf numFmtId="0" fontId="0" fillId="0" borderId="0" xfId="0"/>
    <xf numFmtId="0" fontId="3" fillId="0" borderId="3" xfId="5" applyFont="1" applyFill="1" applyBorder="1" applyAlignment="1">
      <alignment horizontal="center" vertical="center" wrapText="1"/>
    </xf>
    <xf numFmtId="0" fontId="10" fillId="0" borderId="0" xfId="6" applyFill="1"/>
    <xf numFmtId="0" fontId="10" fillId="0" borderId="0" xfId="6" applyFill="1" applyAlignment="1">
      <alignment horizontal="center"/>
    </xf>
    <xf numFmtId="0" fontId="5" fillId="0" borderId="0" xfId="1" applyFill="1"/>
    <xf numFmtId="0" fontId="10" fillId="0" borderId="0" xfId="6" applyFill="1" applyAlignment="1">
      <alignment wrapText="1"/>
    </xf>
    <xf numFmtId="165" fontId="0" fillId="0" borderId="0" xfId="7" applyNumberFormat="1" applyFont="1" applyFill="1"/>
    <xf numFmtId="0" fontId="11" fillId="0" borderId="0" xfId="6" applyFont="1" applyFill="1"/>
    <xf numFmtId="0" fontId="10" fillId="0" borderId="0" xfId="6" applyFont="1" applyFill="1"/>
    <xf numFmtId="0" fontId="12" fillId="0" borderId="2" xfId="4" applyFont="1" applyFill="1" applyAlignment="1">
      <alignment horizontal="center" wrapText="1"/>
    </xf>
    <xf numFmtId="0" fontId="13" fillId="0" borderId="1" xfId="6" applyFont="1" applyFill="1" applyBorder="1"/>
    <xf numFmtId="9" fontId="14" fillId="0" borderId="1" xfId="8" applyNumberFormat="1" applyFont="1" applyFill="1" applyBorder="1"/>
    <xf numFmtId="0" fontId="13" fillId="0" borderId="11" xfId="6" applyFont="1" applyFill="1" applyBorder="1"/>
    <xf numFmtId="9" fontId="14" fillId="0" borderId="11" xfId="8" applyNumberFormat="1" applyFont="1" applyFill="1" applyBorder="1"/>
    <xf numFmtId="0" fontId="6" fillId="0" borderId="3" xfId="5" applyFont="1" applyFill="1" applyBorder="1" applyAlignment="1">
      <alignment horizontal="center" vertical="center"/>
    </xf>
    <xf numFmtId="0" fontId="6" fillId="0" borderId="3" xfId="5" applyFont="1" applyFill="1" applyBorder="1" applyAlignment="1">
      <alignment horizontal="center" vertical="center" wrapText="1"/>
    </xf>
    <xf numFmtId="0" fontId="14" fillId="0" borderId="1" xfId="8" applyNumberFormat="1" applyFont="1" applyFill="1" applyBorder="1"/>
    <xf numFmtId="165" fontId="14" fillId="0" borderId="1" xfId="7" applyNumberFormat="1" applyFont="1" applyFill="1" applyBorder="1"/>
    <xf numFmtId="9" fontId="14" fillId="0" borderId="1" xfId="9" applyFont="1" applyFill="1" applyBorder="1" applyAlignment="1">
      <alignment horizontal="center"/>
    </xf>
    <xf numFmtId="10" fontId="14" fillId="0" borderId="1" xfId="9" applyNumberFormat="1" applyFont="1" applyFill="1" applyBorder="1"/>
    <xf numFmtId="166" fontId="14" fillId="0" borderId="1" xfId="8" applyNumberFormat="1" applyFont="1" applyFill="1" applyBorder="1"/>
    <xf numFmtId="0" fontId="13" fillId="0" borderId="1" xfId="6" applyFont="1" applyFill="1" applyBorder="1" applyAlignment="1">
      <alignment horizontal="center"/>
    </xf>
    <xf numFmtId="0" fontId="14" fillId="0" borderId="11" xfId="8" applyNumberFormat="1" applyFont="1" applyFill="1" applyBorder="1"/>
    <xf numFmtId="166" fontId="14" fillId="0" borderId="11" xfId="8" applyNumberFormat="1" applyFont="1" applyFill="1" applyBorder="1"/>
    <xf numFmtId="0" fontId="13" fillId="0" borderId="11" xfId="6" applyFont="1" applyFill="1" applyBorder="1" applyAlignment="1">
      <alignment horizontal="center"/>
    </xf>
    <xf numFmtId="165" fontId="14" fillId="0" borderId="11" xfId="7" applyNumberFormat="1" applyFont="1" applyFill="1" applyBorder="1"/>
    <xf numFmtId="10" fontId="14" fillId="0" borderId="11" xfId="9" applyNumberFormat="1" applyFont="1" applyFill="1" applyBorder="1"/>
    <xf numFmtId="166" fontId="13" fillId="0" borderId="1" xfId="6" applyNumberFormat="1" applyFont="1" applyFill="1" applyBorder="1"/>
    <xf numFmtId="2" fontId="13" fillId="0" borderId="1" xfId="6" applyNumberFormat="1" applyFont="1" applyFill="1" applyBorder="1"/>
    <xf numFmtId="166" fontId="14" fillId="0" borderId="1" xfId="8" applyNumberFormat="1" applyFont="1" applyFill="1" applyBorder="1" applyAlignment="1">
      <alignment horizontal="center"/>
    </xf>
    <xf numFmtId="0" fontId="13" fillId="0" borderId="0" xfId="6" applyFont="1" applyFill="1"/>
    <xf numFmtId="0" fontId="13" fillId="0" borderId="0" xfId="6" applyFont="1" applyFill="1" applyAlignment="1">
      <alignment horizontal="center"/>
    </xf>
    <xf numFmtId="165" fontId="14" fillId="0" borderId="1" xfId="7" applyNumberFormat="1" applyFont="1" applyBorder="1"/>
    <xf numFmtId="6" fontId="14" fillId="0" borderId="1" xfId="8" applyNumberFormat="1" applyFont="1" applyFill="1" applyBorder="1"/>
    <xf numFmtId="6" fontId="14" fillId="0" borderId="11" xfId="8" applyNumberFormat="1" applyFont="1" applyFill="1" applyBorder="1"/>
    <xf numFmtId="0" fontId="15" fillId="0" borderId="0" xfId="1" applyFont="1" applyFill="1"/>
    <xf numFmtId="164" fontId="14" fillId="0" borderId="1" xfId="7" applyNumberFormat="1" applyFont="1" applyFill="1" applyBorder="1"/>
    <xf numFmtId="164" fontId="14" fillId="0" borderId="11" xfId="7" applyNumberFormat="1" applyFont="1" applyFill="1" applyBorder="1"/>
    <xf numFmtId="0" fontId="17" fillId="0" borderId="0" xfId="6" applyFont="1" applyAlignment="1">
      <alignment horizontal="center"/>
    </xf>
    <xf numFmtId="0" fontId="17" fillId="0" borderId="0" xfId="6" applyFont="1" applyBorder="1"/>
    <xf numFmtId="0" fontId="17" fillId="0" borderId="0" xfId="6" applyFont="1"/>
    <xf numFmtId="0" fontId="17" fillId="3" borderId="1" xfId="6" applyFont="1" applyFill="1" applyBorder="1" applyAlignment="1">
      <alignment horizontal="center"/>
    </xf>
    <xf numFmtId="164" fontId="17" fillId="3" borderId="1" xfId="7" applyNumberFormat="1" applyFont="1" applyFill="1" applyBorder="1" applyAlignment="1">
      <alignment horizontal="center"/>
    </xf>
    <xf numFmtId="43" fontId="17" fillId="0" borderId="0" xfId="6" applyNumberFormat="1" applyFont="1"/>
    <xf numFmtId="0" fontId="17" fillId="3" borderId="1" xfId="8" applyNumberFormat="1" applyFont="1" applyFill="1" applyBorder="1" applyAlignment="1">
      <alignment horizontal="center"/>
    </xf>
    <xf numFmtId="0" fontId="17" fillId="0" borderId="0" xfId="6" applyFont="1" applyFill="1" applyBorder="1"/>
    <xf numFmtId="166" fontId="17" fillId="0" borderId="0" xfId="8" applyNumberFormat="1" applyFont="1" applyFill="1" applyBorder="1"/>
    <xf numFmtId="0" fontId="17" fillId="0" borderId="0" xfId="6" applyFont="1" applyFill="1"/>
    <xf numFmtId="0" fontId="4" fillId="7" borderId="1" xfId="13" applyBorder="1" applyAlignment="1">
      <alignment horizontal="center"/>
    </xf>
    <xf numFmtId="0" fontId="18" fillId="0" borderId="1" xfId="6" applyFont="1" applyBorder="1"/>
    <xf numFmtId="0" fontId="4" fillId="6" borderId="1" xfId="12" applyFont="1" applyBorder="1" applyAlignment="1">
      <alignment horizontal="center"/>
    </xf>
    <xf numFmtId="0" fontId="4" fillId="6" borderId="1" xfId="12" applyFont="1" applyBorder="1" applyAlignment="1"/>
    <xf numFmtId="0" fontId="9" fillId="5" borderId="4" xfId="11" applyFont="1" applyBorder="1"/>
    <xf numFmtId="0" fontId="9" fillId="5" borderId="5" xfId="11" applyFont="1" applyBorder="1"/>
    <xf numFmtId="0" fontId="9" fillId="5" borderId="6" xfId="11" applyFont="1" applyBorder="1"/>
    <xf numFmtId="0" fontId="4" fillId="6" borderId="1" xfId="12" applyBorder="1"/>
    <xf numFmtId="0" fontId="20" fillId="6" borderId="4" xfId="12" applyFont="1" applyBorder="1" applyAlignment="1">
      <alignment wrapText="1"/>
    </xf>
    <xf numFmtId="0" fontId="20" fillId="6" borderId="4" xfId="12" applyFont="1" applyBorder="1"/>
    <xf numFmtId="0" fontId="20" fillId="6" borderId="5" xfId="12" applyFont="1" applyBorder="1"/>
    <xf numFmtId="0" fontId="4" fillId="7" borderId="9" xfId="13" applyBorder="1"/>
    <xf numFmtId="0" fontId="4" fillId="7" borderId="10" xfId="13" applyBorder="1" applyAlignment="1">
      <alignment horizontal="center"/>
    </xf>
    <xf numFmtId="166" fontId="21" fillId="4" borderId="6" xfId="8" applyNumberFormat="1" applyFont="1" applyFill="1" applyBorder="1"/>
    <xf numFmtId="9" fontId="18" fillId="9" borderId="6" xfId="6" applyNumberFormat="1" applyFont="1" applyFill="1" applyBorder="1"/>
    <xf numFmtId="166" fontId="18" fillId="9" borderId="6" xfId="8" applyNumberFormat="1" applyFont="1" applyFill="1" applyBorder="1"/>
    <xf numFmtId="9" fontId="18" fillId="8" borderId="5" xfId="9" applyFont="1" applyFill="1" applyBorder="1" applyAlignment="1">
      <alignment horizontal="center"/>
    </xf>
    <xf numFmtId="166" fontId="18" fillId="8" borderId="6" xfId="8" applyNumberFormat="1" applyFont="1" applyFill="1" applyBorder="1" applyAlignment="1">
      <alignment horizontal="center"/>
    </xf>
    <xf numFmtId="9" fontId="18" fillId="8" borderId="5" xfId="6" applyNumberFormat="1" applyFont="1" applyFill="1" applyBorder="1" applyAlignment="1">
      <alignment horizontal="center"/>
    </xf>
    <xf numFmtId="166" fontId="19" fillId="8" borderId="10" xfId="12" applyNumberFormat="1" applyFont="1" applyFill="1" applyBorder="1" applyAlignment="1"/>
    <xf numFmtId="165" fontId="4" fillId="0" borderId="1" xfId="12" applyNumberFormat="1" applyFont="1" applyFill="1" applyBorder="1" applyAlignment="1"/>
    <xf numFmtId="0" fontId="0" fillId="0" borderId="0" xfId="0" applyAlignment="1">
      <alignment horizontal="center"/>
    </xf>
    <xf numFmtId="0" fontId="4" fillId="7" borderId="1" xfId="13" applyBorder="1" applyAlignment="1">
      <alignment horizontal="center"/>
    </xf>
    <xf numFmtId="0" fontId="22" fillId="11" borderId="0" xfId="17" applyFont="1" applyFill="1"/>
    <xf numFmtId="0" fontId="22" fillId="11" borderId="0" xfId="17" applyFont="1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9" fillId="12" borderId="12" xfId="0" applyFont="1" applyFill="1" applyBorder="1"/>
    <xf numFmtId="0" fontId="9" fillId="12" borderId="13" xfId="0" applyFont="1" applyFill="1" applyBorder="1"/>
    <xf numFmtId="0" fontId="9" fillId="12" borderId="13" xfId="0" applyFont="1" applyFill="1" applyBorder="1" applyAlignment="1">
      <alignment horizontal="center"/>
    </xf>
    <xf numFmtId="1" fontId="9" fillId="12" borderId="13" xfId="0" applyNumberFormat="1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 wrapText="1"/>
    </xf>
    <xf numFmtId="0" fontId="0" fillId="0" borderId="12" xfId="0" applyFont="1" applyBorder="1"/>
    <xf numFmtId="0" fontId="0" fillId="0" borderId="13" xfId="0" applyFont="1" applyBorder="1"/>
    <xf numFmtId="0" fontId="0" fillId="0" borderId="13" xfId="0" applyFont="1" applyBorder="1" applyAlignment="1">
      <alignment horizontal="center"/>
    </xf>
    <xf numFmtId="167" fontId="0" fillId="0" borderId="13" xfId="16" applyNumberFormat="1" applyFont="1" applyBorder="1" applyAlignment="1">
      <alignment horizontal="center"/>
    </xf>
    <xf numFmtId="168" fontId="0" fillId="0" borderId="13" xfId="15" applyNumberFormat="1" applyFont="1" applyBorder="1"/>
    <xf numFmtId="0" fontId="9" fillId="12" borderId="14" xfId="0" applyFont="1" applyFill="1" applyBorder="1" applyAlignment="1">
      <alignment horizontal="center" wrapText="1"/>
    </xf>
    <xf numFmtId="0" fontId="9" fillId="12" borderId="15" xfId="0" applyFont="1" applyFill="1" applyBorder="1" applyAlignment="1">
      <alignment horizontal="center" wrapText="1"/>
    </xf>
    <xf numFmtId="0" fontId="9" fillId="12" borderId="16" xfId="0" applyFont="1" applyFill="1" applyBorder="1" applyAlignment="1">
      <alignment horizontal="center"/>
    </xf>
    <xf numFmtId="167" fontId="0" fillId="13" borderId="14" xfId="0" applyNumberFormat="1" applyFont="1" applyFill="1" applyBorder="1" applyAlignment="1">
      <alignment horizontal="center"/>
    </xf>
    <xf numFmtId="167" fontId="0" fillId="13" borderId="15" xfId="0" applyNumberFormat="1" applyFont="1" applyFill="1" applyBorder="1" applyAlignment="1">
      <alignment horizontal="center"/>
    </xf>
    <xf numFmtId="0" fontId="0" fillId="13" borderId="15" xfId="0" applyFont="1" applyFill="1" applyBorder="1" applyAlignment="1">
      <alignment horizontal="center"/>
    </xf>
    <xf numFmtId="0" fontId="3" fillId="13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13" borderId="17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3" fillId="13" borderId="19" xfId="0" applyFont="1" applyFill="1" applyBorder="1" applyAlignment="1">
      <alignment horizontal="center"/>
    </xf>
    <xf numFmtId="0" fontId="0" fillId="0" borderId="20" xfId="0" applyFont="1" applyBorder="1"/>
    <xf numFmtId="0" fontId="0" fillId="0" borderId="21" xfId="0" applyFont="1" applyBorder="1"/>
    <xf numFmtId="0" fontId="0" fillId="0" borderId="21" xfId="0" applyFont="1" applyBorder="1" applyAlignment="1">
      <alignment horizontal="center"/>
    </xf>
    <xf numFmtId="167" fontId="0" fillId="0" borderId="21" xfId="16" applyNumberFormat="1" applyFont="1" applyBorder="1" applyAlignment="1">
      <alignment horizontal="center"/>
    </xf>
    <xf numFmtId="0" fontId="11" fillId="0" borderId="0" xfId="18" applyFont="1"/>
    <xf numFmtId="0" fontId="2" fillId="0" borderId="0" xfId="18" applyFont="1"/>
    <xf numFmtId="0" fontId="24" fillId="0" borderId="0" xfId="18"/>
    <xf numFmtId="0" fontId="2" fillId="0" borderId="0" xfId="18" applyFont="1" applyFill="1"/>
    <xf numFmtId="0" fontId="16" fillId="14" borderId="22" xfId="18" applyFont="1" applyFill="1" applyBorder="1"/>
    <xf numFmtId="0" fontId="16" fillId="14" borderId="22" xfId="18" applyNumberFormat="1" applyFont="1" applyFill="1" applyBorder="1" applyAlignment="1">
      <alignment horizontal="center"/>
    </xf>
    <xf numFmtId="0" fontId="2" fillId="3" borderId="22" xfId="18" applyFont="1" applyFill="1" applyBorder="1"/>
    <xf numFmtId="0" fontId="4" fillId="3" borderId="22" xfId="19" applyNumberFormat="1" applyFont="1" applyFill="1" applyBorder="1"/>
    <xf numFmtId="0" fontId="4" fillId="0" borderId="0" xfId="19" applyNumberFormat="1" applyFont="1" applyFill="1" applyBorder="1"/>
    <xf numFmtId="0" fontId="16" fillId="14" borderId="0" xfId="18" applyNumberFormat="1" applyFont="1" applyFill="1" applyBorder="1" applyAlignment="1">
      <alignment horizontal="center"/>
    </xf>
    <xf numFmtId="0" fontId="1" fillId="0" borderId="0" xfId="18" applyFont="1"/>
    <xf numFmtId="168" fontId="0" fillId="0" borderId="13" xfId="15" quotePrefix="1" applyNumberFormat="1" applyFont="1" applyBorder="1"/>
    <xf numFmtId="0" fontId="4" fillId="7" borderId="9" xfId="13" applyBorder="1" applyAlignment="1">
      <alignment horizontal="center"/>
    </xf>
    <xf numFmtId="0" fontId="17" fillId="3" borderId="4" xfId="6" applyFont="1" applyFill="1" applyBorder="1" applyAlignment="1">
      <alignment horizontal="center"/>
    </xf>
    <xf numFmtId="0" fontId="17" fillId="0" borderId="1" xfId="6" applyNumberFormat="1" applyFont="1" applyBorder="1"/>
    <xf numFmtId="167" fontId="17" fillId="0" borderId="1" xfId="15" applyNumberFormat="1" applyFont="1" applyBorder="1"/>
    <xf numFmtId="167" fontId="17" fillId="0" borderId="1" xfId="6" applyNumberFormat="1" applyFont="1" applyBorder="1"/>
    <xf numFmtId="0" fontId="17" fillId="0" borderId="1" xfId="6" applyFont="1" applyBorder="1" applyAlignment="1">
      <alignment horizontal="center"/>
    </xf>
    <xf numFmtId="0" fontId="17" fillId="0" borderId="1" xfId="6" applyFont="1" applyBorder="1"/>
    <xf numFmtId="167" fontId="17" fillId="0" borderId="1" xfId="6" applyNumberFormat="1" applyFont="1" applyFill="1" applyBorder="1"/>
    <xf numFmtId="0" fontId="25" fillId="15" borderId="1" xfId="6" applyFont="1" applyFill="1" applyBorder="1" applyAlignment="1">
      <alignment horizontal="center"/>
    </xf>
    <xf numFmtId="0" fontId="4" fillId="7" borderId="1" xfId="13" applyBorder="1" applyAlignment="1">
      <alignment horizontal="center"/>
    </xf>
    <xf numFmtId="9" fontId="4" fillId="3" borderId="22" xfId="19" applyNumberFormat="1" applyFont="1" applyFill="1" applyBorder="1"/>
    <xf numFmtId="9" fontId="4" fillId="3" borderId="0" xfId="19" applyNumberFormat="1" applyFont="1" applyFill="1" applyBorder="1"/>
    <xf numFmtId="9" fontId="2" fillId="0" borderId="0" xfId="18" applyNumberFormat="1" applyFont="1"/>
    <xf numFmtId="0" fontId="17" fillId="0" borderId="0" xfId="6" applyFont="1" applyFill="1" applyBorder="1" applyAlignment="1">
      <alignment horizontal="center"/>
    </xf>
    <xf numFmtId="167" fontId="17" fillId="0" borderId="1" xfId="15" applyNumberFormat="1" applyFont="1" applyFill="1" applyBorder="1"/>
    <xf numFmtId="167" fontId="17" fillId="0" borderId="8" xfId="6" applyNumberFormat="1" applyFont="1" applyFill="1" applyBorder="1" applyAlignment="1">
      <alignment horizontal="center"/>
    </xf>
    <xf numFmtId="0" fontId="17" fillId="0" borderId="8" xfId="6" applyFont="1" applyFill="1" applyBorder="1" applyAlignment="1">
      <alignment horizontal="center"/>
    </xf>
    <xf numFmtId="0" fontId="4" fillId="7" borderId="1" xfId="13" applyBorder="1" applyAlignment="1">
      <alignment horizontal="center"/>
    </xf>
    <xf numFmtId="0" fontId="4" fillId="7" borderId="4" xfId="13" applyBorder="1" applyAlignment="1">
      <alignment horizontal="center"/>
    </xf>
    <xf numFmtId="0" fontId="9" fillId="5" borderId="0" xfId="11" applyFont="1" applyAlignment="1">
      <alignment horizontal="center"/>
    </xf>
    <xf numFmtId="0" fontId="9" fillId="5" borderId="0" xfId="11" applyFont="1" applyBorder="1" applyAlignment="1">
      <alignment horizontal="center"/>
    </xf>
    <xf numFmtId="0" fontId="20" fillId="6" borderId="7" xfId="12" applyFont="1" applyBorder="1" applyAlignment="1">
      <alignment horizontal="left" wrapText="1"/>
    </xf>
    <xf numFmtId="0" fontId="20" fillId="6" borderId="8" xfId="12" applyFont="1" applyBorder="1" applyAlignment="1">
      <alignment horizontal="left" wrapText="1"/>
    </xf>
    <xf numFmtId="0" fontId="20" fillId="6" borderId="4" xfId="12" applyFont="1" applyBorder="1" applyAlignment="1">
      <alignment horizontal="left" wrapText="1"/>
    </xf>
    <xf numFmtId="0" fontId="20" fillId="6" borderId="5" xfId="12" applyFont="1" applyBorder="1" applyAlignment="1">
      <alignment horizontal="left" wrapText="1"/>
    </xf>
    <xf numFmtId="0" fontId="19" fillId="17" borderId="11" xfId="0" applyFont="1" applyFill="1" applyBorder="1" applyAlignment="1">
      <alignment horizontal="center" wrapText="1"/>
    </xf>
    <xf numFmtId="0" fontId="19" fillId="17" borderId="10" xfId="0" applyFont="1" applyFill="1" applyBorder="1" applyAlignment="1">
      <alignment horizontal="center" wrapText="1"/>
    </xf>
    <xf numFmtId="0" fontId="26" fillId="18" borderId="11" xfId="6" applyFont="1" applyFill="1" applyBorder="1" applyAlignment="1">
      <alignment horizontal="center" wrapText="1"/>
    </xf>
    <xf numFmtId="0" fontId="26" fillId="18" borderId="10" xfId="6" applyFont="1" applyFill="1" applyBorder="1" applyAlignment="1">
      <alignment horizontal="center" wrapText="1"/>
    </xf>
    <xf numFmtId="0" fontId="26" fillId="19" borderId="11" xfId="6" applyFont="1" applyFill="1" applyBorder="1" applyAlignment="1">
      <alignment horizontal="center" wrapText="1"/>
    </xf>
    <xf numFmtId="0" fontId="26" fillId="19" borderId="10" xfId="6" applyFont="1" applyFill="1" applyBorder="1" applyAlignment="1">
      <alignment horizontal="center" wrapText="1"/>
    </xf>
    <xf numFmtId="0" fontId="25" fillId="15" borderId="1" xfId="6" applyFont="1" applyFill="1" applyBorder="1" applyAlignment="1">
      <alignment horizontal="center"/>
    </xf>
    <xf numFmtId="0" fontId="17" fillId="16" borderId="1" xfId="6" applyFont="1" applyFill="1" applyBorder="1" applyAlignment="1">
      <alignment horizontal="center" vertical="center" wrapText="1"/>
    </xf>
  </cellXfs>
  <cellStyles count="20">
    <cellStyle name="20% - Accent2" xfId="12" builtinId="34"/>
    <cellStyle name="40% - Accent2" xfId="13" builtinId="35"/>
    <cellStyle name="40% - Accent5" xfId="5" builtinId="47"/>
    <cellStyle name="Accent2" xfId="11" builtinId="33"/>
    <cellStyle name="Accent3" xfId="17" builtinId="37"/>
    <cellStyle name="Comma [0] 2" xfId="19" xr:uid="{00000000-0005-0000-0000-000005000000}"/>
    <cellStyle name="Comma 2" xfId="8" xr:uid="{00000000-0005-0000-0000-000006000000}"/>
    <cellStyle name="Comma 3" xfId="10" xr:uid="{00000000-0005-0000-0000-000007000000}"/>
    <cellStyle name="Currency" xfId="16" builtinId="4"/>
    <cellStyle name="Currency 2" xfId="7" xr:uid="{00000000-0005-0000-0000-000009000000}"/>
    <cellStyle name="Heading 2" xfId="4" builtinId="17"/>
    <cellStyle name="Normal" xfId="0" builtinId="0"/>
    <cellStyle name="Normal 2" xfId="2" xr:uid="{00000000-0005-0000-0000-00000C000000}"/>
    <cellStyle name="Normal 2 3" xfId="14" xr:uid="{00000000-0005-0000-0000-00000D000000}"/>
    <cellStyle name="Normal 3" xfId="6" xr:uid="{00000000-0005-0000-0000-00000E000000}"/>
    <cellStyle name="Normal 4" xfId="18" xr:uid="{00000000-0005-0000-0000-00000F000000}"/>
    <cellStyle name="Percent" xfId="15" builtinId="5"/>
    <cellStyle name="Percent 2" xfId="9" xr:uid="{00000000-0005-0000-0000-000011000000}"/>
    <cellStyle name="Title" xfId="1" builtinId="15"/>
    <cellStyle name="Währung" xfId="3" xr:uid="{00000000-0005-0000-0000-000013000000}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border outline="0"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colors>
    <mruColors>
      <color rgb="FF953633"/>
      <color rgb="FFECF2DF"/>
      <color rgb="FFFBC08E"/>
      <color rgb="FFE6B9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Viz'!$A$4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Viz'!$B$3:$D$3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WhatsApp</c:v>
                </c:pt>
              </c:strCache>
            </c:strRef>
          </c:cat>
          <c:val>
            <c:numRef>
              <c:f>'Data Viz'!$B$4:$D$4</c:f>
              <c:numCache>
                <c:formatCode>General</c:formatCode>
                <c:ptCount val="3"/>
                <c:pt idx="0">
                  <c:v>0.65</c:v>
                </c:pt>
                <c:pt idx="1">
                  <c:v>0.3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C-2646-8610-8C516EBB7282}"/>
            </c:ext>
          </c:extLst>
        </c:ser>
        <c:ser>
          <c:idx val="1"/>
          <c:order val="1"/>
          <c:tx>
            <c:strRef>
              <c:f>'Data Viz'!$A$5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Viz'!$B$3:$D$3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WhatsApp</c:v>
                </c:pt>
              </c:strCache>
            </c:strRef>
          </c:cat>
          <c:val>
            <c:numRef>
              <c:f>'Data Viz'!$B$5:$D$5</c:f>
              <c:numCache>
                <c:formatCode>General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C-2646-8610-8C516EBB7282}"/>
            </c:ext>
          </c:extLst>
        </c:ser>
        <c:ser>
          <c:idx val="2"/>
          <c:order val="2"/>
          <c:tx>
            <c:strRef>
              <c:f>'Data Viz'!$A$6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Viz'!$B$3:$D$3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WhatsApp</c:v>
                </c:pt>
              </c:strCache>
            </c:strRef>
          </c:cat>
          <c:val>
            <c:numRef>
              <c:f>'Data Viz'!$B$6:$D$6</c:f>
              <c:numCache>
                <c:formatCode>General</c:formatCode>
                <c:ptCount val="3"/>
                <c:pt idx="0">
                  <c:v>0.25</c:v>
                </c:pt>
                <c:pt idx="1">
                  <c:v>0.4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C-2646-8610-8C516EBB7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818096"/>
        <c:axId val="609349744"/>
      </c:barChart>
      <c:catAx>
        <c:axId val="60981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49744"/>
        <c:crosses val="autoZero"/>
        <c:auto val="1"/>
        <c:lblAlgn val="ctr"/>
        <c:lblOffset val="100"/>
        <c:noMultiLvlLbl val="0"/>
      </c:catAx>
      <c:valAx>
        <c:axId val="6093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has shifted</a:t>
            </a:r>
            <a:r>
              <a:rPr lang="en-US" baseline="0"/>
              <a:t> from Facebook to Instagram</a:t>
            </a:r>
          </a:p>
          <a:p>
            <a:pPr>
              <a:defRPr/>
            </a:pPr>
            <a:r>
              <a:rPr lang="en-US" baseline="0"/>
              <a:t>and WhatsApp over last three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Viz'!$H$3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Viz'!$G$4:$G$6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'Data Viz'!$H$4:$H$6</c:f>
              <c:numCache>
                <c:formatCode>0%</c:formatCode>
                <c:ptCount val="3"/>
                <c:pt idx="0">
                  <c:v>0.65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B-B641-8EFD-96D4EF269281}"/>
            </c:ext>
          </c:extLst>
        </c:ser>
        <c:ser>
          <c:idx val="1"/>
          <c:order val="1"/>
          <c:tx>
            <c:strRef>
              <c:f>'Data Viz'!$I$3</c:f>
              <c:strCache>
                <c:ptCount val="1"/>
                <c:pt idx="0">
                  <c:v>Space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'Data Viz'!$G$4:$G$6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'Data Viz'!$I$4:$I$6</c:f>
              <c:numCache>
                <c:formatCode>0%</c:formatCode>
                <c:ptCount val="3"/>
                <c:pt idx="0">
                  <c:v>0.05</c:v>
                </c:pt>
                <c:pt idx="1">
                  <c:v>0.2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B-B641-8EFD-96D4EF269281}"/>
            </c:ext>
          </c:extLst>
        </c:ser>
        <c:ser>
          <c:idx val="2"/>
          <c:order val="2"/>
          <c:tx>
            <c:strRef>
              <c:f>'Data Viz'!$J$3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Viz'!$G$4:$G$6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'Data Viz'!$J$4:$J$6</c:f>
              <c:numCache>
                <c:formatCode>0%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B-B641-8EFD-96D4EF269281}"/>
            </c:ext>
          </c:extLst>
        </c:ser>
        <c:ser>
          <c:idx val="3"/>
          <c:order val="3"/>
          <c:tx>
            <c:strRef>
              <c:f>'Data Viz'!$K$3</c:f>
              <c:strCache>
                <c:ptCount val="1"/>
                <c:pt idx="0">
                  <c:v>Space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'Data Viz'!$G$4:$G$6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'Data Viz'!$K$4:$K$6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B-B641-8EFD-96D4EF269281}"/>
            </c:ext>
          </c:extLst>
        </c:ser>
        <c:ser>
          <c:idx val="4"/>
          <c:order val="4"/>
          <c:tx>
            <c:strRef>
              <c:f>'Data Viz'!$L$3</c:f>
              <c:strCache>
                <c:ptCount val="1"/>
                <c:pt idx="0">
                  <c:v>WhatsApp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Viz'!$G$4:$G$6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'Data Viz'!$L$4:$L$6</c:f>
              <c:numCache>
                <c:formatCode>0%</c:formatCode>
                <c:ptCount val="3"/>
                <c:pt idx="0">
                  <c:v>0.05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3B-B641-8EFD-96D4EF269281}"/>
            </c:ext>
          </c:extLst>
        </c:ser>
        <c:ser>
          <c:idx val="5"/>
          <c:order val="5"/>
          <c:tx>
            <c:strRef>
              <c:f>'Data Viz'!$M$3</c:f>
              <c:strCache>
                <c:ptCount val="1"/>
                <c:pt idx="0">
                  <c:v>Space 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'Data Viz'!$G$4:$G$6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'Data Viz'!$M$4:$M$6</c:f>
              <c:numCache>
                <c:formatCode>0%</c:formatCode>
                <c:ptCount val="3"/>
                <c:pt idx="0">
                  <c:v>0.65</c:v>
                </c:pt>
                <c:pt idx="1">
                  <c:v>0.5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B-B641-8EFD-96D4EF2692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32102304"/>
        <c:axId val="1506029632"/>
      </c:barChart>
      <c:catAx>
        <c:axId val="15321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29632"/>
        <c:crosses val="autoZero"/>
        <c:auto val="1"/>
        <c:lblAlgn val="ctr"/>
        <c:lblOffset val="100"/>
        <c:noMultiLvlLbl val="0"/>
      </c:catAx>
      <c:valAx>
        <c:axId val="1506029632"/>
        <c:scaling>
          <c:orientation val="minMax"/>
          <c:max val="2.1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32102304"/>
        <c:crosses val="autoZero"/>
        <c:crossBetween val="between"/>
        <c:majorUnit val="0.70000000000000007"/>
        <c:minorUnit val="0.1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6466756217207064"/>
          <c:y val="0.91159171770195402"/>
          <c:w val="0.31590521495840351"/>
          <c:h val="6.2482356372120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3</xdr:col>
      <xdr:colOff>660400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0E7F1-FA92-4B44-A39D-EE46B75CB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8</xdr:row>
      <xdr:rowOff>76200</xdr:rowOff>
    </xdr:from>
    <xdr:to>
      <xdr:col>15</xdr:col>
      <xdr:colOff>336550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18792-4400-5841-9D4F-AF8D17D9E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durango/AppData/Local/Temp/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Calc_9"/>
      <sheetName val="treeCalc_6"/>
      <sheetName val="__PT_treeCalc_9 (2)"/>
      <sheetName val="__PT_treeCalc_6 (2)"/>
      <sheetName val="Goal Seek"/>
      <sheetName val="Sensitivity Analysis"/>
      <sheetName val="goalSeekInfo"/>
      <sheetName val="senseInfo"/>
      <sheetName val="RiskSerializationData"/>
      <sheetName val="#REF"/>
    </sheetNames>
    <sheetDataSet>
      <sheetData sheetId="0">
        <row r="1">
          <cell r="A1" t="str">
            <v>Name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I27" totalsRowShown="0" headerRowDxfId="26" dataDxfId="24" headerRowBorderDxfId="25" tableBorderDxfId="23" totalsRowBorderDxfId="22" headerRowCellStyle="40% - Accent5">
  <tableColumns count="9">
    <tableColumn id="1" xr3:uid="{00000000-0010-0000-0000-000001000000}" name="Model" dataDxfId="21" dataCellStyle="Normal 3"/>
    <tableColumn id="2" xr3:uid="{00000000-0010-0000-0000-000002000000}" name="Sales Volume" dataDxfId="20" dataCellStyle="Comma 2"/>
    <tableColumn id="3" xr3:uid="{00000000-0010-0000-0000-000003000000}" name="Wholesale Cost per Vehicle" dataDxfId="19" dataCellStyle="Currency 2"/>
    <tableColumn id="4" xr3:uid="{00000000-0010-0000-0000-000004000000}" name="Total Manufacturing Cost" dataDxfId="18" dataCellStyle="Comma 2">
      <calculatedColumnFormula>IF(Sales_Volume&lt;&gt;"", Sales_Volume*Wholesale_Cost, "")</calculatedColumnFormula>
    </tableColumn>
    <tableColumn id="5" xr3:uid="{00000000-0010-0000-0000-000005000000}" name="Car Type" dataDxfId="17" dataCellStyle="Normal 3"/>
    <tableColumn id="6" xr3:uid="{00000000-0010-0000-0000-000006000000}" name="Total Dealer Cost" dataDxfId="16" dataCellStyle="Currency 2">
      <calculatedColumnFormula>Total_manu_cost+Total_manu_cost*IF(Car_Type="Luxury",Luxury_Markup,IF(Car_Type="Sporty",Sporty_Markup,IF(Car_Type="Wagon",Wagon_Markup,IF(Car_Type="Sedan",Sedan_Markup,IF(Car_Type="Compact",Compact_Markup,IF(Car_Type="Subcompact",Sub_Markup,Mini_Markup))))))</calculatedColumnFormula>
    </tableColumn>
    <tableColumn id="7" xr3:uid="{00000000-0010-0000-0000-000007000000}" name="Added Fees" dataDxfId="15" dataCellStyle="Currency 2">
      <calculatedColumnFormula>Sales_Volume*IF(Total_Dealer_Cost/Sales_Volume&lt;15000,Fee_500,IF(Total_Dealer_Cost/Sales_Volume&lt;20000,Fee_750,IF(Total_Dealer_Cost/Sales_Volume&lt;25000,Fee_1000,IF(Total_Dealer_Cost/Sales_Volume&lt;30000,Fee_1300,IF(Total_Dealer_Cost/Sales_Volume&lt;35000,Fee_1600,IF(Total_Dealer_Cost/Sales_Volume&lt;40000,Fee_1900,Fee_2500))))))</calculatedColumnFormula>
    </tableColumn>
    <tableColumn id="8" xr3:uid="{00000000-0010-0000-0000-000008000000}" name="Total Sales" dataDxfId="14" dataCellStyle="Comma 2">
      <calculatedColumnFormula>Total_Dealer_Cost+Added_Fees</calculatedColumnFormula>
    </tableColumn>
    <tableColumn id="9" xr3:uid="{00000000-0010-0000-0000-000009000000}" name="% of total Volume" dataDxfId="13" dataCellStyle="Percent 2">
      <calculatedColumnFormula>total_sales/$H$29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K3:L10" totalsRowShown="0" headerRowDxfId="12" dataDxfId="10" headerRowBorderDxfId="11" tableBorderDxfId="9" totalsRowBorderDxfId="8" headerRowCellStyle="Heading 2">
  <autoFilter ref="K3:L10" xr:uid="{00000000-0009-0000-0100-000002000000}"/>
  <tableColumns count="2">
    <tableColumn id="1" xr3:uid="{00000000-0010-0000-0100-000001000000}" name=" Model" dataDxfId="7" dataCellStyle="Normal 3"/>
    <tableColumn id="2" xr3:uid="{00000000-0010-0000-0100-000002000000}" name="Mark-up Percentages" dataDxfId="6" dataCellStyle="Comma 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N3:O10" totalsRowShown="0" headerRowDxfId="5" headerRowBorderDxfId="4" tableBorderDxfId="3" totalsRowBorderDxfId="2" headerRowCellStyle="Heading 2">
  <autoFilter ref="N3:O10" xr:uid="{00000000-0009-0000-0100-000003000000}"/>
  <tableColumns count="2">
    <tableColumn id="1" xr3:uid="{00000000-0010-0000-0200-000001000000}" name="Total Dealer Cost per Unit" dataDxfId="1" dataCellStyle="Normal 3"/>
    <tableColumn id="2" xr3:uid="{00000000-0010-0000-0200-000002000000}" name="Fees per Uni" dataDxfId="0" dataCellStyle="Comma 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showGridLines="0" tabSelected="1" zoomScaleNormal="110" workbookViewId="0">
      <selection sqref="A1:XFD1"/>
    </sheetView>
  </sheetViews>
  <sheetFormatPr baseColWidth="10" defaultColWidth="9.1640625" defaultRowHeight="15"/>
  <cols>
    <col min="1" max="1" width="12.5" bestFit="1" customWidth="1"/>
    <col min="2" max="2" width="11.83203125" customWidth="1"/>
    <col min="3" max="3" width="15.33203125" customWidth="1"/>
    <col min="4" max="4" width="14.6640625" customWidth="1"/>
    <col min="5" max="9" width="7.6640625" style="69" bestFit="1" customWidth="1"/>
    <col min="10" max="10" width="20.1640625" bestFit="1" customWidth="1"/>
    <col min="11" max="11" width="20.1640625" customWidth="1"/>
    <col min="13" max="13" width="13" customWidth="1"/>
    <col min="14" max="14" width="14.5" customWidth="1"/>
    <col min="15" max="15" width="11.1640625" customWidth="1"/>
    <col min="16" max="16" width="10.1640625" customWidth="1"/>
    <col min="17" max="17" width="13.1640625" bestFit="1" customWidth="1"/>
  </cols>
  <sheetData>
    <row r="1" spans="1:17" ht="21">
      <c r="A1" s="71" t="s">
        <v>81</v>
      </c>
      <c r="B1" s="71"/>
      <c r="C1" s="71"/>
      <c r="D1" s="71"/>
      <c r="E1" s="72"/>
      <c r="F1" s="72"/>
      <c r="G1" s="72"/>
      <c r="H1" s="72"/>
      <c r="I1" s="72"/>
      <c r="J1" s="71"/>
      <c r="K1" s="73"/>
    </row>
    <row r="2" spans="1:17">
      <c r="A2" s="73"/>
      <c r="B2" s="73"/>
      <c r="C2" s="73"/>
      <c r="D2" s="73"/>
      <c r="E2" s="74"/>
      <c r="F2" s="74"/>
      <c r="G2" s="74"/>
      <c r="H2" s="74"/>
      <c r="I2" s="74"/>
      <c r="J2" s="73"/>
      <c r="K2" s="73"/>
    </row>
    <row r="3" spans="1:17" ht="26" customHeight="1">
      <c r="A3" s="75" t="s">
        <v>70</v>
      </c>
      <c r="B3" s="76" t="s">
        <v>71</v>
      </c>
      <c r="C3" s="77" t="s">
        <v>82</v>
      </c>
      <c r="D3" s="77" t="s">
        <v>83</v>
      </c>
      <c r="E3" s="78">
        <v>2017</v>
      </c>
      <c r="F3" s="78">
        <v>2018</v>
      </c>
      <c r="G3" s="78">
        <v>2019</v>
      </c>
      <c r="H3" s="78">
        <v>2020</v>
      </c>
      <c r="I3" s="78">
        <v>2021</v>
      </c>
      <c r="J3" s="76" t="s">
        <v>84</v>
      </c>
      <c r="K3" s="79" t="s">
        <v>85</v>
      </c>
    </row>
    <row r="4" spans="1:17" ht="37" customHeight="1">
      <c r="A4" s="80" t="s">
        <v>86</v>
      </c>
      <c r="B4" s="81" t="s">
        <v>87</v>
      </c>
      <c r="C4" s="82">
        <v>2017</v>
      </c>
      <c r="D4" s="82" t="s">
        <v>88</v>
      </c>
      <c r="E4" s="83">
        <v>2629</v>
      </c>
      <c r="F4" s="83">
        <v>435</v>
      </c>
      <c r="G4" s="83">
        <v>871</v>
      </c>
      <c r="H4" s="83">
        <v>2271</v>
      </c>
      <c r="I4" s="83">
        <v>2282</v>
      </c>
      <c r="J4" s="113" t="str">
        <f>IF(OR(I4&gt;$M$5,SUM(H4:I4)&gt;=$N$5),$Q$5,IF(AND(C4&lt;=$O$6,D4=$P$6),$Q$6,IF(AND(D4=$P$7,C4&lt;=$O$7),$Q$7,"No Reward")))</f>
        <v>No Reward</v>
      </c>
      <c r="K4" s="84"/>
      <c r="M4" s="85" t="s">
        <v>89</v>
      </c>
      <c r="N4" s="86" t="s">
        <v>90</v>
      </c>
      <c r="O4" s="86" t="s">
        <v>91</v>
      </c>
      <c r="P4" s="86" t="s">
        <v>83</v>
      </c>
      <c r="Q4" s="87" t="s">
        <v>92</v>
      </c>
    </row>
    <row r="5" spans="1:17" ht="21.5" customHeight="1">
      <c r="A5" s="80" t="s">
        <v>93</v>
      </c>
      <c r="B5" s="81" t="s">
        <v>94</v>
      </c>
      <c r="C5" s="82">
        <v>2013</v>
      </c>
      <c r="D5" s="82" t="s">
        <v>95</v>
      </c>
      <c r="E5" s="83">
        <v>2701</v>
      </c>
      <c r="F5" s="83">
        <v>3450</v>
      </c>
      <c r="G5" s="83">
        <v>3247</v>
      </c>
      <c r="H5" s="83">
        <v>2800</v>
      </c>
      <c r="I5" s="83">
        <v>4900</v>
      </c>
      <c r="J5" s="113" t="str">
        <f t="shared" ref="J5:J33" si="0">IF(OR(I5&gt;$M$5,SUM(H5:I5)&gt;=$N$5),$Q$5,IF(AND(C5&lt;=$O$6,D5=$P$6),$Q$6,IF(AND(D5=$P$7,C5&lt;=$O$7),$Q$7,"No Reward")))</f>
        <v>2.5% APR</v>
      </c>
      <c r="K5" s="84"/>
      <c r="M5" s="88">
        <v>4000</v>
      </c>
      <c r="N5" s="89">
        <v>6000</v>
      </c>
      <c r="O5" s="90"/>
      <c r="P5" s="90"/>
      <c r="Q5" s="91" t="s">
        <v>96</v>
      </c>
    </row>
    <row r="6" spans="1:17" ht="21.5" customHeight="1">
      <c r="A6" s="80" t="s">
        <v>97</v>
      </c>
      <c r="B6" s="81" t="s">
        <v>98</v>
      </c>
      <c r="C6" s="82">
        <v>2013</v>
      </c>
      <c r="D6" s="82" t="s">
        <v>95</v>
      </c>
      <c r="E6" s="83">
        <v>1993</v>
      </c>
      <c r="F6" s="83">
        <v>3249</v>
      </c>
      <c r="G6" s="83">
        <v>3482</v>
      </c>
      <c r="H6" s="83">
        <v>3512</v>
      </c>
      <c r="I6" s="83">
        <v>181</v>
      </c>
      <c r="J6" s="113" t="str">
        <f t="shared" si="0"/>
        <v>No Annual Fee</v>
      </c>
      <c r="K6" s="84"/>
      <c r="M6" s="92"/>
      <c r="N6" s="93"/>
      <c r="O6" s="93">
        <v>2017</v>
      </c>
      <c r="P6" s="93" t="s">
        <v>95</v>
      </c>
      <c r="Q6" s="94" t="s">
        <v>99</v>
      </c>
    </row>
    <row r="7" spans="1:17" ht="21.5" customHeight="1">
      <c r="A7" s="80" t="s">
        <v>100</v>
      </c>
      <c r="B7" s="81" t="s">
        <v>101</v>
      </c>
      <c r="C7" s="82">
        <v>2009</v>
      </c>
      <c r="D7" s="82" t="s">
        <v>88</v>
      </c>
      <c r="E7" s="83">
        <v>2999</v>
      </c>
      <c r="F7" s="83">
        <v>2213</v>
      </c>
      <c r="G7" s="83">
        <v>4864</v>
      </c>
      <c r="H7" s="83">
        <v>2916</v>
      </c>
      <c r="I7" s="83">
        <v>4795</v>
      </c>
      <c r="J7" s="113" t="str">
        <f t="shared" si="0"/>
        <v>2.5% APR</v>
      </c>
      <c r="K7" s="84"/>
      <c r="M7" s="95"/>
      <c r="N7" s="96"/>
      <c r="O7" s="96">
        <v>2016</v>
      </c>
      <c r="P7" s="96" t="s">
        <v>88</v>
      </c>
      <c r="Q7" s="97" t="s">
        <v>102</v>
      </c>
    </row>
    <row r="8" spans="1:17" ht="21.5" customHeight="1">
      <c r="A8" s="80" t="s">
        <v>103</v>
      </c>
      <c r="B8" s="81" t="s">
        <v>104</v>
      </c>
      <c r="C8" s="82">
        <v>2013</v>
      </c>
      <c r="D8" s="82" t="s">
        <v>88</v>
      </c>
      <c r="E8" s="83">
        <v>104</v>
      </c>
      <c r="F8" s="83">
        <v>4212</v>
      </c>
      <c r="G8" s="83">
        <v>3245</v>
      </c>
      <c r="H8" s="83">
        <v>3102</v>
      </c>
      <c r="I8" s="83">
        <v>1860</v>
      </c>
      <c r="J8" s="113" t="str">
        <f t="shared" si="0"/>
        <v>4% APR</v>
      </c>
      <c r="K8" s="84"/>
    </row>
    <row r="9" spans="1:17" ht="21.5" customHeight="1">
      <c r="A9" s="80" t="s">
        <v>105</v>
      </c>
      <c r="B9" s="81" t="s">
        <v>106</v>
      </c>
      <c r="C9" s="82">
        <v>2014</v>
      </c>
      <c r="D9" s="82" t="s">
        <v>88</v>
      </c>
      <c r="E9" s="83">
        <v>2029</v>
      </c>
      <c r="F9" s="83">
        <v>2790</v>
      </c>
      <c r="G9" s="83">
        <v>913</v>
      </c>
      <c r="H9" s="83">
        <v>2148</v>
      </c>
      <c r="I9" s="83">
        <v>4861</v>
      </c>
      <c r="J9" s="113" t="str">
        <f t="shared" si="0"/>
        <v>2.5% APR</v>
      </c>
      <c r="K9" s="84"/>
    </row>
    <row r="10" spans="1:17" ht="21.5" customHeight="1">
      <c r="A10" s="80" t="s">
        <v>107</v>
      </c>
      <c r="B10" s="81" t="s">
        <v>108</v>
      </c>
      <c r="C10" s="82">
        <v>2021</v>
      </c>
      <c r="D10" s="82" t="s">
        <v>88</v>
      </c>
      <c r="E10" s="83" t="s">
        <v>109</v>
      </c>
      <c r="F10" s="83" t="s">
        <v>109</v>
      </c>
      <c r="G10" s="83" t="s">
        <v>109</v>
      </c>
      <c r="H10" s="83" t="s">
        <v>109</v>
      </c>
      <c r="I10" s="83">
        <v>1046</v>
      </c>
      <c r="J10" s="113" t="str">
        <f>IF(OR(I10&gt;$M$5,SUM(H10:I10)&gt;=$N$5),$Q$5,IF(AND(C10&lt;=$O$6,D10=$P$6),$Q$6,IF(AND(D10=$P$7,C10&lt;=$O$7),$Q$7,"No Reward")))</f>
        <v>No Reward</v>
      </c>
      <c r="K10" s="84"/>
    </row>
    <row r="11" spans="1:17" ht="21.5" customHeight="1">
      <c r="A11" s="80" t="s">
        <v>110</v>
      </c>
      <c r="B11" s="81" t="s">
        <v>111</v>
      </c>
      <c r="C11" s="82">
        <v>2014</v>
      </c>
      <c r="D11" s="82" t="s">
        <v>88</v>
      </c>
      <c r="E11" s="83">
        <v>294</v>
      </c>
      <c r="F11" s="83">
        <v>4819</v>
      </c>
      <c r="G11" s="83">
        <v>3432</v>
      </c>
      <c r="H11" s="83">
        <v>3016</v>
      </c>
      <c r="I11" s="83">
        <v>4707</v>
      </c>
      <c r="J11" s="113" t="str">
        <f t="shared" si="0"/>
        <v>2.5% APR</v>
      </c>
      <c r="K11" s="84"/>
    </row>
    <row r="12" spans="1:17" ht="21.5" customHeight="1">
      <c r="A12" s="80" t="s">
        <v>112</v>
      </c>
      <c r="B12" s="81" t="s">
        <v>113</v>
      </c>
      <c r="C12" s="82">
        <v>2011</v>
      </c>
      <c r="D12" s="82" t="s">
        <v>95</v>
      </c>
      <c r="E12" s="83">
        <v>906</v>
      </c>
      <c r="F12" s="83">
        <v>806</v>
      </c>
      <c r="G12" s="83">
        <v>1636</v>
      </c>
      <c r="H12" s="83">
        <v>1384</v>
      </c>
      <c r="I12" s="83">
        <v>225</v>
      </c>
      <c r="J12" s="113" t="str">
        <f t="shared" si="0"/>
        <v>No Annual Fee</v>
      </c>
      <c r="K12" s="84"/>
    </row>
    <row r="13" spans="1:17" ht="21.5" customHeight="1">
      <c r="A13" s="80" t="s">
        <v>114</v>
      </c>
      <c r="B13" s="81" t="s">
        <v>115</v>
      </c>
      <c r="C13" s="82">
        <v>2012</v>
      </c>
      <c r="D13" s="82" t="s">
        <v>95</v>
      </c>
      <c r="E13" s="83">
        <v>4617</v>
      </c>
      <c r="F13" s="83">
        <v>4995</v>
      </c>
      <c r="G13" s="83">
        <v>3738</v>
      </c>
      <c r="H13" s="83">
        <v>2192</v>
      </c>
      <c r="I13" s="83">
        <v>4297</v>
      </c>
      <c r="J13" s="113" t="str">
        <f t="shared" si="0"/>
        <v>2.5% APR</v>
      </c>
      <c r="K13" s="84"/>
    </row>
    <row r="14" spans="1:17" ht="21.5" customHeight="1">
      <c r="A14" s="80" t="s">
        <v>116</v>
      </c>
      <c r="B14" s="81" t="s">
        <v>117</v>
      </c>
      <c r="C14" s="82">
        <v>2021</v>
      </c>
      <c r="D14" s="82" t="s">
        <v>95</v>
      </c>
      <c r="E14" s="83" t="s">
        <v>109</v>
      </c>
      <c r="F14" s="83" t="s">
        <v>109</v>
      </c>
      <c r="G14" s="83" t="s">
        <v>109</v>
      </c>
      <c r="H14" s="83" t="s">
        <v>109</v>
      </c>
      <c r="I14" s="83">
        <v>1418</v>
      </c>
      <c r="J14" s="113" t="str">
        <f t="shared" si="0"/>
        <v>No Reward</v>
      </c>
      <c r="K14" s="84"/>
    </row>
    <row r="15" spans="1:17" ht="21.5" customHeight="1">
      <c r="A15" s="80" t="s">
        <v>118</v>
      </c>
      <c r="B15" s="81" t="s">
        <v>119</v>
      </c>
      <c r="C15" s="82">
        <v>2018</v>
      </c>
      <c r="D15" s="82" t="s">
        <v>95</v>
      </c>
      <c r="E15" s="83" t="s">
        <v>109</v>
      </c>
      <c r="F15" s="83">
        <v>2570</v>
      </c>
      <c r="G15" s="83">
        <v>735</v>
      </c>
      <c r="H15" s="83">
        <v>528</v>
      </c>
      <c r="I15" s="83">
        <v>3245</v>
      </c>
      <c r="J15" s="113" t="str">
        <f t="shared" si="0"/>
        <v>No Reward</v>
      </c>
      <c r="K15" s="84"/>
    </row>
    <row r="16" spans="1:17" ht="21.5" customHeight="1">
      <c r="A16" s="80" t="s">
        <v>120</v>
      </c>
      <c r="B16" s="81" t="s">
        <v>121</v>
      </c>
      <c r="C16" s="82">
        <v>2014</v>
      </c>
      <c r="D16" s="82" t="s">
        <v>95</v>
      </c>
      <c r="E16" s="83">
        <v>1436</v>
      </c>
      <c r="F16" s="83">
        <v>3842</v>
      </c>
      <c r="G16" s="83">
        <v>581</v>
      </c>
      <c r="H16" s="83">
        <v>4887</v>
      </c>
      <c r="I16" s="83">
        <v>3740</v>
      </c>
      <c r="J16" s="113" t="str">
        <f t="shared" si="0"/>
        <v>2.5% APR</v>
      </c>
      <c r="K16" s="84"/>
    </row>
    <row r="17" spans="1:11" ht="21.5" customHeight="1">
      <c r="A17" s="80" t="s">
        <v>122</v>
      </c>
      <c r="B17" s="81" t="s">
        <v>123</v>
      </c>
      <c r="C17" s="82">
        <v>2019</v>
      </c>
      <c r="D17" s="82" t="s">
        <v>88</v>
      </c>
      <c r="E17" s="83" t="s">
        <v>109</v>
      </c>
      <c r="F17" s="83" t="s">
        <v>109</v>
      </c>
      <c r="G17" s="83">
        <v>2375</v>
      </c>
      <c r="H17" s="83">
        <v>3659</v>
      </c>
      <c r="I17" s="83">
        <v>1433</v>
      </c>
      <c r="J17" s="113" t="str">
        <f t="shared" si="0"/>
        <v>No Reward</v>
      </c>
      <c r="K17" s="84"/>
    </row>
    <row r="18" spans="1:11" ht="21.5" customHeight="1">
      <c r="A18" s="80" t="s">
        <v>124</v>
      </c>
      <c r="B18" s="81" t="s">
        <v>125</v>
      </c>
      <c r="C18" s="82">
        <v>2010</v>
      </c>
      <c r="D18" s="82" t="s">
        <v>88</v>
      </c>
      <c r="E18" s="83">
        <v>3363</v>
      </c>
      <c r="F18" s="83">
        <v>3084</v>
      </c>
      <c r="G18" s="83">
        <v>326</v>
      </c>
      <c r="H18" s="83">
        <v>3178</v>
      </c>
      <c r="I18" s="83">
        <v>2622</v>
      </c>
      <c r="J18" s="113" t="str">
        <f t="shared" si="0"/>
        <v>4% APR</v>
      </c>
      <c r="K18" s="84"/>
    </row>
    <row r="19" spans="1:11" ht="21.5" customHeight="1">
      <c r="A19" s="80" t="s">
        <v>126</v>
      </c>
      <c r="B19" s="81" t="s">
        <v>127</v>
      </c>
      <c r="C19" s="82">
        <v>2008</v>
      </c>
      <c r="D19" s="82" t="s">
        <v>95</v>
      </c>
      <c r="E19" s="83">
        <v>1122</v>
      </c>
      <c r="F19" s="83">
        <v>982</v>
      </c>
      <c r="G19" s="83">
        <v>3150</v>
      </c>
      <c r="H19" s="83">
        <v>234</v>
      </c>
      <c r="I19" s="83">
        <v>3734</v>
      </c>
      <c r="J19" s="113" t="str">
        <f t="shared" si="0"/>
        <v>No Annual Fee</v>
      </c>
      <c r="K19" s="84"/>
    </row>
    <row r="20" spans="1:11" ht="21.5" customHeight="1">
      <c r="A20" s="80" t="s">
        <v>128</v>
      </c>
      <c r="B20" s="81" t="s">
        <v>129</v>
      </c>
      <c r="C20" s="82">
        <v>2008</v>
      </c>
      <c r="D20" s="82" t="s">
        <v>88</v>
      </c>
      <c r="E20" s="83">
        <v>4097</v>
      </c>
      <c r="F20" s="83">
        <v>422</v>
      </c>
      <c r="G20" s="83">
        <v>3031</v>
      </c>
      <c r="H20" s="83">
        <v>2633</v>
      </c>
      <c r="I20" s="83">
        <v>3606</v>
      </c>
      <c r="J20" s="113" t="str">
        <f t="shared" si="0"/>
        <v>2.5% APR</v>
      </c>
      <c r="K20" s="84"/>
    </row>
    <row r="21" spans="1:11" ht="21.5" customHeight="1">
      <c r="A21" s="80" t="s">
        <v>130</v>
      </c>
      <c r="B21" s="81" t="s">
        <v>79</v>
      </c>
      <c r="C21" s="82">
        <v>2021</v>
      </c>
      <c r="D21" s="82" t="s">
        <v>88</v>
      </c>
      <c r="E21" s="83" t="s">
        <v>109</v>
      </c>
      <c r="F21" s="83" t="s">
        <v>109</v>
      </c>
      <c r="G21" s="83" t="s">
        <v>109</v>
      </c>
      <c r="H21" s="83" t="s">
        <v>109</v>
      </c>
      <c r="I21" s="83">
        <v>1318</v>
      </c>
      <c r="J21" s="113" t="str">
        <f t="shared" si="0"/>
        <v>No Reward</v>
      </c>
      <c r="K21" s="84"/>
    </row>
    <row r="22" spans="1:11" ht="21.5" customHeight="1">
      <c r="A22" s="80" t="s">
        <v>131</v>
      </c>
      <c r="B22" s="81" t="s">
        <v>125</v>
      </c>
      <c r="C22" s="82">
        <v>2021</v>
      </c>
      <c r="D22" s="82" t="s">
        <v>95</v>
      </c>
      <c r="E22" s="83" t="s">
        <v>109</v>
      </c>
      <c r="F22" s="83" t="s">
        <v>109</v>
      </c>
      <c r="G22" s="83" t="s">
        <v>109</v>
      </c>
      <c r="H22" s="83" t="s">
        <v>109</v>
      </c>
      <c r="I22" s="83">
        <v>4692</v>
      </c>
      <c r="J22" s="113" t="str">
        <f t="shared" si="0"/>
        <v>2.5% APR</v>
      </c>
      <c r="K22" s="84"/>
    </row>
    <row r="23" spans="1:11" ht="21.5" customHeight="1">
      <c r="A23" s="80" t="s">
        <v>132</v>
      </c>
      <c r="B23" s="81" t="s">
        <v>133</v>
      </c>
      <c r="C23" s="82">
        <v>2020</v>
      </c>
      <c r="D23" s="82" t="s">
        <v>95</v>
      </c>
      <c r="E23" s="83" t="s">
        <v>109</v>
      </c>
      <c r="F23" s="83" t="s">
        <v>109</v>
      </c>
      <c r="G23" s="83" t="s">
        <v>109</v>
      </c>
      <c r="H23" s="83">
        <v>2847</v>
      </c>
      <c r="I23" s="83">
        <v>1232</v>
      </c>
      <c r="J23" s="113" t="str">
        <f t="shared" si="0"/>
        <v>No Reward</v>
      </c>
      <c r="K23" s="84"/>
    </row>
    <row r="24" spans="1:11" ht="21.5" customHeight="1">
      <c r="A24" s="80" t="s">
        <v>134</v>
      </c>
      <c r="B24" s="81" t="s">
        <v>135</v>
      </c>
      <c r="C24" s="82">
        <v>2009</v>
      </c>
      <c r="D24" s="82" t="s">
        <v>95</v>
      </c>
      <c r="E24" s="83">
        <v>2828</v>
      </c>
      <c r="F24" s="83">
        <v>1507</v>
      </c>
      <c r="G24" s="83">
        <v>4546</v>
      </c>
      <c r="H24" s="83">
        <v>3529</v>
      </c>
      <c r="I24" s="83">
        <v>2675</v>
      </c>
      <c r="J24" s="113" t="str">
        <f t="shared" si="0"/>
        <v>2.5% APR</v>
      </c>
      <c r="K24" s="84"/>
    </row>
    <row r="25" spans="1:11" ht="21.5" customHeight="1">
      <c r="A25" s="80" t="s">
        <v>136</v>
      </c>
      <c r="B25" s="81" t="s">
        <v>137</v>
      </c>
      <c r="C25" s="82">
        <v>2011</v>
      </c>
      <c r="D25" s="82" t="s">
        <v>88</v>
      </c>
      <c r="E25" s="83">
        <v>643</v>
      </c>
      <c r="F25" s="83">
        <v>3571</v>
      </c>
      <c r="G25" s="83">
        <v>2448</v>
      </c>
      <c r="H25" s="83">
        <v>3186</v>
      </c>
      <c r="I25" s="83">
        <v>1346</v>
      </c>
      <c r="J25" s="113" t="str">
        <f t="shared" si="0"/>
        <v>4% APR</v>
      </c>
      <c r="K25" s="84"/>
    </row>
    <row r="26" spans="1:11" ht="21.5" customHeight="1">
      <c r="A26" s="80" t="s">
        <v>138</v>
      </c>
      <c r="B26" s="81" t="s">
        <v>139</v>
      </c>
      <c r="C26" s="82">
        <v>2013</v>
      </c>
      <c r="D26" s="82" t="s">
        <v>88</v>
      </c>
      <c r="E26" s="83">
        <v>3231</v>
      </c>
      <c r="F26" s="83">
        <v>914</v>
      </c>
      <c r="G26" s="83">
        <v>4636</v>
      </c>
      <c r="H26" s="83">
        <v>447</v>
      </c>
      <c r="I26" s="83">
        <v>3364</v>
      </c>
      <c r="J26" s="113" t="str">
        <f t="shared" si="0"/>
        <v>4% APR</v>
      </c>
      <c r="K26" s="84"/>
    </row>
    <row r="27" spans="1:11" ht="21.5" customHeight="1">
      <c r="A27" s="80" t="s">
        <v>140</v>
      </c>
      <c r="B27" s="81" t="s">
        <v>141</v>
      </c>
      <c r="C27" s="82">
        <v>2012</v>
      </c>
      <c r="D27" s="82" t="s">
        <v>88</v>
      </c>
      <c r="E27" s="83">
        <v>609</v>
      </c>
      <c r="F27" s="83">
        <v>4304</v>
      </c>
      <c r="G27" s="83">
        <v>1789</v>
      </c>
      <c r="H27" s="83">
        <v>2438</v>
      </c>
      <c r="I27" s="83">
        <v>4792</v>
      </c>
      <c r="J27" s="113" t="str">
        <f t="shared" si="0"/>
        <v>2.5% APR</v>
      </c>
      <c r="K27" s="84"/>
    </row>
    <row r="28" spans="1:11" ht="21.5" customHeight="1">
      <c r="A28" s="80" t="s">
        <v>142</v>
      </c>
      <c r="B28" s="81" t="s">
        <v>143</v>
      </c>
      <c r="C28" s="82">
        <v>2014</v>
      </c>
      <c r="D28" s="82" t="s">
        <v>88</v>
      </c>
      <c r="E28" s="83">
        <v>3311</v>
      </c>
      <c r="F28" s="83">
        <v>722</v>
      </c>
      <c r="G28" s="83">
        <v>1464</v>
      </c>
      <c r="H28" s="83">
        <v>712</v>
      </c>
      <c r="I28" s="83">
        <v>483</v>
      </c>
      <c r="J28" s="113" t="str">
        <f t="shared" si="0"/>
        <v>4% APR</v>
      </c>
      <c r="K28" s="84"/>
    </row>
    <row r="29" spans="1:11" ht="21.5" customHeight="1">
      <c r="A29" s="80" t="s">
        <v>144</v>
      </c>
      <c r="B29" s="81" t="s">
        <v>145</v>
      </c>
      <c r="C29" s="82">
        <v>2019</v>
      </c>
      <c r="D29" s="82" t="s">
        <v>95</v>
      </c>
      <c r="E29" s="83" t="s">
        <v>109</v>
      </c>
      <c r="F29" s="83" t="s">
        <v>109</v>
      </c>
      <c r="G29" s="83">
        <v>3005</v>
      </c>
      <c r="H29" s="83">
        <v>969</v>
      </c>
      <c r="I29" s="83">
        <v>4416</v>
      </c>
      <c r="J29" s="113" t="str">
        <f t="shared" si="0"/>
        <v>2.5% APR</v>
      </c>
      <c r="K29" s="84"/>
    </row>
    <row r="30" spans="1:11" ht="21.5" customHeight="1">
      <c r="A30" s="80" t="s">
        <v>146</v>
      </c>
      <c r="B30" s="81" t="s">
        <v>147</v>
      </c>
      <c r="C30" s="82">
        <v>2013</v>
      </c>
      <c r="D30" s="82" t="s">
        <v>88</v>
      </c>
      <c r="E30" s="83">
        <v>4688</v>
      </c>
      <c r="F30" s="83">
        <v>756</v>
      </c>
      <c r="G30" s="83">
        <v>1023</v>
      </c>
      <c r="H30" s="83">
        <v>2586</v>
      </c>
      <c r="I30" s="83">
        <v>2076</v>
      </c>
      <c r="J30" s="113" t="str">
        <f t="shared" si="0"/>
        <v>4% APR</v>
      </c>
      <c r="K30" s="84"/>
    </row>
    <row r="31" spans="1:11" ht="21.5" customHeight="1">
      <c r="A31" s="80" t="s">
        <v>148</v>
      </c>
      <c r="B31" s="81" t="s">
        <v>108</v>
      </c>
      <c r="C31" s="82">
        <v>2017</v>
      </c>
      <c r="D31" s="82" t="s">
        <v>95</v>
      </c>
      <c r="E31" s="83">
        <v>565</v>
      </c>
      <c r="F31" s="83">
        <v>2837</v>
      </c>
      <c r="G31" s="83">
        <v>3632</v>
      </c>
      <c r="H31" s="83">
        <v>510</v>
      </c>
      <c r="I31" s="83">
        <v>3493</v>
      </c>
      <c r="J31" s="113" t="str">
        <f t="shared" si="0"/>
        <v>No Annual Fee</v>
      </c>
      <c r="K31" s="84"/>
    </row>
    <row r="32" spans="1:11" ht="21.5" customHeight="1">
      <c r="A32" s="80" t="s">
        <v>149</v>
      </c>
      <c r="B32" s="81" t="s">
        <v>106</v>
      </c>
      <c r="C32" s="82">
        <v>2020</v>
      </c>
      <c r="D32" s="82" t="s">
        <v>95</v>
      </c>
      <c r="E32" s="83" t="s">
        <v>109</v>
      </c>
      <c r="F32" s="83" t="s">
        <v>109</v>
      </c>
      <c r="G32" s="83" t="s">
        <v>109</v>
      </c>
      <c r="H32" s="83">
        <v>2890</v>
      </c>
      <c r="I32" s="83">
        <v>4931</v>
      </c>
      <c r="J32" s="113" t="str">
        <f t="shared" si="0"/>
        <v>2.5% APR</v>
      </c>
      <c r="K32" s="84"/>
    </row>
    <row r="33" spans="1:11" ht="21.5" customHeight="1">
      <c r="A33" s="98" t="s">
        <v>150</v>
      </c>
      <c r="B33" s="99" t="s">
        <v>151</v>
      </c>
      <c r="C33" s="100">
        <v>2009</v>
      </c>
      <c r="D33" s="100" t="s">
        <v>95</v>
      </c>
      <c r="E33" s="101">
        <v>1521</v>
      </c>
      <c r="F33" s="101">
        <v>4079</v>
      </c>
      <c r="G33" s="101">
        <v>1955</v>
      </c>
      <c r="H33" s="101">
        <v>3367</v>
      </c>
      <c r="I33" s="101">
        <v>1524</v>
      </c>
      <c r="J33" s="113" t="str">
        <f t="shared" si="0"/>
        <v>No Annual Fee</v>
      </c>
      <c r="K33" s="84"/>
    </row>
    <row r="34" spans="1:11">
      <c r="D34" s="69"/>
    </row>
  </sheetData>
  <conditionalFormatting sqref="K4:K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{5BC6360D-561F-1D44-BC4D-C70A6E961607}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C6360D-561F-1D44-BC4D-C70A6E961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K4:K33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218F941F-1497-AE47-8C09-4E992ABB4A03}">
          <x14:colorSeries rgb="FF5F5F5F"/>
          <x14:colorNegative rgb="FFFFB620"/>
          <x14:colorAxis rgb="FF000000"/>
          <x14:colorMarkers rgb="FFD70077"/>
          <x14:colorFirst rgb="FF5687C2"/>
          <x14:colorLast rgb="FF359CEB"/>
          <x14:colorHigh rgb="FF56BE79"/>
          <x14:colorLow rgb="FFFF5055"/>
          <x14:sparklines>
            <x14:sparkline>
              <xm:f>'Credit Reward Offer'!E4:I4</xm:f>
              <xm:sqref>K4</xm:sqref>
            </x14:sparkline>
            <x14:sparkline>
              <xm:f>'Credit Reward Offer'!E5:I5</xm:f>
              <xm:sqref>K5</xm:sqref>
            </x14:sparkline>
            <x14:sparkline>
              <xm:f>'Credit Reward Offer'!E6:I6</xm:f>
              <xm:sqref>K6</xm:sqref>
            </x14:sparkline>
            <x14:sparkline>
              <xm:f>'Credit Reward Offer'!E7:I7</xm:f>
              <xm:sqref>K7</xm:sqref>
            </x14:sparkline>
            <x14:sparkline>
              <xm:f>'Credit Reward Offer'!E8:I8</xm:f>
              <xm:sqref>K8</xm:sqref>
            </x14:sparkline>
            <x14:sparkline>
              <xm:f>'Credit Reward Offer'!E9:I9</xm:f>
              <xm:sqref>K9</xm:sqref>
            </x14:sparkline>
            <x14:sparkline>
              <xm:f>'Credit Reward Offer'!E10:I10</xm:f>
              <xm:sqref>K10</xm:sqref>
            </x14:sparkline>
            <x14:sparkline>
              <xm:f>'Credit Reward Offer'!E11:I11</xm:f>
              <xm:sqref>K11</xm:sqref>
            </x14:sparkline>
            <x14:sparkline>
              <xm:f>'Credit Reward Offer'!E12:I12</xm:f>
              <xm:sqref>K12</xm:sqref>
            </x14:sparkline>
            <x14:sparkline>
              <xm:f>'Credit Reward Offer'!E13:I13</xm:f>
              <xm:sqref>K13</xm:sqref>
            </x14:sparkline>
            <x14:sparkline>
              <xm:f>'Credit Reward Offer'!E14:I14</xm:f>
              <xm:sqref>K14</xm:sqref>
            </x14:sparkline>
            <x14:sparkline>
              <xm:f>'Credit Reward Offer'!E15:I15</xm:f>
              <xm:sqref>K15</xm:sqref>
            </x14:sparkline>
            <x14:sparkline>
              <xm:f>'Credit Reward Offer'!E16:I16</xm:f>
              <xm:sqref>K16</xm:sqref>
            </x14:sparkline>
            <x14:sparkline>
              <xm:f>'Credit Reward Offer'!E17:I17</xm:f>
              <xm:sqref>K17</xm:sqref>
            </x14:sparkline>
            <x14:sparkline>
              <xm:f>'Credit Reward Offer'!E18:I18</xm:f>
              <xm:sqref>K18</xm:sqref>
            </x14:sparkline>
            <x14:sparkline>
              <xm:f>'Credit Reward Offer'!E19:I19</xm:f>
              <xm:sqref>K19</xm:sqref>
            </x14:sparkline>
            <x14:sparkline>
              <xm:f>'Credit Reward Offer'!E20:I20</xm:f>
              <xm:sqref>K20</xm:sqref>
            </x14:sparkline>
            <x14:sparkline>
              <xm:f>'Credit Reward Offer'!E21:I21</xm:f>
              <xm:sqref>K21</xm:sqref>
            </x14:sparkline>
            <x14:sparkline>
              <xm:f>'Credit Reward Offer'!E22:I22</xm:f>
              <xm:sqref>K22</xm:sqref>
            </x14:sparkline>
            <x14:sparkline>
              <xm:f>'Credit Reward Offer'!E23:I23</xm:f>
              <xm:sqref>K23</xm:sqref>
            </x14:sparkline>
            <x14:sparkline>
              <xm:f>'Credit Reward Offer'!E24:I24</xm:f>
              <xm:sqref>K24</xm:sqref>
            </x14:sparkline>
            <x14:sparkline>
              <xm:f>'Credit Reward Offer'!E25:I25</xm:f>
              <xm:sqref>K25</xm:sqref>
            </x14:sparkline>
            <x14:sparkline>
              <xm:f>'Credit Reward Offer'!E26:I26</xm:f>
              <xm:sqref>K26</xm:sqref>
            </x14:sparkline>
            <x14:sparkline>
              <xm:f>'Credit Reward Offer'!E27:I27</xm:f>
              <xm:sqref>K27</xm:sqref>
            </x14:sparkline>
            <x14:sparkline>
              <xm:f>'Credit Reward Offer'!E28:I28</xm:f>
              <xm:sqref>K28</xm:sqref>
            </x14:sparkline>
            <x14:sparkline>
              <xm:f>'Credit Reward Offer'!E29:I29</xm:f>
              <xm:sqref>K29</xm:sqref>
            </x14:sparkline>
            <x14:sparkline>
              <xm:f>'Credit Reward Offer'!E30:I30</xm:f>
              <xm:sqref>K30</xm:sqref>
            </x14:sparkline>
            <x14:sparkline>
              <xm:f>'Credit Reward Offer'!E31:I31</xm:f>
              <xm:sqref>K31</xm:sqref>
            </x14:sparkline>
            <x14:sparkline>
              <xm:f>'Credit Reward Offer'!E32:I32</xm:f>
              <xm:sqref>K32</xm:sqref>
            </x14:sparkline>
            <x14:sparkline>
              <xm:f>'Credit Reward Offer'!E33:I33</xm:f>
              <xm:sqref>K33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"/>
  <sheetViews>
    <sheetView showGridLines="0" zoomScale="113" zoomScaleNormal="180" zoomScalePageLayoutView="80" workbookViewId="0">
      <selection activeCell="L21" sqref="L21"/>
    </sheetView>
  </sheetViews>
  <sheetFormatPr baseColWidth="10" defaultColWidth="9.5" defaultRowHeight="11"/>
  <cols>
    <col min="1" max="1" width="24.5" style="40" bestFit="1" customWidth="1"/>
    <col min="2" max="2" width="6.6640625" style="40" bestFit="1" customWidth="1"/>
    <col min="3" max="3" width="5.83203125" style="40" bestFit="1" customWidth="1"/>
    <col min="4" max="4" width="4.83203125" style="40" bestFit="1" customWidth="1"/>
    <col min="5" max="5" width="6.5" style="40" bestFit="1" customWidth="1"/>
    <col min="6" max="6" width="9.6640625" style="40" bestFit="1" customWidth="1"/>
    <col min="7" max="10" width="8.83203125" style="40" bestFit="1" customWidth="1"/>
    <col min="11" max="11" width="8.83203125" style="40" customWidth="1"/>
    <col min="12" max="15" width="9.5" style="40"/>
    <col min="16" max="16" width="11.83203125" style="40" customWidth="1"/>
    <col min="17" max="16384" width="9.5" style="40"/>
  </cols>
  <sheetData>
    <row r="1" spans="1:15" ht="20" customHeight="1">
      <c r="A1" s="133" t="s">
        <v>53</v>
      </c>
      <c r="B1" s="133"/>
      <c r="C1" s="133"/>
      <c r="D1" s="133"/>
      <c r="E1" s="133"/>
      <c r="F1" s="38"/>
      <c r="G1" s="39"/>
      <c r="H1" s="39"/>
      <c r="O1" s="39"/>
    </row>
    <row r="2" spans="1:15" ht="21.5" customHeight="1">
      <c r="A2" s="134" t="s">
        <v>54</v>
      </c>
      <c r="B2" s="134"/>
      <c r="C2" s="134"/>
      <c r="D2" s="134"/>
      <c r="E2" s="134"/>
      <c r="F2" s="38"/>
      <c r="G2" s="39"/>
      <c r="H2" s="39"/>
      <c r="O2" s="39"/>
    </row>
    <row r="3" spans="1:15" ht="13.25" customHeight="1">
      <c r="H3" s="39"/>
      <c r="O3" s="39"/>
    </row>
    <row r="4" spans="1:15" ht="15">
      <c r="A4" s="55"/>
      <c r="B4" s="50" t="s">
        <v>55</v>
      </c>
      <c r="C4" s="50" t="s">
        <v>56</v>
      </c>
      <c r="D4" s="50" t="s">
        <v>57</v>
      </c>
      <c r="E4" s="50" t="s">
        <v>58</v>
      </c>
      <c r="F4" s="51" t="s">
        <v>59</v>
      </c>
      <c r="G4" s="39"/>
      <c r="H4" s="39"/>
      <c r="O4" s="39"/>
    </row>
    <row r="5" spans="1:15" ht="14">
      <c r="A5" s="49" t="s">
        <v>78</v>
      </c>
      <c r="B5" s="44">
        <v>325</v>
      </c>
      <c r="C5" s="44">
        <v>425</v>
      </c>
      <c r="D5" s="44">
        <v>440</v>
      </c>
      <c r="E5" s="44">
        <v>350</v>
      </c>
      <c r="F5" s="67">
        <f>SUM(B5:E5)</f>
        <v>1540</v>
      </c>
      <c r="G5" s="39"/>
      <c r="H5" s="39"/>
      <c r="J5" s="43"/>
      <c r="K5" s="43"/>
      <c r="O5" s="39"/>
    </row>
    <row r="6" spans="1:15" ht="15">
      <c r="A6" s="49" t="s">
        <v>77</v>
      </c>
      <c r="B6" s="42">
        <v>65</v>
      </c>
      <c r="C6" s="42">
        <v>80</v>
      </c>
      <c r="D6" s="42">
        <v>65</v>
      </c>
      <c r="E6" s="42">
        <v>122</v>
      </c>
      <c r="F6" s="68">
        <f>B5*B6+C5*C6+D5*D6+E5*E6</f>
        <v>126425</v>
      </c>
      <c r="G6" s="39"/>
      <c r="H6" s="39"/>
      <c r="O6" s="39"/>
    </row>
    <row r="7" spans="1:15" s="47" customFormat="1">
      <c r="A7" s="45"/>
      <c r="B7" s="46"/>
      <c r="C7" s="46"/>
      <c r="D7" s="46"/>
      <c r="E7" s="46"/>
      <c r="F7" s="46"/>
      <c r="G7" s="45"/>
      <c r="H7" s="45"/>
      <c r="O7" s="45"/>
    </row>
    <row r="8" spans="1:15" s="47" customFormat="1" ht="15">
      <c r="A8" s="52" t="s">
        <v>60</v>
      </c>
      <c r="B8" s="53"/>
      <c r="C8" s="54" t="s">
        <v>72</v>
      </c>
      <c r="D8" s="39"/>
      <c r="E8" s="39"/>
      <c r="F8" s="46"/>
      <c r="G8" s="45"/>
      <c r="H8" s="45"/>
      <c r="O8" s="45"/>
    </row>
    <row r="9" spans="1:15" s="47" customFormat="1" ht="26">
      <c r="A9" s="56" t="s">
        <v>76</v>
      </c>
      <c r="B9" s="64">
        <v>7.0000000000000007E-2</v>
      </c>
      <c r="C9" s="65">
        <v>10000</v>
      </c>
      <c r="D9" s="39"/>
      <c r="E9" s="39"/>
      <c r="F9" s="46"/>
      <c r="G9" s="45"/>
      <c r="H9" s="45"/>
      <c r="I9" s="45"/>
      <c r="J9" s="45"/>
      <c r="K9" s="45"/>
      <c r="L9" s="45"/>
      <c r="N9" s="45"/>
      <c r="O9" s="45"/>
    </row>
    <row r="10" spans="1:15" s="47" customFormat="1" ht="26">
      <c r="A10" s="56" t="s">
        <v>80</v>
      </c>
      <c r="B10" s="66" t="s">
        <v>75</v>
      </c>
      <c r="C10" s="65">
        <v>5000</v>
      </c>
      <c r="D10" s="39"/>
      <c r="E10" s="39"/>
      <c r="F10" s="46"/>
      <c r="G10" s="45"/>
      <c r="H10" s="45"/>
      <c r="I10" s="45"/>
      <c r="J10" s="45"/>
      <c r="K10" s="45"/>
      <c r="L10" s="45"/>
      <c r="N10" s="45"/>
      <c r="O10" s="45"/>
    </row>
    <row r="11" spans="1:15" s="47" customFormat="1" ht="12">
      <c r="A11" s="57" t="s">
        <v>73</v>
      </c>
      <c r="B11" s="58"/>
      <c r="C11" s="61">
        <v>6000</v>
      </c>
      <c r="D11" s="39"/>
      <c r="E11" s="39"/>
      <c r="F11" s="46"/>
      <c r="G11" s="45"/>
      <c r="H11" s="45"/>
      <c r="I11" s="45"/>
      <c r="J11" s="45"/>
      <c r="K11" s="45"/>
      <c r="L11" s="45"/>
      <c r="N11" s="45"/>
      <c r="O11" s="45"/>
    </row>
    <row r="12" spans="1:15" s="47" customFormat="1" ht="12">
      <c r="A12" s="135" t="s">
        <v>74</v>
      </c>
      <c r="B12" s="136"/>
      <c r="C12" s="62">
        <v>0.05</v>
      </c>
      <c r="D12" s="45"/>
      <c r="E12" s="45"/>
      <c r="F12" s="46"/>
      <c r="G12" s="45"/>
      <c r="H12" s="45"/>
      <c r="I12" s="45"/>
      <c r="J12" s="45"/>
      <c r="K12" s="45"/>
      <c r="L12" s="45"/>
      <c r="N12" s="45"/>
      <c r="O12" s="45"/>
    </row>
    <row r="13" spans="1:15" s="47" customFormat="1" ht="12">
      <c r="A13" s="135" t="s">
        <v>61</v>
      </c>
      <c r="B13" s="136"/>
      <c r="C13" s="62">
        <v>0.1</v>
      </c>
      <c r="D13" s="45"/>
      <c r="E13" s="45"/>
      <c r="F13" s="46"/>
      <c r="G13" s="45"/>
      <c r="H13" s="45"/>
      <c r="I13" s="45"/>
      <c r="J13" s="45"/>
      <c r="K13" s="45"/>
      <c r="L13" s="45"/>
      <c r="N13" s="45"/>
      <c r="O13" s="45"/>
    </row>
    <row r="14" spans="1:15" s="47" customFormat="1" ht="12">
      <c r="A14" s="137" t="s">
        <v>62</v>
      </c>
      <c r="B14" s="138"/>
      <c r="C14" s="63">
        <v>0.1</v>
      </c>
      <c r="D14" s="46"/>
      <c r="E14" s="46"/>
      <c r="F14" s="46"/>
      <c r="G14" s="45"/>
      <c r="H14" s="45"/>
      <c r="I14" s="45"/>
      <c r="J14" s="45"/>
      <c r="K14" s="45"/>
      <c r="L14" s="45"/>
      <c r="N14" s="45"/>
      <c r="O14" s="45"/>
    </row>
    <row r="15" spans="1:15" s="47" customFormat="1">
      <c r="A15" s="45"/>
      <c r="B15" s="46"/>
      <c r="C15" s="46"/>
      <c r="D15" s="46"/>
      <c r="E15" s="46"/>
    </row>
    <row r="16" spans="1:15" ht="14.75" customHeight="1">
      <c r="A16" s="59"/>
      <c r="B16" s="131" t="s">
        <v>63</v>
      </c>
      <c r="C16" s="131"/>
      <c r="D16" s="131"/>
      <c r="E16" s="132"/>
      <c r="F16" s="146" t="s">
        <v>156</v>
      </c>
      <c r="G16" s="145" t="s">
        <v>164</v>
      </c>
      <c r="H16" s="145"/>
      <c r="I16" s="145"/>
      <c r="J16" s="145"/>
      <c r="K16" s="122"/>
      <c r="L16" s="139" t="s">
        <v>161</v>
      </c>
      <c r="M16" s="141" t="s">
        <v>163</v>
      </c>
      <c r="N16" s="143" t="s">
        <v>162</v>
      </c>
    </row>
    <row r="17" spans="1:14" ht="59.25" customHeight="1">
      <c r="A17" s="48" t="s">
        <v>64</v>
      </c>
      <c r="B17" s="60" t="s">
        <v>55</v>
      </c>
      <c r="C17" s="60" t="s">
        <v>56</v>
      </c>
      <c r="D17" s="60" t="s">
        <v>57</v>
      </c>
      <c r="E17" s="114" t="s">
        <v>58</v>
      </c>
      <c r="F17" s="146"/>
      <c r="G17" s="70" t="s">
        <v>55</v>
      </c>
      <c r="H17" s="70" t="s">
        <v>56</v>
      </c>
      <c r="I17" s="70" t="s">
        <v>57</v>
      </c>
      <c r="J17" s="70" t="s">
        <v>58</v>
      </c>
      <c r="K17" s="123"/>
      <c r="L17" s="140"/>
      <c r="M17" s="142"/>
      <c r="N17" s="144"/>
    </row>
    <row r="18" spans="1:14">
      <c r="A18" s="41">
        <v>3321</v>
      </c>
      <c r="B18" s="41">
        <v>333</v>
      </c>
      <c r="C18" s="41">
        <v>447</v>
      </c>
      <c r="D18" s="41">
        <v>460</v>
      </c>
      <c r="E18" s="115">
        <v>377</v>
      </c>
      <c r="F18" s="116">
        <f>SUM(B18:E18)</f>
        <v>1617</v>
      </c>
      <c r="G18" s="117">
        <f>IF(B18&gt;B$5,B18*B$6,0)</f>
        <v>21645</v>
      </c>
      <c r="H18" s="117">
        <f t="shared" ref="H18:I18" si="0">IF(C18&gt;C$5,C18*C$6,0)</f>
        <v>35760</v>
      </c>
      <c r="I18" s="117">
        <f t="shared" si="0"/>
        <v>29900</v>
      </c>
      <c r="J18" s="117">
        <f t="shared" ref="J18:J28" si="1">IF(E18&gt;E$5,E18*E$6,0)</f>
        <v>45994</v>
      </c>
      <c r="K18" s="117">
        <f>SUM(G18:J18)</f>
        <v>133299</v>
      </c>
      <c r="L18" s="120" t="str">
        <f>IF(AND($F$5&gt;=F18-($C$12*F18),$F$5&lt;=F18+($C$12*F18)),"Excellent",IF(AND($F$5&gt;=F18-($C$13*F18),$F$5&lt;=F18+($C$13*F18)),"Good","poor"))</f>
        <v>Excellent</v>
      </c>
      <c r="M18" s="118">
        <f>IF(F18&gt;$F$5+($B$9*$F$5),$C$9,IF(AND(F18&lt;=$F$5+($B$9*$F$5),F18&gt;$F$5),$C$10,0))</f>
        <v>5000</v>
      </c>
      <c r="N18" s="118">
        <f>IF(F18=MAX($F$18:$F$28),$C$11,0)</f>
        <v>0</v>
      </c>
    </row>
    <row r="19" spans="1:14">
      <c r="A19" s="41">
        <v>3322</v>
      </c>
      <c r="B19" s="41">
        <v>315</v>
      </c>
      <c r="C19" s="41">
        <v>414</v>
      </c>
      <c r="D19" s="41">
        <v>398</v>
      </c>
      <c r="E19" s="115">
        <v>243</v>
      </c>
      <c r="F19" s="116">
        <f>SUM(B19:E19)</f>
        <v>1370</v>
      </c>
      <c r="G19" s="117">
        <f t="shared" ref="G19:G28" si="2">IF(B19&gt;$B$5,B19*$B$6,0)</f>
        <v>0</v>
      </c>
      <c r="H19" s="117">
        <f t="shared" ref="H19:H28" si="3">IF(C19&gt;C$5,C19*C$6,0)</f>
        <v>0</v>
      </c>
      <c r="I19" s="117">
        <f t="shared" ref="I19:I28" si="4">IF(D19&gt;D$5,D19*D$6,0)</f>
        <v>0</v>
      </c>
      <c r="J19" s="117">
        <f t="shared" si="1"/>
        <v>0</v>
      </c>
      <c r="K19" s="117">
        <f t="shared" ref="K19:K29" si="5">SUM(G19:J19)</f>
        <v>0</v>
      </c>
      <c r="L19" s="120" t="str">
        <f t="shared" ref="L19:L28" si="6">IF(AND($F$5&gt;=F19-($C$12*F19),$F$5&lt;=F19+($C$12*F19)),"Excellent",IF(AND($F$5&gt;=F19-($C$13*F19),$F$5&lt;=F19+($C$13*F19)),"Good","poor"))</f>
        <v>poor</v>
      </c>
      <c r="M19" s="118">
        <f t="shared" ref="M19:M28" si="7">IF(F19&gt;$F$5+($B$9*$F$5),$C$9,IF(AND(F19&lt;=$F$5+($B$9*$F$5),F19&gt;$F$5),$C$10,0))</f>
        <v>0</v>
      </c>
      <c r="N19" s="118">
        <f t="shared" ref="N19:N28" si="8">IF(F19=MAX($F$18:$F$28),$C$11,0)</f>
        <v>0</v>
      </c>
    </row>
    <row r="20" spans="1:14">
      <c r="A20" s="41">
        <v>3323</v>
      </c>
      <c r="B20" s="41">
        <v>384</v>
      </c>
      <c r="C20" s="41">
        <v>319</v>
      </c>
      <c r="D20" s="41">
        <v>372</v>
      </c>
      <c r="E20" s="115">
        <v>350</v>
      </c>
      <c r="F20" s="116">
        <f t="shared" ref="F20:F28" si="9">SUM(B20:E20)</f>
        <v>1425</v>
      </c>
      <c r="G20" s="117">
        <f t="shared" si="2"/>
        <v>24960</v>
      </c>
      <c r="H20" s="117">
        <f t="shared" si="3"/>
        <v>0</v>
      </c>
      <c r="I20" s="117">
        <f t="shared" si="4"/>
        <v>0</v>
      </c>
      <c r="J20" s="117">
        <f t="shared" si="1"/>
        <v>0</v>
      </c>
      <c r="K20" s="117">
        <f t="shared" si="5"/>
        <v>24960</v>
      </c>
      <c r="L20" s="120" t="str">
        <f t="shared" si="6"/>
        <v>Good</v>
      </c>
      <c r="M20" s="118">
        <f t="shared" si="7"/>
        <v>0</v>
      </c>
      <c r="N20" s="118">
        <f t="shared" si="8"/>
        <v>0</v>
      </c>
    </row>
    <row r="21" spans="1:14">
      <c r="A21" s="41">
        <v>3324</v>
      </c>
      <c r="B21" s="41">
        <v>321</v>
      </c>
      <c r="C21" s="41">
        <v>339</v>
      </c>
      <c r="D21" s="41">
        <v>294</v>
      </c>
      <c r="E21" s="115">
        <v>157</v>
      </c>
      <c r="F21" s="116">
        <f t="shared" si="9"/>
        <v>1111</v>
      </c>
      <c r="G21" s="117">
        <f t="shared" si="2"/>
        <v>0</v>
      </c>
      <c r="H21" s="117">
        <f t="shared" si="3"/>
        <v>0</v>
      </c>
      <c r="I21" s="117">
        <f t="shared" si="4"/>
        <v>0</v>
      </c>
      <c r="J21" s="117">
        <f t="shared" si="1"/>
        <v>0</v>
      </c>
      <c r="K21" s="117">
        <f t="shared" si="5"/>
        <v>0</v>
      </c>
      <c r="L21" s="120" t="str">
        <f t="shared" si="6"/>
        <v>poor</v>
      </c>
      <c r="M21" s="118">
        <f t="shared" si="7"/>
        <v>0</v>
      </c>
      <c r="N21" s="118">
        <f t="shared" si="8"/>
        <v>0</v>
      </c>
    </row>
    <row r="22" spans="1:14">
      <c r="A22" s="41">
        <v>3325</v>
      </c>
      <c r="B22" s="41">
        <v>536</v>
      </c>
      <c r="C22" s="41">
        <v>249</v>
      </c>
      <c r="D22" s="41">
        <v>234</v>
      </c>
      <c r="E22" s="115">
        <v>211</v>
      </c>
      <c r="F22" s="116">
        <f t="shared" si="9"/>
        <v>1230</v>
      </c>
      <c r="G22" s="117">
        <f t="shared" si="2"/>
        <v>34840</v>
      </c>
      <c r="H22" s="117">
        <f t="shared" si="3"/>
        <v>0</v>
      </c>
      <c r="I22" s="117">
        <f t="shared" si="4"/>
        <v>0</v>
      </c>
      <c r="J22" s="117">
        <f t="shared" si="1"/>
        <v>0</v>
      </c>
      <c r="K22" s="117">
        <f t="shared" si="5"/>
        <v>34840</v>
      </c>
      <c r="L22" s="120" t="str">
        <f t="shared" si="6"/>
        <v>poor</v>
      </c>
      <c r="M22" s="118">
        <f t="shared" si="7"/>
        <v>0</v>
      </c>
      <c r="N22" s="118">
        <f t="shared" si="8"/>
        <v>0</v>
      </c>
    </row>
    <row r="23" spans="1:14">
      <c r="A23" s="41">
        <v>3326</v>
      </c>
      <c r="B23" s="41">
        <v>311</v>
      </c>
      <c r="C23" s="41">
        <v>496</v>
      </c>
      <c r="D23" s="41">
        <v>484</v>
      </c>
      <c r="E23" s="115">
        <v>504</v>
      </c>
      <c r="F23" s="116">
        <f t="shared" si="9"/>
        <v>1795</v>
      </c>
      <c r="G23" s="117">
        <f t="shared" si="2"/>
        <v>0</v>
      </c>
      <c r="H23" s="117">
        <f t="shared" si="3"/>
        <v>39680</v>
      </c>
      <c r="I23" s="117">
        <f t="shared" si="4"/>
        <v>31460</v>
      </c>
      <c r="J23" s="117">
        <f t="shared" si="1"/>
        <v>61488</v>
      </c>
      <c r="K23" s="117">
        <f t="shared" si="5"/>
        <v>132628</v>
      </c>
      <c r="L23" s="120" t="str">
        <f t="shared" si="6"/>
        <v>poor</v>
      </c>
      <c r="M23" s="118">
        <f t="shared" si="7"/>
        <v>10000</v>
      </c>
      <c r="N23" s="118">
        <f t="shared" si="8"/>
        <v>6000</v>
      </c>
    </row>
    <row r="24" spans="1:14">
      <c r="A24" s="41">
        <v>3327</v>
      </c>
      <c r="B24" s="41">
        <v>383</v>
      </c>
      <c r="C24" s="41">
        <v>210</v>
      </c>
      <c r="D24" s="41">
        <v>102</v>
      </c>
      <c r="E24" s="115">
        <v>365</v>
      </c>
      <c r="F24" s="116">
        <f t="shared" si="9"/>
        <v>1060</v>
      </c>
      <c r="G24" s="117">
        <f t="shared" si="2"/>
        <v>24895</v>
      </c>
      <c r="H24" s="117">
        <f t="shared" si="3"/>
        <v>0</v>
      </c>
      <c r="I24" s="117">
        <f t="shared" si="4"/>
        <v>0</v>
      </c>
      <c r="J24" s="117">
        <f t="shared" si="1"/>
        <v>44530</v>
      </c>
      <c r="K24" s="117">
        <f t="shared" si="5"/>
        <v>69425</v>
      </c>
      <c r="L24" s="120" t="str">
        <f t="shared" si="6"/>
        <v>poor</v>
      </c>
      <c r="M24" s="118">
        <f t="shared" si="7"/>
        <v>0</v>
      </c>
      <c r="N24" s="118">
        <f t="shared" si="8"/>
        <v>0</v>
      </c>
    </row>
    <row r="25" spans="1:14">
      <c r="A25" s="41">
        <v>3328</v>
      </c>
      <c r="B25" s="41">
        <v>210</v>
      </c>
      <c r="C25" s="41">
        <v>406</v>
      </c>
      <c r="D25" s="41">
        <v>183</v>
      </c>
      <c r="E25" s="115">
        <v>409</v>
      </c>
      <c r="F25" s="116">
        <f t="shared" si="9"/>
        <v>1208</v>
      </c>
      <c r="G25" s="117">
        <f t="shared" si="2"/>
        <v>0</v>
      </c>
      <c r="H25" s="117">
        <f t="shared" si="3"/>
        <v>0</v>
      </c>
      <c r="I25" s="117">
        <f t="shared" si="4"/>
        <v>0</v>
      </c>
      <c r="J25" s="117">
        <f t="shared" si="1"/>
        <v>49898</v>
      </c>
      <c r="K25" s="117">
        <f t="shared" si="5"/>
        <v>49898</v>
      </c>
      <c r="L25" s="120" t="str">
        <f t="shared" si="6"/>
        <v>poor</v>
      </c>
      <c r="M25" s="118">
        <f t="shared" si="7"/>
        <v>0</v>
      </c>
      <c r="N25" s="118">
        <f t="shared" si="8"/>
        <v>0</v>
      </c>
    </row>
    <row r="26" spans="1:14">
      <c r="A26" s="41">
        <v>3329</v>
      </c>
      <c r="B26" s="41">
        <v>185</v>
      </c>
      <c r="C26" s="41">
        <v>355</v>
      </c>
      <c r="D26" s="41">
        <v>495</v>
      </c>
      <c r="E26" s="115">
        <v>510</v>
      </c>
      <c r="F26" s="116">
        <f t="shared" si="9"/>
        <v>1545</v>
      </c>
      <c r="G26" s="117">
        <f t="shared" si="2"/>
        <v>0</v>
      </c>
      <c r="H26" s="117">
        <f t="shared" si="3"/>
        <v>0</v>
      </c>
      <c r="I26" s="117">
        <f t="shared" si="4"/>
        <v>32175</v>
      </c>
      <c r="J26" s="117">
        <f t="shared" si="1"/>
        <v>62220</v>
      </c>
      <c r="K26" s="117">
        <f t="shared" si="5"/>
        <v>94395</v>
      </c>
      <c r="L26" s="120" t="str">
        <f t="shared" si="6"/>
        <v>Excellent</v>
      </c>
      <c r="M26" s="118">
        <f t="shared" si="7"/>
        <v>5000</v>
      </c>
      <c r="N26" s="118">
        <f t="shared" si="8"/>
        <v>0</v>
      </c>
    </row>
    <row r="27" spans="1:14">
      <c r="A27" s="41">
        <v>3330</v>
      </c>
      <c r="B27" s="41">
        <v>499</v>
      </c>
      <c r="C27" s="41">
        <v>325</v>
      </c>
      <c r="D27" s="41">
        <v>227</v>
      </c>
      <c r="E27" s="115">
        <v>390</v>
      </c>
      <c r="F27" s="116">
        <f t="shared" si="9"/>
        <v>1441</v>
      </c>
      <c r="G27" s="117">
        <f t="shared" si="2"/>
        <v>32435</v>
      </c>
      <c r="H27" s="117">
        <f t="shared" si="3"/>
        <v>0</v>
      </c>
      <c r="I27" s="117">
        <f t="shared" si="4"/>
        <v>0</v>
      </c>
      <c r="J27" s="117">
        <f t="shared" si="1"/>
        <v>47580</v>
      </c>
      <c r="K27" s="117">
        <f t="shared" si="5"/>
        <v>80015</v>
      </c>
      <c r="L27" s="120" t="str">
        <f t="shared" si="6"/>
        <v>Good</v>
      </c>
      <c r="M27" s="118">
        <f t="shared" si="7"/>
        <v>0</v>
      </c>
      <c r="N27" s="118">
        <f t="shared" si="8"/>
        <v>0</v>
      </c>
    </row>
    <row r="28" spans="1:14">
      <c r="A28" s="41">
        <v>3331</v>
      </c>
      <c r="B28" s="41">
        <v>270</v>
      </c>
      <c r="C28" s="41">
        <v>339</v>
      </c>
      <c r="D28" s="41">
        <v>297</v>
      </c>
      <c r="E28" s="115">
        <v>291</v>
      </c>
      <c r="F28" s="116">
        <f t="shared" si="9"/>
        <v>1197</v>
      </c>
      <c r="G28" s="117">
        <f t="shared" si="2"/>
        <v>0</v>
      </c>
      <c r="H28" s="117">
        <f t="shared" si="3"/>
        <v>0</v>
      </c>
      <c r="I28" s="117">
        <f t="shared" si="4"/>
        <v>0</v>
      </c>
      <c r="J28" s="117">
        <f t="shared" si="1"/>
        <v>0</v>
      </c>
      <c r="K28" s="117">
        <f t="shared" si="5"/>
        <v>0</v>
      </c>
      <c r="L28" s="120" t="str">
        <f t="shared" si="6"/>
        <v>poor</v>
      </c>
      <c r="M28" s="118">
        <f t="shared" si="7"/>
        <v>0</v>
      </c>
      <c r="N28" s="118">
        <f t="shared" si="8"/>
        <v>0</v>
      </c>
    </row>
    <row r="29" spans="1:14">
      <c r="A29" s="119" t="s">
        <v>65</v>
      </c>
      <c r="B29" s="119">
        <f>SUM(B18:B28)</f>
        <v>3747</v>
      </c>
      <c r="C29" s="119">
        <f t="shared" ref="C29:E29" si="10">SUM(C18:C28)</f>
        <v>3899</v>
      </c>
      <c r="D29" s="119">
        <f t="shared" si="10"/>
        <v>3546</v>
      </c>
      <c r="E29" s="119">
        <f t="shared" si="10"/>
        <v>3807</v>
      </c>
      <c r="F29" s="116">
        <f>SUM(F18:F28)</f>
        <v>14999</v>
      </c>
      <c r="G29" s="118">
        <f>SUM(G18:G28)</f>
        <v>138775</v>
      </c>
      <c r="H29" s="118">
        <f t="shared" ref="H29:J29" si="11">SUM(H18:H28)</f>
        <v>75440</v>
      </c>
      <c r="I29" s="118">
        <f t="shared" si="11"/>
        <v>93535</v>
      </c>
      <c r="J29" s="118">
        <f t="shared" si="11"/>
        <v>311710</v>
      </c>
      <c r="K29" s="128">
        <f t="shared" si="5"/>
        <v>619460</v>
      </c>
      <c r="L29" s="121"/>
      <c r="M29" s="118">
        <f>SUM(M18:M28)</f>
        <v>20000</v>
      </c>
      <c r="N29" s="118">
        <f>SUM(N18:N28)</f>
        <v>6000</v>
      </c>
    </row>
    <row r="30" spans="1:14">
      <c r="G30" s="129"/>
      <c r="H30" s="130"/>
      <c r="I30" s="130"/>
      <c r="J30" s="130"/>
      <c r="K30" s="127"/>
    </row>
  </sheetData>
  <mergeCells count="12">
    <mergeCell ref="L16:L17"/>
    <mergeCell ref="M16:M17"/>
    <mergeCell ref="N16:N17"/>
    <mergeCell ref="G16:J16"/>
    <mergeCell ref="F16:F17"/>
    <mergeCell ref="G30:J30"/>
    <mergeCell ref="B16:E16"/>
    <mergeCell ref="A1:E1"/>
    <mergeCell ref="A2:E2"/>
    <mergeCell ref="A12:B12"/>
    <mergeCell ref="A13:B13"/>
    <mergeCell ref="A14:B14"/>
  </mergeCells>
  <pageMargins left="0.7" right="0.7" top="0.75" bottom="0.75" header="0.3" footer="0.3"/>
  <pageSetup orientation="portrait" horizontalDpi="1200" verticalDpi="1200" r:id="rId1"/>
  <ignoredErrors>
    <ignoredError sqref="F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0"/>
  <sheetViews>
    <sheetView zoomScale="92" zoomScaleNormal="80" workbookViewId="0">
      <selection activeCell="D29" sqref="D29"/>
    </sheetView>
  </sheetViews>
  <sheetFormatPr baseColWidth="10" defaultColWidth="6.6640625" defaultRowHeight="16"/>
  <cols>
    <col min="1" max="1" width="24.1640625" style="103" bestFit="1" customWidth="1"/>
    <col min="2" max="2" width="12.1640625" style="103" customWidth="1"/>
    <col min="3" max="4" width="15" style="103" customWidth="1"/>
    <col min="5" max="5" width="6.6640625" style="105"/>
    <col min="6" max="6" width="6.6640625" style="103"/>
    <col min="7" max="7" width="10.6640625" style="103" customWidth="1"/>
    <col min="8" max="9" width="9.83203125" style="103" customWidth="1"/>
    <col min="10" max="13" width="9.6640625" style="103" customWidth="1"/>
    <col min="14" max="16384" width="6.6640625" style="103"/>
  </cols>
  <sheetData>
    <row r="1" spans="1:13">
      <c r="A1" s="102"/>
      <c r="G1" s="112" t="s">
        <v>160</v>
      </c>
      <c r="H1" s="103">
        <v>0.7</v>
      </c>
    </row>
    <row r="2" spans="1:13">
      <c r="A2" s="102" t="s">
        <v>152</v>
      </c>
    </row>
    <row r="3" spans="1:13">
      <c r="A3" s="106"/>
      <c r="B3" s="107" t="s">
        <v>153</v>
      </c>
      <c r="C3" s="107" t="s">
        <v>154</v>
      </c>
      <c r="D3" s="107" t="s">
        <v>155</v>
      </c>
      <c r="G3" s="106"/>
      <c r="H3" s="107" t="s">
        <v>153</v>
      </c>
      <c r="I3" s="107" t="s">
        <v>157</v>
      </c>
      <c r="J3" s="107" t="s">
        <v>154</v>
      </c>
      <c r="K3" s="107" t="s">
        <v>159</v>
      </c>
      <c r="L3" s="107" t="s">
        <v>155</v>
      </c>
      <c r="M3" s="111" t="s">
        <v>158</v>
      </c>
    </row>
    <row r="4" spans="1:13">
      <c r="A4" s="108">
        <v>2018</v>
      </c>
      <c r="B4" s="109">
        <v>0.65</v>
      </c>
      <c r="C4" s="109">
        <v>0.3</v>
      </c>
      <c r="D4" s="109">
        <v>0.05</v>
      </c>
      <c r="G4" s="108">
        <v>2018</v>
      </c>
      <c r="H4" s="124">
        <v>0.65</v>
      </c>
      <c r="I4" s="124">
        <v>0.05</v>
      </c>
      <c r="J4" s="124">
        <v>0.3</v>
      </c>
      <c r="K4" s="124">
        <v>0.4</v>
      </c>
      <c r="L4" s="124">
        <v>0.05</v>
      </c>
      <c r="M4" s="125">
        <v>0.65</v>
      </c>
    </row>
    <row r="5" spans="1:13">
      <c r="A5" s="103">
        <v>2019</v>
      </c>
      <c r="B5" s="103">
        <v>0.5</v>
      </c>
      <c r="C5" s="103">
        <v>0.3</v>
      </c>
      <c r="D5" s="103">
        <v>0.2</v>
      </c>
      <c r="G5" s="103">
        <v>2019</v>
      </c>
      <c r="H5" s="126">
        <v>0.5</v>
      </c>
      <c r="I5" s="126">
        <v>0.2</v>
      </c>
      <c r="J5" s="126">
        <v>0.3</v>
      </c>
      <c r="K5" s="126">
        <v>0.4</v>
      </c>
      <c r="L5" s="126">
        <v>0.2</v>
      </c>
      <c r="M5" s="126">
        <v>0.5</v>
      </c>
    </row>
    <row r="6" spans="1:13">
      <c r="A6" s="103">
        <v>2020</v>
      </c>
      <c r="B6" s="109">
        <v>0.25</v>
      </c>
      <c r="C6" s="109">
        <v>0.4</v>
      </c>
      <c r="D6" s="109">
        <v>0.35</v>
      </c>
      <c r="G6" s="103">
        <v>2020</v>
      </c>
      <c r="H6" s="124">
        <v>0.25</v>
      </c>
      <c r="I6" s="124">
        <v>0.45</v>
      </c>
      <c r="J6" s="124">
        <v>0.4</v>
      </c>
      <c r="K6" s="124">
        <v>0.3</v>
      </c>
      <c r="L6" s="124">
        <v>0.35</v>
      </c>
      <c r="M6" s="125">
        <v>0.35</v>
      </c>
    </row>
    <row r="7" spans="1:13">
      <c r="A7" s="105"/>
      <c r="B7" s="110"/>
      <c r="C7" s="110"/>
      <c r="D7" s="110"/>
    </row>
    <row r="10" spans="1:13">
      <c r="E10" s="103"/>
    </row>
    <row r="11" spans="1:13">
      <c r="E11" s="103"/>
    </row>
    <row r="12" spans="1:13">
      <c r="E12" s="103"/>
    </row>
    <row r="13" spans="1:13">
      <c r="E13" s="103"/>
    </row>
    <row r="14" spans="1:13">
      <c r="E14" s="103"/>
    </row>
    <row r="15" spans="1:13">
      <c r="E15" s="103"/>
    </row>
    <row r="16" spans="1:13">
      <c r="E16" s="103"/>
    </row>
    <row r="17" spans="5:5">
      <c r="E17" s="103"/>
    </row>
    <row r="18" spans="5:5">
      <c r="E18" s="103"/>
    </row>
    <row r="19" spans="5:5">
      <c r="E19" s="103"/>
    </row>
    <row r="20" spans="5:5">
      <c r="E20" s="103"/>
    </row>
    <row r="21" spans="5:5">
      <c r="E21" s="103"/>
    </row>
    <row r="22" spans="5:5">
      <c r="E22" s="103"/>
    </row>
    <row r="23" spans="5:5">
      <c r="E23" s="103"/>
    </row>
    <row r="24" spans="5:5">
      <c r="E24" s="103"/>
    </row>
    <row r="25" spans="5:5">
      <c r="E25" s="103"/>
    </row>
    <row r="26" spans="5:5">
      <c r="E26" s="103"/>
    </row>
    <row r="27" spans="5:5">
      <c r="E27" s="103"/>
    </row>
    <row r="28" spans="5:5">
      <c r="E28" s="103"/>
    </row>
    <row r="29" spans="5:5">
      <c r="E29" s="103"/>
    </row>
    <row r="30" spans="5:5">
      <c r="E30" s="103"/>
    </row>
    <row r="31" spans="5:5">
      <c r="E31" s="103"/>
    </row>
    <row r="32" spans="5:5">
      <c r="E32" s="103"/>
    </row>
    <row r="33" spans="1:11">
      <c r="E33" s="103"/>
    </row>
    <row r="34" spans="1:11" s="105" customFormat="1">
      <c r="A34" s="104"/>
      <c r="B34" s="104"/>
      <c r="C34" s="104"/>
      <c r="D34" s="104"/>
      <c r="F34" s="103"/>
      <c r="G34" s="103"/>
      <c r="H34" s="103"/>
      <c r="I34" s="103"/>
      <c r="J34" s="103"/>
      <c r="K34" s="103"/>
    </row>
    <row r="35" spans="1:11" s="105" customFormat="1">
      <c r="A35" s="104"/>
      <c r="B35" s="104"/>
      <c r="C35" s="104"/>
      <c r="D35" s="104"/>
      <c r="F35" s="103"/>
      <c r="G35" s="103"/>
      <c r="H35" s="103"/>
      <c r="I35" s="103"/>
      <c r="J35" s="103"/>
      <c r="K35" s="103"/>
    </row>
    <row r="36" spans="1:11" s="105" customFormat="1">
      <c r="A36" s="104"/>
      <c r="B36" s="104"/>
      <c r="C36" s="104"/>
      <c r="D36" s="104"/>
      <c r="F36" s="103"/>
      <c r="G36" s="103"/>
      <c r="H36" s="103"/>
      <c r="I36" s="103"/>
      <c r="J36" s="103"/>
      <c r="K36" s="103"/>
    </row>
    <row r="37" spans="1:11" s="105" customFormat="1">
      <c r="A37" s="104"/>
      <c r="B37" s="104"/>
      <c r="C37" s="104"/>
      <c r="D37" s="104"/>
      <c r="F37" s="103"/>
      <c r="G37" s="103"/>
      <c r="H37" s="103"/>
      <c r="I37" s="103"/>
      <c r="J37" s="103"/>
      <c r="K37" s="103"/>
    </row>
    <row r="38" spans="1:11" s="105" customFormat="1">
      <c r="A38" s="104"/>
      <c r="B38" s="104"/>
      <c r="C38" s="104"/>
      <c r="D38" s="104"/>
      <c r="F38" s="103"/>
      <c r="G38" s="103"/>
      <c r="H38" s="103"/>
      <c r="I38" s="103"/>
      <c r="J38" s="103"/>
      <c r="K38" s="103"/>
    </row>
    <row r="39" spans="1:11" s="105" customFormat="1">
      <c r="A39" s="104"/>
      <c r="B39" s="104"/>
      <c r="C39" s="104"/>
      <c r="D39" s="104"/>
      <c r="F39" s="103"/>
      <c r="G39" s="103"/>
      <c r="H39" s="103"/>
      <c r="I39" s="103"/>
      <c r="J39" s="103"/>
      <c r="K39" s="103"/>
    </row>
    <row r="40" spans="1:11" s="105" customFormat="1">
      <c r="A40" s="104"/>
      <c r="B40" s="104"/>
      <c r="C40" s="104"/>
      <c r="D40" s="104"/>
      <c r="F40" s="103"/>
      <c r="G40" s="103"/>
      <c r="H40" s="103"/>
      <c r="I40" s="103"/>
      <c r="J40" s="103"/>
      <c r="K40" s="10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6"/>
  <sheetViews>
    <sheetView zoomScale="70" zoomScaleNormal="70" zoomScalePageLayoutView="70" workbookViewId="0">
      <selection activeCell="L23" sqref="L23:L24"/>
    </sheetView>
  </sheetViews>
  <sheetFormatPr baseColWidth="10" defaultColWidth="10" defaultRowHeight="16"/>
  <cols>
    <col min="1" max="1" width="10.1640625" style="2" customWidth="1"/>
    <col min="2" max="2" width="18.6640625" style="2" customWidth="1"/>
    <col min="3" max="3" width="19" style="2" customWidth="1"/>
    <col min="4" max="4" width="20.5" style="2" customWidth="1"/>
    <col min="5" max="5" width="13.5" style="3" customWidth="1"/>
    <col min="6" max="6" width="22.83203125" style="3" customWidth="1"/>
    <col min="7" max="7" width="18" style="2" bestFit="1" customWidth="1"/>
    <col min="8" max="8" width="16.1640625" style="2" customWidth="1"/>
    <col min="9" max="9" width="23" style="2" customWidth="1"/>
    <col min="10" max="10" width="10" style="2"/>
    <col min="11" max="11" width="14.83203125" style="2" bestFit="1" customWidth="1"/>
    <col min="12" max="12" width="20.1640625" style="2" bestFit="1" customWidth="1"/>
    <col min="13" max="13" width="10" style="2"/>
    <col min="14" max="14" width="17.5" style="2" customWidth="1"/>
    <col min="15" max="15" width="12" style="2" customWidth="1"/>
    <col min="16" max="18" width="10" style="2"/>
    <col min="19" max="19" width="19.33203125" style="2" bestFit="1" customWidth="1"/>
    <col min="20" max="20" width="26" style="2" bestFit="1" customWidth="1"/>
    <col min="21" max="16384" width="10" style="2"/>
  </cols>
  <sheetData>
    <row r="1" spans="1:20" ht="23">
      <c r="A1" s="35" t="s">
        <v>52</v>
      </c>
      <c r="C1" s="4"/>
      <c r="D1" s="4"/>
    </row>
    <row r="2" spans="1:20">
      <c r="A2" s="5"/>
      <c r="B2" s="6"/>
    </row>
    <row r="3" spans="1:20" s="7" customFormat="1" ht="43.75" customHeight="1" thickBot="1">
      <c r="A3" s="14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K3" s="9" t="s">
        <v>66</v>
      </c>
      <c r="L3" s="9" t="s">
        <v>67</v>
      </c>
      <c r="N3" s="9" t="s">
        <v>68</v>
      </c>
      <c r="O3" s="9" t="s">
        <v>69</v>
      </c>
      <c r="S3" s="1"/>
      <c r="T3" s="1"/>
    </row>
    <row r="4" spans="1:20">
      <c r="A4" s="10" t="s">
        <v>9</v>
      </c>
      <c r="B4" s="16">
        <v>87</v>
      </c>
      <c r="C4" s="36">
        <v>35608.14</v>
      </c>
      <c r="D4" s="17">
        <f t="shared" ref="D4:D27" si="0">IF(Sales_Volume&lt;&gt;"", Sales_Volume*Wholesale_Cost, "")</f>
        <v>3097908.18</v>
      </c>
      <c r="E4" s="18" t="s">
        <v>10</v>
      </c>
      <c r="F4" s="17">
        <f t="shared" ref="F4:F10" si="1">Total_manu_cost+Total_manu_cost*IF(Car_Type="Luxury",Luxury_Markup,IF(Car_Type="Sporty",Sporty_Markup,IF(Car_Type="Wagon",Wagon_Markup,IF(Car_Type="Sedan",Sedan_Markup,IF(Car_Type="Compact",Compact_Markup,IF(Car_Type="Subcompact",Sub_Markup,Mini_Markup))))))</f>
        <v>3779447.9796000002</v>
      </c>
      <c r="G4" s="17">
        <f>Sales_Volume*IF(Total_Dealer_Cost/Sales_Volume&lt;15000,Fee_500,IF(Total_Dealer_Cost/Sales_Volume&lt;20000,Fee_750,IF(Total_Dealer_Cost/Sales_Volume&lt;25000,Fee_1000,IF(Total_Dealer_Cost/Sales_Volume&lt;30000,Fee_1300,IF(Total_Dealer_Cost/Sales_Volume&lt;35000,Fee_1600,IF(Total_Dealer_Cost/Sales_Volume&lt;40000,Fee_1900,Fee_2500))))))</f>
        <v>217500</v>
      </c>
      <c r="H4" s="17">
        <f t="shared" ref="H4:H11" si="2">Total_Dealer_Cost+Added_Fees</f>
        <v>3996947.9796000002</v>
      </c>
      <c r="I4" s="19">
        <f t="shared" ref="I4:I27" si="3">total_sales/$H$29</f>
        <v>1.5224080858825047E-3</v>
      </c>
      <c r="K4" s="10" t="s">
        <v>10</v>
      </c>
      <c r="L4" s="11">
        <v>0.22</v>
      </c>
      <c r="N4" s="10" t="s">
        <v>11</v>
      </c>
      <c r="O4" s="33">
        <v>500</v>
      </c>
      <c r="S4" s="8"/>
      <c r="T4" s="8"/>
    </row>
    <row r="5" spans="1:20">
      <c r="A5" s="10" t="s">
        <v>12</v>
      </c>
      <c r="B5" s="16">
        <v>178</v>
      </c>
      <c r="C5" s="36">
        <v>35431.199999999997</v>
      </c>
      <c r="D5" s="17">
        <f t="shared" si="0"/>
        <v>6306753.5999999996</v>
      </c>
      <c r="E5" s="18" t="s">
        <v>10</v>
      </c>
      <c r="F5" s="17">
        <f t="shared" si="1"/>
        <v>7694239.3919999991</v>
      </c>
      <c r="G5" s="17">
        <f t="shared" ref="G5:G11" si="4">Sales_Volume*IF(Total_Dealer_Cost/Sales_Volume&lt;15000,Fee_500,IF(Total_Dealer_Cost/Sales_Volume&lt;20000,Fee_750,IF(Total_Dealer_Cost/Sales_Volume&lt;25000,Fee_1000,IF(Total_Dealer_Cost/Sales_Volume&lt;30000,Fee_1300,IF(Total_Dealer_Cost/Sales_Volume&lt;35000,Fee_1600,IF(Total_Dealer_Cost/Sales_Volume&lt;40000,Fee_1900,Fee_2500))))))</f>
        <v>445000</v>
      </c>
      <c r="H5" s="20">
        <f t="shared" si="2"/>
        <v>8139239.3919999991</v>
      </c>
      <c r="I5" s="19">
        <f t="shared" si="3"/>
        <v>3.1001764162450446E-3</v>
      </c>
      <c r="K5" s="10" t="s">
        <v>13</v>
      </c>
      <c r="L5" s="11">
        <v>0.21</v>
      </c>
      <c r="N5" s="10" t="s">
        <v>14</v>
      </c>
      <c r="O5" s="33">
        <v>750</v>
      </c>
    </row>
    <row r="6" spans="1:20">
      <c r="A6" s="10" t="s">
        <v>15</v>
      </c>
      <c r="B6" s="16">
        <v>657</v>
      </c>
      <c r="C6" s="36">
        <v>32476.92</v>
      </c>
      <c r="D6" s="17">
        <f t="shared" si="0"/>
        <v>21337336.439999998</v>
      </c>
      <c r="E6" s="18" t="s">
        <v>10</v>
      </c>
      <c r="F6" s="17">
        <f t="shared" si="1"/>
        <v>26031550.456799999</v>
      </c>
      <c r="G6" s="17">
        <f t="shared" si="4"/>
        <v>1248300</v>
      </c>
      <c r="H6" s="20">
        <f t="shared" si="2"/>
        <v>27279850.456799999</v>
      </c>
      <c r="I6" s="19">
        <f t="shared" si="3"/>
        <v>1.0390694382080533E-2</v>
      </c>
      <c r="K6" s="10" t="s">
        <v>16</v>
      </c>
      <c r="L6" s="11">
        <v>0.2</v>
      </c>
      <c r="N6" s="10" t="s">
        <v>17</v>
      </c>
      <c r="O6" s="33">
        <v>1000</v>
      </c>
    </row>
    <row r="7" spans="1:20">
      <c r="A7" s="10" t="s">
        <v>18</v>
      </c>
      <c r="B7" s="16">
        <v>769</v>
      </c>
      <c r="C7" s="36">
        <v>31837.439999999999</v>
      </c>
      <c r="D7" s="17">
        <f t="shared" si="0"/>
        <v>24482991.359999999</v>
      </c>
      <c r="E7" s="21" t="s">
        <v>13</v>
      </c>
      <c r="F7" s="17">
        <f t="shared" si="1"/>
        <v>29624419.545599997</v>
      </c>
      <c r="G7" s="17">
        <f t="shared" si="4"/>
        <v>1461100</v>
      </c>
      <c r="H7" s="20">
        <f t="shared" si="2"/>
        <v>31085519.545599997</v>
      </c>
      <c r="I7" s="19">
        <f t="shared" si="3"/>
        <v>1.1840245745409018E-2</v>
      </c>
      <c r="K7" s="10" t="s">
        <v>19</v>
      </c>
      <c r="L7" s="11">
        <v>0.18</v>
      </c>
      <c r="N7" s="10" t="s">
        <v>20</v>
      </c>
      <c r="O7" s="33">
        <v>1300</v>
      </c>
    </row>
    <row r="8" spans="1:20">
      <c r="A8" s="10" t="s">
        <v>21</v>
      </c>
      <c r="B8" s="16">
        <v>1474</v>
      </c>
      <c r="C8" s="36">
        <v>31427.52</v>
      </c>
      <c r="D8" s="17">
        <f t="shared" si="0"/>
        <v>46324164.480000004</v>
      </c>
      <c r="E8" s="21" t="s">
        <v>13</v>
      </c>
      <c r="F8" s="17">
        <f t="shared" si="1"/>
        <v>56052239.020800002</v>
      </c>
      <c r="G8" s="17">
        <f t="shared" si="4"/>
        <v>2800600</v>
      </c>
      <c r="H8" s="20">
        <f t="shared" si="2"/>
        <v>58852839.020800002</v>
      </c>
      <c r="I8" s="19">
        <f t="shared" si="3"/>
        <v>2.2416613491020206E-2</v>
      </c>
      <c r="K8" s="10" t="s">
        <v>22</v>
      </c>
      <c r="L8" s="11">
        <v>0.12</v>
      </c>
      <c r="N8" s="10" t="s">
        <v>23</v>
      </c>
      <c r="O8" s="33">
        <v>1600</v>
      </c>
    </row>
    <row r="9" spans="1:20">
      <c r="A9" s="10" t="s">
        <v>24</v>
      </c>
      <c r="B9" s="16">
        <v>2703</v>
      </c>
      <c r="C9" s="36">
        <v>29167.59</v>
      </c>
      <c r="D9" s="17">
        <f t="shared" si="0"/>
        <v>78839995.769999996</v>
      </c>
      <c r="E9" s="21" t="s">
        <v>13</v>
      </c>
      <c r="F9" s="17">
        <f t="shared" si="1"/>
        <v>95396394.881699994</v>
      </c>
      <c r="G9" s="17">
        <f t="shared" si="4"/>
        <v>5135700</v>
      </c>
      <c r="H9" s="20">
        <f t="shared" si="2"/>
        <v>100532094.88169999</v>
      </c>
      <c r="I9" s="19">
        <f t="shared" si="3"/>
        <v>3.8291935476709407E-2</v>
      </c>
      <c r="K9" s="10" t="s">
        <v>25</v>
      </c>
      <c r="L9" s="11">
        <v>0.1</v>
      </c>
      <c r="N9" s="10" t="s">
        <v>26</v>
      </c>
      <c r="O9" s="33">
        <v>1900</v>
      </c>
    </row>
    <row r="10" spans="1:20">
      <c r="A10" s="10" t="s">
        <v>27</v>
      </c>
      <c r="B10" s="16">
        <v>2837</v>
      </c>
      <c r="C10" s="36">
        <v>29362.6</v>
      </c>
      <c r="D10" s="17">
        <f t="shared" si="0"/>
        <v>83301696.200000003</v>
      </c>
      <c r="E10" s="21" t="s">
        <v>13</v>
      </c>
      <c r="F10" s="17">
        <f t="shared" si="1"/>
        <v>100795052.40200001</v>
      </c>
      <c r="G10" s="17">
        <f t="shared" si="4"/>
        <v>5390300</v>
      </c>
      <c r="H10" s="20">
        <f t="shared" si="2"/>
        <v>106185352.40200001</v>
      </c>
      <c r="I10" s="19">
        <f t="shared" si="3"/>
        <v>4.0445219683661264E-2</v>
      </c>
      <c r="K10" s="12" t="s">
        <v>28</v>
      </c>
      <c r="L10" s="13">
        <v>7.0000000000000007E-2</v>
      </c>
      <c r="N10" s="12" t="s">
        <v>29</v>
      </c>
      <c r="O10" s="34">
        <v>2500</v>
      </c>
    </row>
    <row r="11" spans="1:20">
      <c r="A11" s="10" t="s">
        <v>30</v>
      </c>
      <c r="B11" s="16">
        <v>5533</v>
      </c>
      <c r="C11" s="36">
        <v>28247.82</v>
      </c>
      <c r="D11" s="17">
        <f t="shared" si="0"/>
        <v>156295188.06</v>
      </c>
      <c r="E11" s="21" t="s">
        <v>13</v>
      </c>
      <c r="F11" s="17">
        <f>Total_manu_cost+Total_manu_cost*IF(Car_Type="Luxury",Luxury_Markup,IF(Car_Type="Sporty",Sporty_Markup,IF(Car_Type="Wagon",Wagon_Markup,IF(Car_Type="Sedan",Sedan_Markup,IF(Car_Type="Compact",Compact_Markup,IF(Car_Type="Subcompact",Sub_Markup,Mini_Markup))))))</f>
        <v>189117177.5526</v>
      </c>
      <c r="G11" s="17">
        <f t="shared" si="4"/>
        <v>8852800</v>
      </c>
      <c r="H11" s="20">
        <f t="shared" si="2"/>
        <v>197969977.5526</v>
      </c>
      <c r="I11" s="19">
        <f t="shared" si="3"/>
        <v>7.5405308281800129E-2</v>
      </c>
    </row>
    <row r="12" spans="1:20">
      <c r="A12" s="10" t="s">
        <v>31</v>
      </c>
      <c r="B12" s="16"/>
      <c r="C12" s="36">
        <v>27978.45</v>
      </c>
      <c r="D12" s="17" t="str">
        <f t="shared" si="0"/>
        <v/>
      </c>
      <c r="E12" s="21" t="s">
        <v>16</v>
      </c>
      <c r="F12" s="17"/>
      <c r="G12" s="17"/>
      <c r="H12" s="20"/>
      <c r="I12" s="19">
        <f t="shared" si="3"/>
        <v>0</v>
      </c>
    </row>
    <row r="13" spans="1:20" ht="17.25" customHeight="1">
      <c r="A13" s="10" t="s">
        <v>32</v>
      </c>
      <c r="B13" s="16">
        <v>4499</v>
      </c>
      <c r="C13" s="36">
        <v>27998.080000000002</v>
      </c>
      <c r="D13" s="17">
        <f t="shared" si="0"/>
        <v>125963361.92</v>
      </c>
      <c r="E13" s="21" t="s">
        <v>16</v>
      </c>
      <c r="F13" s="17">
        <f>Total_manu_cost+Total_manu_cost*IF(Car_Type="Luxury",Luxury_Markup,IF(Car_Type="Sporty",Sporty_Markup,IF(Car_Type="Wagon",Wagon_Markup,IF(Car_Type="Sedan",Sedan_Markup,IF(Car_Type="Compact",Compact_Markup,IF(Car_Type="Subcompact",Sub_Markup,Mini_Markup))))))</f>
        <v>151156034.30400002</v>
      </c>
      <c r="G13" s="17">
        <f>Sales_Volume*IF(Total_Dealer_Cost/Sales_Volume&lt;15000,Fee_500,IF(Total_Dealer_Cost/Sales_Volume&lt;20000,Fee_750,IF(Total_Dealer_Cost/Sales_Volume&lt;25000,Fee_1000,IF(Total_Dealer_Cost/Sales_Volume&lt;30000,Fee_1300,IF(Total_Dealer_Cost/Sales_Volume&lt;35000,Fee_1600,IF(Total_Dealer_Cost/Sales_Volume&lt;40000,Fee_1900,Fee_2500))))))</f>
        <v>7198400</v>
      </c>
      <c r="H13" s="20">
        <f>Total_Dealer_Cost+Added_Fees</f>
        <v>158354434.30400002</v>
      </c>
      <c r="I13" s="19">
        <f t="shared" si="3"/>
        <v>6.0316039250499803E-2</v>
      </c>
    </row>
    <row r="14" spans="1:20">
      <c r="A14" s="10" t="s">
        <v>33</v>
      </c>
      <c r="B14" s="16">
        <v>4906</v>
      </c>
      <c r="C14" s="36">
        <v>26507.06</v>
      </c>
      <c r="D14" s="17">
        <f t="shared" si="0"/>
        <v>130043636.36</v>
      </c>
      <c r="E14" s="21" t="s">
        <v>16</v>
      </c>
      <c r="F14" s="17">
        <f>Total_manu_cost+Total_manu_cost*IF(Car_Type="Luxury",Luxury_Markup,IF(Car_Type="Sporty",Sporty_Markup,IF(Car_Type="Wagon",Wagon_Markup,IF(Car_Type="Sedan",Sedan_Markup,IF(Car_Type="Compact",Compact_Markup,IF(Car_Type="Subcompact",Sub_Markup,Mini_Markup))))))</f>
        <v>156052363.632</v>
      </c>
      <c r="G14" s="17">
        <f>Sales_Volume*IF(Total_Dealer_Cost/Sales_Volume&lt;15000,Fee_500,IF(Total_Dealer_Cost/Sales_Volume&lt;20000,Fee_750,IF(Total_Dealer_Cost/Sales_Volume&lt;25000,Fee_1000,IF(Total_Dealer_Cost/Sales_Volume&lt;30000,Fee_1300,IF(Total_Dealer_Cost/Sales_Volume&lt;35000,Fee_1600,IF(Total_Dealer_Cost/Sales_Volume&lt;40000,Fee_1900,Fee_2500))))))</f>
        <v>7849600</v>
      </c>
      <c r="H14" s="20">
        <f>Total_Dealer_Cost+Added_Fees</f>
        <v>163901963.632</v>
      </c>
      <c r="I14" s="19">
        <f t="shared" si="3"/>
        <v>6.2429052366688199E-2</v>
      </c>
    </row>
    <row r="15" spans="1:20">
      <c r="A15" s="10" t="s">
        <v>34</v>
      </c>
      <c r="B15" s="16"/>
      <c r="C15" s="36">
        <v>27334.6</v>
      </c>
      <c r="D15" s="17" t="str">
        <f t="shared" si="0"/>
        <v/>
      </c>
      <c r="E15" s="21" t="s">
        <v>16</v>
      </c>
      <c r="F15" s="17"/>
      <c r="G15" s="17"/>
      <c r="H15" s="20"/>
      <c r="I15" s="19">
        <f t="shared" si="3"/>
        <v>0</v>
      </c>
    </row>
    <row r="16" spans="1:20">
      <c r="A16" s="10" t="s">
        <v>35</v>
      </c>
      <c r="B16" s="16">
        <v>5317</v>
      </c>
      <c r="C16" s="36">
        <v>25198.81</v>
      </c>
      <c r="D16" s="17">
        <f t="shared" si="0"/>
        <v>133982072.77000001</v>
      </c>
      <c r="E16" s="21" t="s">
        <v>19</v>
      </c>
      <c r="F16" s="17">
        <f t="shared" ref="F16:F27" si="5">Total_manu_cost+Total_manu_cost*IF(Car_Type="Luxury",Luxury_Markup,IF(Car_Type="Sporty",Sporty_Markup,IF(Car_Type="Wagon",Wagon_Markup,IF(Car_Type="Sedan",Sedan_Markup,IF(Car_Type="Compact",Compact_Markup,IF(Car_Type="Subcompact",Sub_Markup,Mini_Markup))))))</f>
        <v>158098845.86860001</v>
      </c>
      <c r="G16" s="17">
        <f t="shared" ref="G16:G27" si="6">Sales_Volume*IF(Total_Dealer_Cost/Sales_Volume&lt;15000,Fee_500,IF(Total_Dealer_Cost/Sales_Volume&lt;20000,Fee_750,IF(Total_Dealer_Cost/Sales_Volume&lt;25000,Fee_1000,IF(Total_Dealer_Cost/Sales_Volume&lt;30000,Fee_1300,IF(Total_Dealer_Cost/Sales_Volume&lt;35000,Fee_1600,IF(Total_Dealer_Cost/Sales_Volume&lt;40000,Fee_1900,Fee_2500))))))</f>
        <v>6912100</v>
      </c>
      <c r="H16" s="20">
        <f t="shared" ref="H16:H27" si="7">Total_Dealer_Cost+Added_Fees</f>
        <v>165010945.86860001</v>
      </c>
      <c r="I16" s="19">
        <f t="shared" si="3"/>
        <v>6.2851455543491336E-2</v>
      </c>
    </row>
    <row r="17" spans="1:12">
      <c r="A17" s="10" t="s">
        <v>36</v>
      </c>
      <c r="B17" s="16">
        <v>5406</v>
      </c>
      <c r="C17" s="36">
        <v>24585.48</v>
      </c>
      <c r="D17" s="17">
        <f t="shared" si="0"/>
        <v>132909104.88</v>
      </c>
      <c r="E17" s="21" t="s">
        <v>19</v>
      </c>
      <c r="F17" s="17">
        <f t="shared" si="5"/>
        <v>156832743.75839999</v>
      </c>
      <c r="G17" s="17">
        <f t="shared" si="6"/>
        <v>7027800</v>
      </c>
      <c r="H17" s="20">
        <f t="shared" si="7"/>
        <v>163860543.75839999</v>
      </c>
      <c r="I17" s="19">
        <f t="shared" si="3"/>
        <v>6.2413275841497799E-2</v>
      </c>
    </row>
    <row r="18" spans="1:12">
      <c r="A18" s="10" t="s">
        <v>37</v>
      </c>
      <c r="B18" s="16">
        <v>5745</v>
      </c>
      <c r="C18" s="36">
        <v>23899.15</v>
      </c>
      <c r="D18" s="17">
        <f t="shared" si="0"/>
        <v>137300616.75</v>
      </c>
      <c r="E18" s="21" t="s">
        <v>19</v>
      </c>
      <c r="F18" s="17">
        <f t="shared" si="5"/>
        <v>162014727.76499999</v>
      </c>
      <c r="G18" s="17">
        <f t="shared" si="6"/>
        <v>7468500</v>
      </c>
      <c r="H18" s="20">
        <f t="shared" si="7"/>
        <v>169483227.76499999</v>
      </c>
      <c r="I18" s="19">
        <f t="shared" si="3"/>
        <v>6.4554914821964765E-2</v>
      </c>
    </row>
    <row r="19" spans="1:12">
      <c r="A19" s="10" t="s">
        <v>38</v>
      </c>
      <c r="B19" s="16">
        <v>5873</v>
      </c>
      <c r="C19" s="36">
        <v>18237.599999999999</v>
      </c>
      <c r="D19" s="17">
        <f t="shared" si="0"/>
        <v>107109424.8</v>
      </c>
      <c r="E19" s="21" t="s">
        <v>19</v>
      </c>
      <c r="F19" s="17">
        <f t="shared" si="5"/>
        <v>126389121.264</v>
      </c>
      <c r="G19" s="17">
        <f t="shared" si="6"/>
        <v>5873000</v>
      </c>
      <c r="H19" s="20">
        <f t="shared" si="7"/>
        <v>132262121.264</v>
      </c>
      <c r="I19" s="19">
        <f t="shared" si="3"/>
        <v>5.0377669135548024E-2</v>
      </c>
    </row>
    <row r="20" spans="1:12">
      <c r="A20" s="10" t="s">
        <v>39</v>
      </c>
      <c r="B20" s="16">
        <v>12031</v>
      </c>
      <c r="C20" s="36">
        <v>17184.68</v>
      </c>
      <c r="D20" s="17">
        <f t="shared" si="0"/>
        <v>206748885.08000001</v>
      </c>
      <c r="E20" s="21" t="s">
        <v>19</v>
      </c>
      <c r="F20" s="17">
        <f t="shared" si="5"/>
        <v>243963684.3944</v>
      </c>
      <c r="G20" s="17">
        <f t="shared" si="6"/>
        <v>12031000</v>
      </c>
      <c r="H20" s="20">
        <f t="shared" si="7"/>
        <v>255994684.3944</v>
      </c>
      <c r="I20" s="19">
        <f t="shared" si="3"/>
        <v>9.7506492317164697E-2</v>
      </c>
    </row>
    <row r="21" spans="1:12">
      <c r="A21" s="10" t="s">
        <v>40</v>
      </c>
      <c r="B21" s="16">
        <v>6399</v>
      </c>
      <c r="C21" s="36">
        <v>17371.7</v>
      </c>
      <c r="D21" s="17">
        <f t="shared" si="0"/>
        <v>111161508.30000001</v>
      </c>
      <c r="E21" s="21" t="s">
        <v>22</v>
      </c>
      <c r="F21" s="17">
        <f t="shared" si="5"/>
        <v>124500889.29600002</v>
      </c>
      <c r="G21" s="17">
        <f t="shared" si="6"/>
        <v>4799250</v>
      </c>
      <c r="H21" s="20">
        <f t="shared" si="7"/>
        <v>129300139.29600002</v>
      </c>
      <c r="I21" s="19">
        <f t="shared" si="3"/>
        <v>4.924947199079243E-2</v>
      </c>
      <c r="L21" s="32"/>
    </row>
    <row r="22" spans="1:12">
      <c r="A22" s="10" t="s">
        <v>41</v>
      </c>
      <c r="B22" s="16">
        <v>6463</v>
      </c>
      <c r="C22" s="36">
        <v>16774.66</v>
      </c>
      <c r="D22" s="17">
        <f t="shared" si="0"/>
        <v>108414627.58</v>
      </c>
      <c r="E22" s="21" t="s">
        <v>22</v>
      </c>
      <c r="F22" s="17">
        <f t="shared" si="5"/>
        <v>121424382.88959999</v>
      </c>
      <c r="G22" s="17">
        <f t="shared" si="6"/>
        <v>4847250</v>
      </c>
      <c r="H22" s="20">
        <f t="shared" si="7"/>
        <v>126271632.88959999</v>
      </c>
      <c r="I22" s="19">
        <f t="shared" si="3"/>
        <v>4.8095936176770708E-2</v>
      </c>
    </row>
    <row r="23" spans="1:12">
      <c r="A23" s="10" t="s">
        <v>42</v>
      </c>
      <c r="B23" s="16">
        <v>9332</v>
      </c>
      <c r="C23" s="36">
        <v>16195.41</v>
      </c>
      <c r="D23" s="17">
        <f t="shared" si="0"/>
        <v>151135566.12</v>
      </c>
      <c r="E23" s="21" t="s">
        <v>22</v>
      </c>
      <c r="F23" s="17">
        <f t="shared" si="5"/>
        <v>169271834.0544</v>
      </c>
      <c r="G23" s="17">
        <f t="shared" si="6"/>
        <v>6999000</v>
      </c>
      <c r="H23" s="20">
        <f t="shared" si="7"/>
        <v>176270834.0544</v>
      </c>
      <c r="I23" s="19">
        <f t="shared" si="3"/>
        <v>6.7140264131365507E-2</v>
      </c>
    </row>
    <row r="24" spans="1:12">
      <c r="A24" s="10" t="s">
        <v>43</v>
      </c>
      <c r="B24" s="16">
        <v>7198</v>
      </c>
      <c r="C24" s="36">
        <v>14523.84</v>
      </c>
      <c r="D24" s="17">
        <f t="shared" si="0"/>
        <v>104542600.32000001</v>
      </c>
      <c r="E24" s="21" t="s">
        <v>25</v>
      </c>
      <c r="F24" s="17">
        <f t="shared" si="5"/>
        <v>114996860.35200001</v>
      </c>
      <c r="G24" s="17">
        <f t="shared" si="6"/>
        <v>5398500</v>
      </c>
      <c r="H24" s="20">
        <f t="shared" si="7"/>
        <v>120395360.35200001</v>
      </c>
      <c r="I24" s="19">
        <f t="shared" si="3"/>
        <v>4.5857707190116045E-2</v>
      </c>
    </row>
    <row r="25" spans="1:12">
      <c r="A25" s="10" t="s">
        <v>44</v>
      </c>
      <c r="B25" s="16">
        <v>7427</v>
      </c>
      <c r="C25" s="36">
        <v>13713.52</v>
      </c>
      <c r="D25" s="17">
        <f t="shared" si="0"/>
        <v>101850313.04000001</v>
      </c>
      <c r="E25" s="21" t="s">
        <v>25</v>
      </c>
      <c r="F25" s="17">
        <f t="shared" si="5"/>
        <v>112035344.34400001</v>
      </c>
      <c r="G25" s="17">
        <f t="shared" si="6"/>
        <v>5570250</v>
      </c>
      <c r="H25" s="20">
        <f t="shared" si="7"/>
        <v>117605594.34400001</v>
      </c>
      <c r="I25" s="19">
        <f t="shared" si="3"/>
        <v>4.4795105837790117E-2</v>
      </c>
    </row>
    <row r="26" spans="1:12">
      <c r="A26" s="10" t="s">
        <v>45</v>
      </c>
      <c r="B26" s="16">
        <v>7452</v>
      </c>
      <c r="C26" s="36">
        <v>12926.7</v>
      </c>
      <c r="D26" s="17">
        <f t="shared" si="0"/>
        <v>96329768.400000006</v>
      </c>
      <c r="E26" s="21" t="s">
        <v>28</v>
      </c>
      <c r="F26" s="17">
        <f t="shared" si="5"/>
        <v>103072852.18800001</v>
      </c>
      <c r="G26" s="17">
        <f t="shared" si="6"/>
        <v>3726000</v>
      </c>
      <c r="H26" s="20">
        <f t="shared" si="7"/>
        <v>106798852.18800001</v>
      </c>
      <c r="I26" s="19">
        <f t="shared" si="3"/>
        <v>4.0678897239551565E-2</v>
      </c>
    </row>
    <row r="27" spans="1:12">
      <c r="A27" s="12" t="s">
        <v>46</v>
      </c>
      <c r="B27" s="22">
        <v>7700</v>
      </c>
      <c r="C27" s="37">
        <v>12381.3</v>
      </c>
      <c r="D27" s="17">
        <f t="shared" si="0"/>
        <v>95336010</v>
      </c>
      <c r="E27" s="24" t="s">
        <v>28</v>
      </c>
      <c r="F27" s="25">
        <f t="shared" si="5"/>
        <v>102009530.7</v>
      </c>
      <c r="G27" s="25">
        <f t="shared" si="6"/>
        <v>3850000</v>
      </c>
      <c r="H27" s="23">
        <f t="shared" si="7"/>
        <v>105859530.7</v>
      </c>
      <c r="I27" s="26">
        <f t="shared" si="3"/>
        <v>4.0321116593950691E-2</v>
      </c>
    </row>
    <row r="28" spans="1:12">
      <c r="A28" s="10"/>
      <c r="B28" s="10"/>
      <c r="C28" s="17"/>
      <c r="D28" s="10"/>
      <c r="E28" s="18"/>
      <c r="F28" s="18"/>
      <c r="G28" s="10"/>
      <c r="H28" s="10"/>
      <c r="I28" s="10"/>
    </row>
    <row r="29" spans="1:12">
      <c r="A29" s="10" t="s">
        <v>47</v>
      </c>
      <c r="B29" s="27">
        <f>SUM(Sales_Volume)</f>
        <v>109986</v>
      </c>
      <c r="C29" s="28"/>
      <c r="D29" s="20">
        <f>SUM(Total_manu_cost)</f>
        <v>2162813530.4099998</v>
      </c>
      <c r="E29" s="21"/>
      <c r="F29" s="20">
        <f>SUM(Total_Dealer_Cost)</f>
        <v>2510309736.0415001</v>
      </c>
      <c r="G29" s="20">
        <f>SUM(Added_Fees)</f>
        <v>115101950</v>
      </c>
      <c r="H29" s="20">
        <f>SUM(total_sales)</f>
        <v>2625411686.0415006</v>
      </c>
      <c r="I29" s="10"/>
    </row>
    <row r="30" spans="1:12">
      <c r="A30" s="10" t="s">
        <v>48</v>
      </c>
      <c r="B30" s="20">
        <f>AVERAGE(Sales_Volume)</f>
        <v>4999.363636363636</v>
      </c>
      <c r="C30" s="20">
        <f>AVERAGE(Wholesale_Cost)</f>
        <v>24015.427916666664</v>
      </c>
      <c r="D30" s="20">
        <f>AVERAGE(Total_manu_cost)</f>
        <v>98309705.927727267</v>
      </c>
      <c r="E30" s="21"/>
      <c r="F30" s="29">
        <f>AVERAGE(Total_Dealer_Cost)</f>
        <v>114104988.00188637</v>
      </c>
      <c r="G30" s="20">
        <f>AVERAGE(Added_Fees)</f>
        <v>5231906.8181818184</v>
      </c>
      <c r="H30" s="20">
        <f>AVERAGE(total_sales)</f>
        <v>119336894.82006821</v>
      </c>
      <c r="I30" s="10"/>
    </row>
    <row r="31" spans="1:12">
      <c r="A31" s="10" t="s">
        <v>49</v>
      </c>
      <c r="B31" s="20">
        <f>MAX(Sales_Volume)</f>
        <v>12031</v>
      </c>
      <c r="C31" s="10"/>
      <c r="D31" s="10"/>
      <c r="E31" s="21"/>
      <c r="F31" s="21"/>
      <c r="G31" s="10"/>
      <c r="H31" s="10"/>
      <c r="I31" s="10"/>
    </row>
    <row r="32" spans="1:12">
      <c r="A32" s="10" t="s">
        <v>50</v>
      </c>
      <c r="B32" s="10">
        <f>MIN(Sales_Volume)</f>
        <v>87</v>
      </c>
      <c r="C32" s="10"/>
      <c r="D32" s="10"/>
      <c r="E32" s="21"/>
      <c r="F32" s="21"/>
      <c r="G32" s="10"/>
      <c r="H32" s="10"/>
      <c r="I32" s="10"/>
    </row>
    <row r="33" spans="1:9">
      <c r="A33" s="30"/>
      <c r="B33" s="30"/>
      <c r="C33" s="30"/>
      <c r="D33" s="30"/>
      <c r="E33" s="31"/>
      <c r="F33" s="31"/>
      <c r="G33" s="30"/>
      <c r="H33" s="30"/>
      <c r="I33" s="30"/>
    </row>
    <row r="34" spans="1:9">
      <c r="A34" s="30" t="s">
        <v>51</v>
      </c>
      <c r="B34" s="30"/>
      <c r="C34" s="30"/>
      <c r="D34" s="30">
        <f>COUNTA(Model)</f>
        <v>24</v>
      </c>
      <c r="E34" s="30"/>
      <c r="F34" s="30"/>
      <c r="G34" s="30"/>
      <c r="H34" s="30"/>
      <c r="I34" s="30"/>
    </row>
    <row r="35" spans="1:9">
      <c r="A35" s="30"/>
      <c r="B35" s="30"/>
      <c r="C35" s="30"/>
      <c r="D35" s="30"/>
      <c r="E35" s="31"/>
      <c r="F35" s="31"/>
      <c r="G35" s="30"/>
      <c r="H35" s="30"/>
      <c r="I35" s="30"/>
    </row>
    <row r="36" spans="1:9">
      <c r="A36" s="30"/>
      <c r="B36" s="30"/>
      <c r="C36" s="30"/>
      <c r="D36" s="30"/>
      <c r="E36" s="31"/>
      <c r="F36" s="31"/>
      <c r="G36" s="30"/>
      <c r="H36" s="30"/>
      <c r="I36" s="30"/>
    </row>
  </sheetData>
  <pageMargins left="0.75" right="0.75" top="1" bottom="1" header="0.5" footer="0.5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Credit Reward Offer</vt:lpstr>
      <vt:lpstr>Auto Sales Promotion Program</vt:lpstr>
      <vt:lpstr>Data Viz</vt:lpstr>
      <vt:lpstr>Problem_2 (2)</vt:lpstr>
      <vt:lpstr>'Problem_2 (2)'!Added_Fees</vt:lpstr>
      <vt:lpstr>'Problem_2 (2)'!Car_Type</vt:lpstr>
      <vt:lpstr>'Problem_2 (2)'!Compact_Markup</vt:lpstr>
      <vt:lpstr>'Problem_2 (2)'!Fee_1000</vt:lpstr>
      <vt:lpstr>'Problem_2 (2)'!Fee_1300</vt:lpstr>
      <vt:lpstr>'Problem_2 (2)'!Fee_1600</vt:lpstr>
      <vt:lpstr>'Problem_2 (2)'!Fee_1900</vt:lpstr>
      <vt:lpstr>'Problem_2 (2)'!Fee_2500</vt:lpstr>
      <vt:lpstr>'Problem_2 (2)'!Fee_500</vt:lpstr>
      <vt:lpstr>'Problem_2 (2)'!Fee_750</vt:lpstr>
      <vt:lpstr>'Problem_2 (2)'!Luxury_Markup</vt:lpstr>
      <vt:lpstr>'Problem_2 (2)'!Mini_Markup</vt:lpstr>
      <vt:lpstr>'Problem_2 (2)'!Model</vt:lpstr>
      <vt:lpstr>'Problem_2 (2)'!Sales_Volume</vt:lpstr>
      <vt:lpstr>'Problem_2 (2)'!Sedan_Markup</vt:lpstr>
      <vt:lpstr>'Problem_2 (2)'!Sporty_Markup</vt:lpstr>
      <vt:lpstr>'Problem_2 (2)'!Sub_Markup</vt:lpstr>
      <vt:lpstr>'Problem_2 (2)'!Total_Dealer_Cost</vt:lpstr>
      <vt:lpstr>'Problem_2 (2)'!Total_manu_cost</vt:lpstr>
      <vt:lpstr>'Problem_2 (2)'!total_sales</vt:lpstr>
      <vt:lpstr>'Problem_2 (2)'!Wagon_Markup</vt:lpstr>
      <vt:lpstr>'Problem_2 (2)'!Wholesale_Cost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Durango-Cohen</dc:creator>
  <cp:lastModifiedBy>涂孜意</cp:lastModifiedBy>
  <dcterms:created xsi:type="dcterms:W3CDTF">2011-01-24T21:52:38Z</dcterms:created>
  <dcterms:modified xsi:type="dcterms:W3CDTF">2024-06-05T22:15:48Z</dcterms:modified>
</cp:coreProperties>
</file>