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codeName="ThisWorkbook" hidePivotFieldList="1" defaultThemeVersion="166925"/>
  <xr:revisionPtr revIDLastSave="0" documentId="13_ncr:1_{579220EE-D374-457A-AADD-ACD01C2D0AA3}" xr6:coauthVersionLast="47" xr6:coauthVersionMax="47" xr10:uidLastSave="{00000000-0000-0000-0000-000000000000}"/>
  <bookViews>
    <workbookView xWindow="3050" yWindow="1630" windowWidth="28800" windowHeight="15370" activeTab="2" xr2:uid="{FE2DAA68-A329-4F5C-ADE0-AE6CFE7CBBC4}"/>
  </bookViews>
  <sheets>
    <sheet name="金额差" sheetId="6" r:id="rId1"/>
    <sheet name="玩法表" sheetId="3" r:id="rId2"/>
    <sheet name="任务表" sheetId="1" r:id="rId3"/>
    <sheet name="宝箱表" sheetId="4" r:id="rId4"/>
    <sheet name="碎片合成表" sheetId="5" r:id="rId5"/>
    <sheet name="物品表" sheetId="2" r:id="rId6"/>
    <sheet name="贷款计算器" sheetId="7" r:id="rId7"/>
  </sheets>
  <definedNames>
    <definedName name="_xlcn.WorksheetConnection_人升.xlsx碎片表" hidden="1">碎片表[]</definedName>
    <definedName name="_xlcn.WorksheetConnection_人升.xlsx物品表" hidden="1">物品表[]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物品表" name="物品表" connection="WorksheetConnection_人升.xlsx!物品表"/>
          <x15:modelTable id="碎片表" name="碎片表" connection="WorksheetConnection_人升.xlsx!碎片表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O6" i="1" s="1"/>
  <c r="K6" i="1"/>
  <c r="H6" i="1"/>
  <c r="L5" i="1"/>
  <c r="O5" i="1" s="1"/>
  <c r="K5" i="1"/>
  <c r="H5" i="1"/>
  <c r="L4" i="1"/>
  <c r="O4" i="1" s="1"/>
  <c r="K4" i="1"/>
  <c r="H4" i="1"/>
  <c r="L3" i="1"/>
  <c r="O3" i="1" s="1"/>
  <c r="K3" i="1"/>
  <c r="H3" i="1"/>
  <c r="K13" i="1"/>
  <c r="H13" i="1"/>
  <c r="L10" i="1"/>
  <c r="O10" i="1" s="1"/>
  <c r="K10" i="1"/>
  <c r="H10" i="1"/>
  <c r="L12" i="1"/>
  <c r="O12" i="1" s="1"/>
  <c r="K12" i="1"/>
  <c r="H12" i="1"/>
  <c r="L9" i="1"/>
  <c r="O9" i="1" s="1"/>
  <c r="K9" i="1"/>
  <c r="H9" i="1"/>
  <c r="L8" i="1"/>
  <c r="O8" i="1" s="1"/>
  <c r="K8" i="1"/>
  <c r="H8" i="1"/>
  <c r="K7" i="1"/>
  <c r="H7" i="1"/>
  <c r="E2" i="6"/>
  <c r="C2" i="7"/>
  <c r="D2" i="7" s="1"/>
  <c r="H3" i="5"/>
  <c r="G3" i="5" s="1"/>
  <c r="A13" i="1"/>
  <c r="L11" i="1"/>
  <c r="O11" i="1" s="1"/>
  <c r="K11" i="1"/>
  <c r="H11" i="1"/>
  <c r="A12" i="1"/>
  <c r="A11" i="1"/>
  <c r="A5" i="1"/>
  <c r="D2" i="6"/>
  <c r="E5" i="3"/>
  <c r="E6" i="3"/>
  <c r="E7" i="3"/>
  <c r="E8" i="3"/>
  <c r="E9" i="3"/>
  <c r="E10" i="3"/>
  <c r="E11" i="3"/>
  <c r="E12" i="3"/>
  <c r="E13" i="3"/>
  <c r="L8" i="4"/>
  <c r="J8" i="4" s="1"/>
  <c r="L6" i="4"/>
  <c r="J6" i="4" s="1"/>
  <c r="L7" i="4"/>
  <c r="J7" i="4" s="1"/>
  <c r="L9" i="4"/>
  <c r="J9" i="4" s="1"/>
  <c r="L10" i="4"/>
  <c r="J10" i="4" s="1"/>
  <c r="K2" i="1"/>
  <c r="H2" i="1"/>
  <c r="J2" i="5"/>
  <c r="F12" i="3" s="1"/>
  <c r="H2" i="5"/>
  <c r="F2" i="5" s="1"/>
  <c r="A8" i="2"/>
  <c r="O2" i="4"/>
  <c r="F5" i="3" s="1"/>
  <c r="L2" i="1"/>
  <c r="O2" i="1" s="1"/>
  <c r="I2" i="4"/>
  <c r="L13" i="1" s="1"/>
  <c r="O13" i="1" s="1"/>
  <c r="I3" i="4"/>
  <c r="I4" i="4"/>
  <c r="I5" i="4"/>
  <c r="A4" i="2"/>
  <c r="A5" i="2"/>
  <c r="A6" i="2"/>
  <c r="A7" i="2"/>
  <c r="D5" i="3"/>
  <c r="D6" i="3"/>
  <c r="D7" i="3"/>
  <c r="D8" i="3"/>
  <c r="D9" i="3"/>
  <c r="D10" i="3"/>
  <c r="D11" i="3"/>
  <c r="D12" i="3"/>
  <c r="D13" i="3"/>
  <c r="G13" i="3" s="1"/>
  <c r="C14" i="3"/>
  <c r="A3" i="2"/>
  <c r="A2" i="2"/>
  <c r="A7" i="1"/>
  <c r="A8" i="1"/>
  <c r="A6" i="1"/>
  <c r="A9" i="1"/>
  <c r="A10" i="1"/>
  <c r="A2" i="1"/>
  <c r="A4" i="1"/>
  <c r="A3" i="1"/>
  <c r="F11" i="3"/>
  <c r="F9" i="3"/>
  <c r="F10" i="3"/>
  <c r="F6" i="3"/>
  <c r="F8" i="3"/>
  <c r="F7" i="3"/>
  <c r="L7" i="1" l="1"/>
  <c r="O7" i="1" s="1"/>
  <c r="B3" i="7"/>
  <c r="C3" i="7" s="1"/>
  <c r="B4" i="7" s="1"/>
  <c r="L2" i="4"/>
  <c r="J2" i="4" s="1"/>
  <c r="L5" i="4"/>
  <c r="J5" i="4" s="1"/>
  <c r="L4" i="4"/>
  <c r="J4" i="4" s="1"/>
  <c r="L3" i="4"/>
  <c r="J3" i="4" s="1"/>
  <c r="G12" i="3"/>
  <c r="M2" i="4"/>
  <c r="G5" i="3"/>
  <c r="D14" i="3"/>
  <c r="M5" i="4"/>
  <c r="M4" i="4"/>
  <c r="M3" i="4"/>
  <c r="G9" i="3"/>
  <c r="G8" i="3"/>
  <c r="G7" i="3"/>
  <c r="G10" i="3"/>
  <c r="G11" i="3"/>
  <c r="G6" i="3"/>
  <c r="G2" i="5"/>
  <c r="I6" i="4"/>
  <c r="C7" i="2"/>
  <c r="I8" i="4" s="1"/>
  <c r="C4" i="7" l="1"/>
  <c r="B5" i="7" s="1"/>
  <c r="D3" i="7"/>
  <c r="E4" i="5" a="1"/>
  <c r="E4" i="5" s="1"/>
  <c r="I10" i="4"/>
  <c r="M10" i="4" s="1"/>
  <c r="H4" i="5"/>
  <c r="I7" i="4"/>
  <c r="M6" i="4" s="1"/>
  <c r="I9" i="4"/>
  <c r="M9" i="4" s="1"/>
  <c r="D4" i="7" l="1"/>
  <c r="C5" i="7"/>
  <c r="M8" i="4"/>
  <c r="C6" i="2"/>
  <c r="F4" i="5"/>
  <c r="G4" i="5"/>
  <c r="M7" i="4"/>
  <c r="C4" i="2"/>
  <c r="C5" i="2"/>
  <c r="D5" i="7" l="1"/>
  <c r="B6" i="7"/>
  <c r="F3" i="5"/>
  <c r="F14" i="3"/>
  <c r="C6" i="7" l="1"/>
  <c r="D6" i="7" s="1"/>
  <c r="E14" i="3"/>
  <c r="G14" i="3"/>
  <c r="B7" i="7" l="1"/>
  <c r="C7" i="7" s="1"/>
  <c r="D7" i="7" s="1"/>
  <c r="B8" i="7" l="1"/>
  <c r="C8" i="7" s="1"/>
  <c r="D8" i="7" s="1"/>
  <c r="B9" i="7" l="1"/>
  <c r="C9" i="7" s="1"/>
  <c r="D9" i="7" s="1"/>
  <c r="B10" i="7" l="1"/>
  <c r="C10" i="7" s="1"/>
  <c r="D10" i="7" s="1"/>
  <c r="B11" i="7" l="1"/>
  <c r="C11" i="7" l="1"/>
  <c r="D11" i="7" s="1"/>
  <c r="B12" i="7" l="1"/>
  <c r="C12" i="7" s="1"/>
  <c r="B13" i="7" l="1"/>
  <c r="C13" i="7" s="1"/>
  <c r="B14" i="7" s="1"/>
  <c r="D12" i="7"/>
  <c r="C14" i="7" l="1"/>
  <c r="B15" i="7" s="1"/>
  <c r="D13" i="7"/>
  <c r="D14" i="7" l="1"/>
  <c r="C15" i="7"/>
  <c r="D15" i="7" l="1"/>
  <c r="B16" i="7"/>
  <c r="C16" i="7" l="1"/>
  <c r="D16" i="7" s="1"/>
  <c r="B17" i="7" l="1"/>
  <c r="C17" i="7" l="1"/>
  <c r="D17" i="7" s="1"/>
  <c r="B18" i="7" l="1"/>
  <c r="C18" i="7" s="1"/>
  <c r="B19" i="7" s="1"/>
  <c r="C19" i="7" l="1"/>
  <c r="B20" i="7" s="1"/>
  <c r="D18" i="7"/>
  <c r="D19" i="7" l="1"/>
  <c r="C20" i="7"/>
  <c r="B21" i="7" s="1"/>
  <c r="D20" i="7" l="1"/>
  <c r="C21" i="7"/>
  <c r="B22" i="7" s="1"/>
  <c r="D21" i="7" l="1"/>
  <c r="C22" i="7"/>
  <c r="D22" i="7" l="1"/>
  <c r="B23" i="7"/>
  <c r="C23" i="7" s="1"/>
  <c r="D23" i="7" l="1"/>
  <c r="B24" i="7"/>
  <c r="C24" i="7" s="1"/>
  <c r="B25" i="7" s="1"/>
  <c r="C25" i="7" s="1"/>
  <c r="B26" i="7" l="1"/>
  <c r="C26" i="7" s="1"/>
  <c r="B27" i="7" s="1"/>
  <c r="C27" i="7" s="1"/>
  <c r="B28" i="7" s="1"/>
  <c r="C28" i="7" s="1"/>
  <c r="D24" i="7"/>
  <c r="D25" i="7" s="1"/>
  <c r="B29" i="7" l="1"/>
  <c r="C29" i="7" s="1"/>
  <c r="B30" i="7" s="1"/>
  <c r="C30" i="7" s="1"/>
  <c r="B31" i="7" s="1"/>
  <c r="D26" i="7"/>
  <c r="D27" i="7" s="1"/>
  <c r="D28" i="7" s="1"/>
  <c r="C31" i="7" l="1"/>
  <c r="B32" i="7" s="1"/>
  <c r="D29" i="7"/>
  <c r="D30" i="7" s="1"/>
  <c r="C32" i="7" l="1"/>
  <c r="D31" i="7"/>
  <c r="D32" i="7" l="1"/>
  <c r="B33" i="7"/>
  <c r="C33" i="7" l="1"/>
  <c r="D33" i="7" s="1"/>
  <c r="B34" i="7" l="1"/>
  <c r="C34" i="7" l="1"/>
  <c r="D34" i="7" s="1"/>
  <c r="B35" i="7" l="1"/>
  <c r="C35" i="7" l="1"/>
  <c r="D35" i="7" s="1"/>
  <c r="B36" i="7" l="1"/>
  <c r="C36" i="7" s="1"/>
  <c r="D36" i="7" l="1"/>
  <c r="B37" i="7"/>
  <c r="C37" i="7" s="1"/>
  <c r="B38" i="7" s="1"/>
  <c r="C38" i="7" s="1"/>
  <c r="B39" i="7" l="1"/>
  <c r="C39" i="7" s="1"/>
  <c r="B40" i="7" s="1"/>
  <c r="C40" i="7" s="1"/>
  <c r="B41" i="7" s="1"/>
  <c r="C41" i="7" s="1"/>
  <c r="D37" i="7"/>
  <c r="D38" i="7" s="1"/>
  <c r="D39" i="7" l="1"/>
  <c r="D40" i="7" s="1"/>
  <c r="D41" i="7" s="1"/>
  <c r="B42" i="7"/>
  <c r="C42" i="7" s="1"/>
  <c r="B43" i="7" l="1"/>
  <c r="C43" i="7" s="1"/>
  <c r="B44" i="7" s="1"/>
  <c r="D42" i="7"/>
  <c r="D43" i="7" l="1"/>
  <c r="C44" i="7"/>
  <c r="D44" i="7" s="1"/>
  <c r="B45" i="7" l="1"/>
  <c r="C45" i="7" s="1"/>
  <c r="D45" i="7" s="1"/>
  <c r="B46" i="7" l="1"/>
  <c r="C46" i="7" s="1"/>
  <c r="D46" i="7" l="1"/>
  <c r="B47" i="7"/>
  <c r="C47" i="7" s="1"/>
  <c r="D47" i="7" s="1"/>
  <c r="B48" i="7" l="1"/>
  <c r="C48" i="7" s="1"/>
  <c r="D48" i="7" s="1"/>
  <c r="B49" i="7" l="1"/>
  <c r="C49" i="7" s="1"/>
  <c r="D49" i="7" s="1"/>
  <c r="B50" i="7" l="1"/>
  <c r="C50" i="7" s="1"/>
  <c r="D50" i="7" s="1"/>
  <c r="B51" i="7" l="1"/>
  <c r="C51" i="7" s="1"/>
  <c r="D51" i="7" s="1"/>
  <c r="B52" i="7" l="1"/>
  <c r="C52" i="7" l="1"/>
  <c r="D52" i="7" s="1"/>
  <c r="B53" i="7" l="1"/>
  <c r="C53" i="7" s="1"/>
  <c r="B54" i="7" s="1"/>
  <c r="C54" i="7" l="1"/>
  <c r="B55" i="7" s="1"/>
  <c r="C55" i="7" s="1"/>
  <c r="B56" i="7" s="1"/>
  <c r="D53" i="7"/>
  <c r="D54" i="7" l="1"/>
  <c r="D55" i="7" s="1"/>
  <c r="C56" i="7"/>
  <c r="B57" i="7" s="1"/>
  <c r="C57" i="7" s="1"/>
  <c r="B58" i="7" s="1"/>
  <c r="C58" i="7" s="1"/>
  <c r="B59" i="7" s="1"/>
  <c r="D56" i="7" l="1"/>
  <c r="D57" i="7" s="1"/>
  <c r="D58" i="7"/>
  <c r="C59" i="7"/>
  <c r="D59" i="7" l="1"/>
  <c r="B60" i="7"/>
  <c r="C60" i="7" l="1"/>
  <c r="D60" i="7" s="1"/>
  <c r="B61" i="7" l="1"/>
  <c r="C61" i="7"/>
  <c r="D61" i="7" s="1"/>
  <c r="B62" i="7" l="1"/>
  <c r="C62" i="7"/>
  <c r="D62" i="7" s="1"/>
  <c r="B63" i="7" l="1"/>
  <c r="C63" i="7" l="1"/>
  <c r="D63" i="7" s="1"/>
  <c r="B64" i="7" l="1"/>
  <c r="C64" i="7" s="1"/>
  <c r="D64" i="7" s="1"/>
  <c r="B65" i="7" l="1"/>
  <c r="C65" i="7" s="1"/>
  <c r="D65" i="7" s="1"/>
  <c r="B66" i="7" l="1"/>
  <c r="C66" i="7"/>
  <c r="D66" i="7" s="1"/>
  <c r="B67" i="7" l="1"/>
  <c r="C67" i="7" s="1"/>
  <c r="D67" i="7" s="1"/>
  <c r="B68" i="7" l="1"/>
  <c r="C68" i="7" s="1"/>
  <c r="B69" i="7" s="1"/>
  <c r="D68" i="7" l="1"/>
  <c r="C69" i="7"/>
  <c r="D69" i="7" s="1"/>
  <c r="B70" i="7" l="1"/>
  <c r="C70" i="7" s="1"/>
  <c r="D70" i="7" s="1"/>
  <c r="B71" i="7" l="1"/>
  <c r="C71" i="7" l="1"/>
  <c r="D71" i="7" s="1"/>
  <c r="B72" i="7" l="1"/>
  <c r="C72" i="7"/>
  <c r="D72" i="7" s="1"/>
  <c r="B73" i="7" l="1"/>
  <c r="C73" i="7" s="1"/>
  <c r="D73" i="7" l="1"/>
  <c r="B74" i="7"/>
  <c r="C74" i="7" s="1"/>
  <c r="D74" i="7" s="1"/>
  <c r="B75" i="7" l="1"/>
  <c r="C75" i="7" s="1"/>
  <c r="D75" i="7" s="1"/>
  <c r="B76" i="7" l="1"/>
  <c r="C76" i="7" s="1"/>
  <c r="D76" i="7" s="1"/>
  <c r="B77" i="7" l="1"/>
  <c r="C77" i="7" s="1"/>
  <c r="D77" i="7" s="1"/>
  <c r="B78" i="7" l="1"/>
  <c r="C78" i="7" s="1"/>
  <c r="D78" i="7" l="1"/>
  <c r="B79" i="7"/>
  <c r="C79" i="7"/>
  <c r="B80" i="7" s="1"/>
  <c r="D79" i="7" l="1"/>
  <c r="C80" i="7"/>
  <c r="B81" i="7" s="1"/>
  <c r="D80" i="7" l="1"/>
  <c r="C81" i="7"/>
  <c r="D81" i="7" s="1"/>
  <c r="B82" i="7"/>
  <c r="C82" i="7" l="1"/>
  <c r="D82" i="7" s="1"/>
  <c r="B83" i="7"/>
  <c r="C83" i="7" l="1"/>
  <c r="B84" i="7" s="1"/>
  <c r="D83" i="7" l="1"/>
  <c r="C84" i="7"/>
  <c r="B85" i="7"/>
  <c r="D84" i="7" l="1"/>
  <c r="C85" i="7"/>
  <c r="D85" i="7" s="1"/>
  <c r="B86" i="7"/>
  <c r="C86" i="7" l="1"/>
  <c r="D86" i="7" s="1"/>
  <c r="B87" i="7" l="1"/>
  <c r="C87" i="7" s="1"/>
  <c r="B88" i="7" s="1"/>
  <c r="C88" i="7" l="1"/>
  <c r="B89" i="7" s="1"/>
  <c r="C89" i="7" s="1"/>
  <c r="B90" i="7" s="1"/>
  <c r="C90" i="7" s="1"/>
  <c r="D87" i="7"/>
  <c r="D88" i="7" l="1"/>
  <c r="D89" i="7" s="1"/>
  <c r="D90" i="7" s="1"/>
  <c r="B91" i="7"/>
  <c r="C91" i="7" s="1"/>
  <c r="B92" i="7" s="1"/>
  <c r="C92" i="7" s="1"/>
  <c r="B93" i="7" s="1"/>
  <c r="C93" i="7" l="1"/>
  <c r="B94" i="7" s="1"/>
  <c r="C94" i="7" s="1"/>
  <c r="B95" i="7" s="1"/>
  <c r="D91" i="7"/>
  <c r="D92" i="7" s="1"/>
  <c r="D93" i="7" s="1"/>
  <c r="D94" i="7" l="1"/>
  <c r="C95" i="7"/>
  <c r="B96" i="7" s="1"/>
  <c r="D95" i="7" l="1"/>
  <c r="C96" i="7"/>
  <c r="D96" i="7" s="1"/>
  <c r="B97" i="7" l="1"/>
  <c r="C97" i="7" l="1"/>
  <c r="D97" i="7" s="1"/>
  <c r="B98" i="7" l="1"/>
  <c r="C98" i="7" s="1"/>
  <c r="D98" i="7" l="1"/>
  <c r="B99" i="7"/>
  <c r="C99" i="7"/>
  <c r="D99" i="7" s="1"/>
  <c r="B100" i="7" l="1"/>
  <c r="C100" i="7"/>
  <c r="D100" i="7" s="1"/>
  <c r="B101" i="7" l="1"/>
  <c r="C101" i="7" s="1"/>
  <c r="D101" i="7" s="1"/>
  <c r="B102" i="7" l="1"/>
  <c r="C102" i="7" s="1"/>
  <c r="D102" i="7" s="1"/>
  <c r="B103" i="7" l="1"/>
  <c r="C103" i="7" s="1"/>
  <c r="B104" i="7" s="1"/>
  <c r="C104" i="7" s="1"/>
  <c r="B105" i="7" s="1"/>
  <c r="D103" i="7"/>
  <c r="D104" i="7" l="1"/>
  <c r="C105" i="7"/>
  <c r="D105" i="7" s="1"/>
  <c r="B106" i="7"/>
  <c r="C106" i="7" l="1"/>
  <c r="D106" i="7" s="1"/>
  <c r="B107" i="7"/>
  <c r="C107" i="7" l="1"/>
  <c r="D107" i="7" s="1"/>
  <c r="B108" i="7"/>
  <c r="C108" i="7" l="1"/>
  <c r="D108" i="7" s="1"/>
  <c r="B109" i="7" l="1"/>
  <c r="C109" i="7"/>
  <c r="D109" i="7" s="1"/>
  <c r="B110" i="7" l="1"/>
  <c r="C110" i="7" s="1"/>
  <c r="D110" i="7" s="1"/>
  <c r="B111" i="7" l="1"/>
  <c r="C111" i="7"/>
  <c r="D111" i="7" s="1"/>
  <c r="B112" i="7"/>
  <c r="C112" i="7" l="1"/>
  <c r="B113" i="7" s="1"/>
  <c r="D112" i="7" l="1"/>
  <c r="C113" i="7"/>
  <c r="D113" i="7" s="1"/>
  <c r="B114" i="7" l="1"/>
  <c r="C114" i="7" l="1"/>
  <c r="D114" i="7" s="1"/>
  <c r="B115" i="7" l="1"/>
  <c r="C115" i="7"/>
  <c r="D115" i="7" s="1"/>
  <c r="B116" i="7" l="1"/>
  <c r="C116" i="7"/>
  <c r="D116" i="7" s="1"/>
  <c r="B117" i="7"/>
  <c r="C117" i="7" l="1"/>
  <c r="D117" i="7" s="1"/>
  <c r="B118" i="7"/>
  <c r="C118" i="7" l="1"/>
  <c r="D118" i="7" s="1"/>
  <c r="B119" i="7" l="1"/>
  <c r="C119" i="7" l="1"/>
  <c r="D119" i="7" s="1"/>
  <c r="B120" i="7"/>
  <c r="C120" i="7" l="1"/>
  <c r="D120" i="7" s="1"/>
  <c r="B121" i="7"/>
  <c r="C121" i="7" l="1"/>
  <c r="D121" i="7" s="1"/>
  <c r="B122" i="7" l="1"/>
  <c r="C122" i="7" s="1"/>
  <c r="D122" i="7" s="1"/>
  <c r="B123" i="7" l="1"/>
  <c r="C123" i="7" s="1"/>
  <c r="D123" i="7" s="1"/>
  <c r="B124" i="7" l="1"/>
  <c r="C124" i="7" s="1"/>
  <c r="D124" i="7" s="1"/>
  <c r="B125" i="7" l="1"/>
  <c r="C125" i="7" l="1"/>
  <c r="D125" i="7" s="1"/>
  <c r="B126" i="7"/>
  <c r="C126" i="7" l="1"/>
  <c r="D126" i="7" s="1"/>
  <c r="B127" i="7" l="1"/>
  <c r="C127" i="7"/>
  <c r="D127" i="7" s="1"/>
  <c r="B128" i="7" l="1"/>
  <c r="C128" i="7" s="1"/>
  <c r="D128" i="7" l="1"/>
  <c r="B129" i="7"/>
  <c r="C129" i="7" s="1"/>
  <c r="B130" i="7" l="1"/>
  <c r="D129" i="7"/>
  <c r="C130" i="7"/>
  <c r="D130" i="7" s="1"/>
  <c r="B131" i="7"/>
  <c r="C131" i="7" l="1"/>
  <c r="D131" i="7" s="1"/>
  <c r="B132" i="7" l="1"/>
  <c r="C132" i="7" l="1"/>
  <c r="D132" i="7" s="1"/>
  <c r="B133" i="7" l="1"/>
  <c r="C133" i="7" s="1"/>
  <c r="B134" i="7" s="1"/>
  <c r="C134" i="7" l="1"/>
  <c r="B135" i="7"/>
  <c r="D133" i="7"/>
  <c r="D134" i="7" s="1"/>
  <c r="C135" i="7" l="1"/>
  <c r="B136" i="7"/>
  <c r="D135" i="7"/>
  <c r="C136" i="7" l="1"/>
  <c r="D136" i="7" s="1"/>
  <c r="B137" i="7"/>
  <c r="C137" i="7" l="1"/>
  <c r="D137" i="7" s="1"/>
  <c r="B138" i="7"/>
  <c r="C138" i="7" l="1"/>
  <c r="D138" i="7" s="1"/>
  <c r="B139" i="7"/>
  <c r="C139" i="7" l="1"/>
  <c r="D139" i="7" s="1"/>
  <c r="B140" i="7"/>
  <c r="C140" i="7" l="1"/>
  <c r="D140" i="7" s="1"/>
  <c r="B141" i="7"/>
  <c r="C141" i="7" l="1"/>
  <c r="D141" i="7" s="1"/>
  <c r="B142" i="7"/>
  <c r="C142" i="7" l="1"/>
  <c r="D142" i="7" s="1"/>
  <c r="B143" i="7"/>
  <c r="C143" i="7" s="1"/>
  <c r="B144" i="7" s="1"/>
  <c r="C144" i="7" l="1"/>
  <c r="B145" i="7"/>
  <c r="D143" i="7"/>
  <c r="D144" i="7" s="1"/>
  <c r="C145" i="7" l="1"/>
  <c r="D145" i="7" s="1"/>
  <c r="B146" i="7"/>
  <c r="C146" i="7" l="1"/>
  <c r="D146" i="7" s="1"/>
  <c r="B147" i="7"/>
  <c r="C147" i="7" l="1"/>
  <c r="D147" i="7" s="1"/>
  <c r="B148" i="7"/>
  <c r="C148" i="7" s="1"/>
  <c r="B149" i="7" s="1"/>
  <c r="C149" i="7" s="1"/>
  <c r="B150" i="7" s="1"/>
  <c r="C150" i="7" l="1"/>
  <c r="B151" i="7" s="1"/>
  <c r="D148" i="7"/>
  <c r="D149" i="7" s="1"/>
  <c r="D150" i="7" s="1"/>
  <c r="C151" i="7" l="1"/>
  <c r="D151" i="7" s="1"/>
  <c r="B152" i="7" l="1"/>
  <c r="C152" i="7"/>
  <c r="D152" i="7" s="1"/>
  <c r="B153" i="7" l="1"/>
  <c r="C153" i="7" s="1"/>
  <c r="B154" i="7" s="1"/>
  <c r="C154" i="7" s="1"/>
  <c r="B155" i="7" s="1"/>
  <c r="D153" i="7"/>
  <c r="D154" i="7" l="1"/>
  <c r="C155" i="7"/>
  <c r="D155" i="7" s="1"/>
  <c r="B156" i="7"/>
  <c r="C156" i="7" s="1"/>
  <c r="B157" i="7" s="1"/>
  <c r="C157" i="7" l="1"/>
  <c r="B158" i="7"/>
  <c r="D156" i="7"/>
  <c r="D157" i="7" s="1"/>
  <c r="C158" i="7" l="1"/>
  <c r="D158" i="7" s="1"/>
  <c r="B159" i="7"/>
  <c r="C159" i="7" l="1"/>
  <c r="D159" i="7" s="1"/>
  <c r="B160" i="7"/>
  <c r="C160" i="7" l="1"/>
  <c r="D160" i="7" s="1"/>
  <c r="B161" i="7" l="1"/>
  <c r="C161" i="7" s="1"/>
  <c r="B162" i="7" s="1"/>
  <c r="C162" i="7" s="1"/>
  <c r="B163" i="7" s="1"/>
  <c r="D161" i="7" l="1"/>
  <c r="D162" i="7" s="1"/>
  <c r="C163" i="7"/>
  <c r="B164" i="7" s="1"/>
  <c r="D163" i="7" l="1"/>
  <c r="C164" i="7"/>
  <c r="B165" i="7"/>
  <c r="D164" i="7" l="1"/>
  <c r="C165" i="7"/>
  <c r="D165" i="7" s="1"/>
  <c r="B166" i="7" l="1"/>
  <c r="C166" i="7" s="1"/>
  <c r="D166" i="7" l="1"/>
  <c r="B167" i="7"/>
  <c r="C167" i="7" s="1"/>
  <c r="D167" i="7" l="1"/>
  <c r="B168" i="7"/>
  <c r="C168" i="7" s="1"/>
  <c r="D168" i="7" s="1"/>
  <c r="B169" i="7" l="1"/>
  <c r="C169" i="7"/>
  <c r="D169" i="7" s="1"/>
  <c r="B170" i="7"/>
  <c r="C170" i="7" l="1"/>
  <c r="B171" i="7"/>
  <c r="D170" i="7"/>
  <c r="C171" i="7" l="1"/>
  <c r="D171" i="7" s="1"/>
  <c r="B172" i="7" l="1"/>
  <c r="C172" i="7" s="1"/>
  <c r="D172" i="7" s="1"/>
  <c r="B173" i="7" l="1"/>
  <c r="C173" i="7" s="1"/>
  <c r="D173" i="7" l="1"/>
  <c r="B174" i="7"/>
  <c r="C174" i="7" s="1"/>
  <c r="B175" i="7" l="1"/>
  <c r="D174" i="7"/>
  <c r="C175" i="7"/>
  <c r="D175" i="7" s="1"/>
  <c r="B176" i="7" l="1"/>
  <c r="C176" i="7" s="1"/>
  <c r="D176" i="7" l="1"/>
  <c r="B177" i="7"/>
  <c r="C177" i="7" s="1"/>
  <c r="D177" i="7" l="1"/>
  <c r="B178" i="7"/>
  <c r="C178" i="7"/>
  <c r="D178" i="7" s="1"/>
  <c r="B179" i="7"/>
  <c r="C179" i="7" l="1"/>
  <c r="D179" i="7" s="1"/>
  <c r="B180" i="7"/>
  <c r="C180" i="7" l="1"/>
  <c r="B181" i="7" s="1"/>
  <c r="D180" i="7" l="1"/>
  <c r="C181" i="7"/>
  <c r="D181" i="7" s="1"/>
  <c r="B182" i="7"/>
  <c r="C182" i="7" l="1"/>
  <c r="D182" i="7" s="1"/>
  <c r="B183" i="7" l="1"/>
  <c r="C183" i="7" l="1"/>
  <c r="D183" i="7" s="1"/>
  <c r="B184" i="7" l="1"/>
  <c r="C184" i="7"/>
  <c r="D184" i="7" s="1"/>
  <c r="B185" i="7" l="1"/>
  <c r="C185" i="7" s="1"/>
  <c r="B186" i="7" s="1"/>
  <c r="D185" i="7" l="1"/>
  <c r="C186" i="7"/>
  <c r="D186" i="7" s="1"/>
  <c r="B187" i="7"/>
  <c r="C187" i="7" l="1"/>
  <c r="D187" i="7" s="1"/>
  <c r="B188" i="7" l="1"/>
  <c r="C188" i="7"/>
  <c r="D188" i="7" s="1"/>
  <c r="B189" i="7"/>
  <c r="C189" i="7" l="1"/>
  <c r="D189" i="7" s="1"/>
  <c r="B190" i="7"/>
  <c r="C190" i="7" s="1"/>
  <c r="B191" i="7" s="1"/>
  <c r="C191" i="7" l="1"/>
  <c r="B192" i="7" s="1"/>
  <c r="D190" i="7"/>
  <c r="D191" i="7" s="1"/>
  <c r="C192" i="7" l="1"/>
  <c r="D192" i="7" s="1"/>
  <c r="B193" i="7" l="1"/>
  <c r="C193" i="7"/>
  <c r="D193" i="7" s="1"/>
  <c r="B194" i="7"/>
  <c r="C194" i="7" l="1"/>
  <c r="D194" i="7" s="1"/>
  <c r="B195" i="7"/>
  <c r="C195" i="7" l="1"/>
  <c r="D195" i="7" s="1"/>
  <c r="B196" i="7" l="1"/>
  <c r="C196" i="7" l="1"/>
  <c r="D196" i="7" s="1"/>
  <c r="B197" i="7"/>
  <c r="C197" i="7" l="1"/>
  <c r="D197" i="7" s="1"/>
  <c r="B198" i="7"/>
  <c r="C198" i="7" l="1"/>
  <c r="D198" i="7" s="1"/>
  <c r="B199" i="7" l="1"/>
  <c r="C199" i="7" l="1"/>
  <c r="D199" i="7" s="1"/>
  <c r="B200" i="7"/>
  <c r="C200" i="7" s="1"/>
  <c r="D200" i="7" s="1"/>
  <c r="E8" i="2" l="1"/>
  <c r="E7" i="2"/>
  <c r="E6" i="2"/>
  <c r="T2" i="1"/>
  <c r="C1" i="3" s="1"/>
  <c r="C3" i="3" s="1"/>
  <c r="E4" i="2"/>
  <c r="E3" i="2"/>
  <c r="E5" i="2"/>
  <c r="R2" i="1"/>
  <c r="U5" i="1"/>
  <c r="S2" i="1"/>
  <c r="E2" i="5" a="1"/>
  <c r="E2" i="5" s="1"/>
  <c r="E3" i="5" a="1"/>
  <c r="E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05CAB-8A8C-4B85-B2D2-FEDEFD7C6DCF}" keepAlive="1" name="ThisWorkbookDataModel" description="数据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817E448-87D0-4273-B073-1762563A79EB}" name="WorksheetConnection_人升.xlsx!碎片表" type="102" refreshedVersion="8" minRefreshableVersion="5">
    <extLst>
      <ext xmlns:x15="http://schemas.microsoft.com/office/spreadsheetml/2010/11/main" uri="{DE250136-89BD-433C-8126-D09CA5730AF9}">
        <x15:connection id="碎片表">
          <x15:rangePr sourceName="_xlcn.WorksheetConnection_人升.xlsx碎片表"/>
        </x15:connection>
      </ext>
    </extLst>
  </connection>
  <connection id="3" xr16:uid="{6A97863E-8C10-4F0B-8F1F-EC018227FB76}" name="WorksheetConnection_人升.xlsx!物品表" type="102" refreshedVersion="8" minRefreshableVersion="5">
    <extLst>
      <ext xmlns:x15="http://schemas.microsoft.com/office/spreadsheetml/2010/11/main" uri="{DE250136-89BD-433C-8126-D09CA5730AF9}">
        <x15:connection id="物品表">
          <x15:rangePr sourceName="_xlcn.WorksheetConnection_人升.xlsx物品表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<sst xmlns="http://schemas.openxmlformats.org/spreadsheetml/2006/main" count="227" uniqueCount="148">
  <si>
    <t>期望/天</t>
  </si>
  <si>
    <t>奖励波动 %</t>
  </si>
  <si>
    <t>每日上限</t>
  </si>
  <si>
    <t>序号</t>
    <phoneticPr fontId="2" type="noConversion"/>
  </si>
  <si>
    <t>每周上限</t>
    <phoneticPr fontId="2" type="noConversion"/>
  </si>
  <si>
    <t>每月上限</t>
    <phoneticPr fontId="2" type="noConversion"/>
  </si>
  <si>
    <t>总计</t>
  </si>
  <si>
    <t>任务名</t>
    <phoneticPr fontId="2" type="noConversion"/>
  </si>
  <si>
    <t>类型</t>
    <phoneticPr fontId="2" type="noConversion"/>
  </si>
  <si>
    <t>任务系列</t>
  </si>
  <si>
    <t>任务系列</t>
    <phoneticPr fontId="2" type="noConversion"/>
  </si>
  <si>
    <t>系列期望/天</t>
  </si>
  <si>
    <t>游戏</t>
    <phoneticPr fontId="2" type="noConversion"/>
  </si>
  <si>
    <t>汇率(鱼鱼币：人民币)</t>
    <phoneticPr fontId="2" type="noConversion"/>
  </si>
  <si>
    <t>减肥计划</t>
  </si>
  <si>
    <t>减肥计划</t>
    <phoneticPr fontId="2" type="noConversion"/>
  </si>
  <si>
    <t>管住嘴</t>
    <phoneticPr fontId="2" type="noConversion"/>
  </si>
  <si>
    <t>喝水</t>
    <phoneticPr fontId="2" type="noConversion"/>
  </si>
  <si>
    <t>迈开腿</t>
    <phoneticPr fontId="2" type="noConversion"/>
  </si>
  <si>
    <t>游戏人生</t>
  </si>
  <si>
    <t>每月支出RMB</t>
    <phoneticPr fontId="2" type="noConversion"/>
  </si>
  <si>
    <t>物品名称</t>
    <phoneticPr fontId="2" type="noConversion"/>
  </si>
  <si>
    <t>价格</t>
    <phoneticPr fontId="2" type="noConversion"/>
  </si>
  <si>
    <t>最快获得天数</t>
    <phoneticPr fontId="2" type="noConversion"/>
  </si>
  <si>
    <t>玩法</t>
    <phoneticPr fontId="2" type="noConversion"/>
  </si>
  <si>
    <t>比例</t>
    <phoneticPr fontId="2" type="noConversion"/>
  </si>
  <si>
    <t>活动</t>
    <phoneticPr fontId="2" type="noConversion"/>
  </si>
  <si>
    <t>TODO列表</t>
    <phoneticPr fontId="2" type="noConversion"/>
  </si>
  <si>
    <t>礼包（日、周、月）</t>
    <phoneticPr fontId="2" type="noConversion"/>
  </si>
  <si>
    <t>游戏相关周期任务</t>
    <phoneticPr fontId="2" type="noConversion"/>
  </si>
  <si>
    <t>运动相关周期任务</t>
    <phoneticPr fontId="2" type="noConversion"/>
  </si>
  <si>
    <t>控制饮食相关周期任务</t>
    <phoneticPr fontId="2" type="noConversion"/>
  </si>
  <si>
    <t>道具合成</t>
    <phoneticPr fontId="2" type="noConversion"/>
  </si>
  <si>
    <t>动态添加-不定期</t>
    <phoneticPr fontId="2" type="noConversion"/>
  </si>
  <si>
    <t>专用金币、碎片合成</t>
    <phoneticPr fontId="2" type="noConversion"/>
  </si>
  <si>
    <t>汇总</t>
  </si>
  <si>
    <t>金币池月收入</t>
    <phoneticPr fontId="2" type="noConversion"/>
  </si>
  <si>
    <t>人民币池月收入</t>
    <phoneticPr fontId="2" type="noConversion"/>
  </si>
  <si>
    <t>差值</t>
    <phoneticPr fontId="2" type="noConversion"/>
  </si>
  <si>
    <t>对应人民币</t>
    <phoneticPr fontId="2" type="noConversion"/>
  </si>
  <si>
    <t>对应金币</t>
    <phoneticPr fontId="2" type="noConversion"/>
  </si>
  <si>
    <t>实际金币</t>
    <phoneticPr fontId="2" type="noConversion"/>
  </si>
  <si>
    <t>游戏</t>
  </si>
  <si>
    <t>运动</t>
  </si>
  <si>
    <t>运动</t>
    <phoneticPr fontId="2" type="noConversion"/>
  </si>
  <si>
    <t>饮食</t>
  </si>
  <si>
    <t>饮食</t>
    <phoneticPr fontId="2" type="noConversion"/>
  </si>
  <si>
    <t>健康</t>
  </si>
  <si>
    <t>个人卫生</t>
  </si>
  <si>
    <t>个人卫生</t>
    <phoneticPr fontId="2" type="noConversion"/>
  </si>
  <si>
    <t>星穹铁道</t>
  </si>
  <si>
    <t>星穹铁道</t>
    <phoneticPr fontId="2" type="noConversion"/>
  </si>
  <si>
    <t>卫生健康相关周期任务</t>
    <phoneticPr fontId="2" type="noConversion"/>
  </si>
  <si>
    <t>生活习惯相关周期任务</t>
    <phoneticPr fontId="2" type="noConversion"/>
  </si>
  <si>
    <t>卫生健康</t>
  </si>
  <si>
    <t>生活习惯</t>
  </si>
  <si>
    <t>生活习惯</t>
    <phoneticPr fontId="2" type="noConversion"/>
  </si>
  <si>
    <t>任务类型</t>
  </si>
  <si>
    <t>名称</t>
    <phoneticPr fontId="2" type="noConversion"/>
  </si>
  <si>
    <t>类别</t>
    <phoneticPr fontId="2" type="noConversion"/>
  </si>
  <si>
    <t>宝箱</t>
    <phoneticPr fontId="2" type="noConversion"/>
  </si>
  <si>
    <t>礼包</t>
    <phoneticPr fontId="2" type="noConversion"/>
  </si>
  <si>
    <t>物品</t>
    <phoneticPr fontId="2" type="noConversion"/>
  </si>
  <si>
    <t>概率</t>
    <phoneticPr fontId="2" type="noConversion"/>
  </si>
  <si>
    <t>价值</t>
    <phoneticPr fontId="2" type="noConversion"/>
  </si>
  <si>
    <t>合成物品</t>
    <phoneticPr fontId="2" type="noConversion"/>
  </si>
  <si>
    <t>礼包</t>
    <phoneticPr fontId="2" type="noConversion"/>
  </si>
  <si>
    <t>碎片</t>
    <phoneticPr fontId="2" type="noConversion"/>
  </si>
  <si>
    <t>总价值</t>
    <phoneticPr fontId="2" type="noConversion"/>
  </si>
  <si>
    <t>金币</t>
    <phoneticPr fontId="2" type="noConversion"/>
  </si>
  <si>
    <t>金币宝箱</t>
  </si>
  <si>
    <t>金币宝箱</t>
    <phoneticPr fontId="2" type="noConversion"/>
  </si>
  <si>
    <t>宝箱价值</t>
  </si>
  <si>
    <t>宝箱名称</t>
  </si>
  <si>
    <t>每日礼包</t>
  </si>
  <si>
    <t>每日礼包</t>
    <phoneticPr fontId="2" type="noConversion"/>
  </si>
  <si>
    <t>每周礼包</t>
  </si>
  <si>
    <t>每周礼包</t>
    <phoneticPr fontId="2" type="noConversion"/>
  </si>
  <si>
    <t>每月礼包</t>
  </si>
  <si>
    <t>每月礼包</t>
    <phoneticPr fontId="2" type="noConversion"/>
  </si>
  <si>
    <t>月卡碎片</t>
  </si>
  <si>
    <t>月卡碎片</t>
    <phoneticPr fontId="2" type="noConversion"/>
  </si>
  <si>
    <t>金币</t>
    <phoneticPr fontId="2" type="noConversion"/>
  </si>
  <si>
    <t>碎片</t>
    <phoneticPr fontId="2" type="noConversion"/>
  </si>
  <si>
    <t>星穹铁道月卡</t>
    <phoneticPr fontId="2" type="noConversion"/>
  </si>
  <si>
    <t/>
  </si>
  <si>
    <t>碎片数量</t>
    <phoneticPr fontId="2" type="noConversion"/>
  </si>
  <si>
    <t>物品数量</t>
    <phoneticPr fontId="2" type="noConversion"/>
  </si>
  <si>
    <t>碎片数量</t>
    <phoneticPr fontId="2" type="noConversion"/>
  </si>
  <si>
    <t>礼包数量</t>
    <phoneticPr fontId="2" type="noConversion"/>
  </si>
  <si>
    <t>每月个数</t>
    <phoneticPr fontId="2" type="noConversion"/>
  </si>
  <si>
    <t>每日礼包</t>
    <phoneticPr fontId="2" type="noConversion"/>
  </si>
  <si>
    <t>月个数</t>
  </si>
  <si>
    <t>每日获取量</t>
    <phoneticPr fontId="2" type="noConversion"/>
  </si>
  <si>
    <t>每周礼包</t>
    <phoneticPr fontId="2" type="noConversion"/>
  </si>
  <si>
    <t>每月礼包</t>
    <phoneticPr fontId="2" type="noConversion"/>
  </si>
  <si>
    <t>实际价值</t>
    <phoneticPr fontId="2" type="noConversion"/>
  </si>
  <si>
    <t>金币宝箱</t>
    <phoneticPr fontId="2" type="noConversion"/>
  </si>
  <si>
    <t>可购买个数</t>
    <phoneticPr fontId="2" type="noConversion"/>
  </si>
  <si>
    <t>任务获得个数</t>
    <phoneticPr fontId="2" type="noConversion"/>
  </si>
  <si>
    <t>总计月收入</t>
    <phoneticPr fontId="2" type="noConversion"/>
  </si>
  <si>
    <t>标准todo</t>
    <phoneticPr fontId="2" type="noConversion"/>
  </si>
  <si>
    <t>重要todo</t>
    <phoneticPr fontId="2" type="noConversion"/>
  </si>
  <si>
    <t>TODO</t>
  </si>
  <si>
    <t>TODO</t>
    <phoneticPr fontId="2" type="noConversion"/>
  </si>
  <si>
    <t>todolist</t>
  </si>
  <si>
    <t>todolist</t>
    <phoneticPr fontId="2" type="noConversion"/>
  </si>
  <si>
    <t>每月可获得价值(非任务)</t>
    <phoneticPr fontId="2" type="noConversion"/>
  </si>
  <si>
    <t>月可获得价值(非任务)</t>
  </si>
  <si>
    <t>星穹铁道大月卡</t>
    <phoneticPr fontId="2" type="noConversion"/>
  </si>
  <si>
    <t>星穹铁道大月卡</t>
    <phoneticPr fontId="2" type="noConversion"/>
  </si>
  <si>
    <t>所需数量</t>
    <phoneticPr fontId="2" type="noConversion"/>
  </si>
  <si>
    <t>日获取量</t>
  </si>
  <si>
    <t>碎片玩法月收益</t>
    <phoneticPr fontId="2" type="noConversion"/>
  </si>
  <si>
    <t>实际价值</t>
    <phoneticPr fontId="2" type="noConversion"/>
  </si>
  <si>
    <t>折扣率</t>
    <phoneticPr fontId="2" type="noConversion"/>
  </si>
  <si>
    <t>检查位</t>
  </si>
  <si>
    <t>检查位</t>
    <phoneticPr fontId="2" type="noConversion"/>
  </si>
  <si>
    <t>平均折扣率</t>
  </si>
  <si>
    <t>折扣金额</t>
    <phoneticPr fontId="2" type="noConversion"/>
  </si>
  <si>
    <t>平均折扣金额</t>
  </si>
  <si>
    <t>任务</t>
    <phoneticPr fontId="2" type="noConversion"/>
  </si>
  <si>
    <t>扫地</t>
    <phoneticPr fontId="2" type="noConversion"/>
  </si>
  <si>
    <t>√</t>
  </si>
  <si>
    <t>√</t>
    <phoneticPr fontId="2" type="noConversion"/>
  </si>
  <si>
    <t>周期/天</t>
    <phoneticPr fontId="2" type="noConversion"/>
  </si>
  <si>
    <t>礼包期望/天</t>
    <phoneticPr fontId="2" type="noConversion"/>
  </si>
  <si>
    <t>碎片期望/天</t>
    <phoneticPr fontId="2" type="noConversion"/>
  </si>
  <si>
    <t>谢谢参与</t>
  </si>
  <si>
    <t>谢谢参与</t>
    <phoneticPr fontId="2" type="noConversion"/>
  </si>
  <si>
    <t>领取每日礼包</t>
  </si>
  <si>
    <t>12点前睡觉</t>
    <phoneticPr fontId="2" type="noConversion"/>
  </si>
  <si>
    <t>领取每月礼包</t>
    <phoneticPr fontId="2" type="noConversion"/>
  </si>
  <si>
    <t>领取每周礼包</t>
    <phoneticPr fontId="2" type="noConversion"/>
  </si>
  <si>
    <t>差率（&lt;20%）</t>
    <phoneticPr fontId="2" type="noConversion"/>
  </si>
  <si>
    <t>日常打卡</t>
  </si>
  <si>
    <t>9点前早起</t>
    <phoneticPr fontId="2" type="noConversion"/>
  </si>
  <si>
    <t>完成概率</t>
    <phoneticPr fontId="2" type="noConversion"/>
  </si>
  <si>
    <t>日期</t>
    <phoneticPr fontId="2" type="noConversion"/>
  </si>
  <si>
    <t>金币池</t>
    <phoneticPr fontId="2" type="noConversion"/>
  </si>
  <si>
    <t>人民币池</t>
    <phoneticPr fontId="2" type="noConversion"/>
  </si>
  <si>
    <t>模拟宇宙+周本</t>
    <phoneticPr fontId="2" type="noConversion"/>
  </si>
  <si>
    <t>日利率</t>
    <phoneticPr fontId="2" type="noConversion"/>
  </si>
  <si>
    <t>每日还</t>
    <phoneticPr fontId="2" type="noConversion"/>
  </si>
  <si>
    <t>金额</t>
    <phoneticPr fontId="2" type="noConversion"/>
  </si>
  <si>
    <t>利息</t>
    <phoneticPr fontId="2" type="noConversion"/>
  </si>
  <si>
    <t>天数</t>
    <phoneticPr fontId="2" type="noConversion"/>
  </si>
  <si>
    <t>总额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</si>
</sst>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¥&quot;#,##0;&quot;¥&quot;\-#,##0"/>
    <numFmt numFmtId="7" formatCode="&quot;¥&quot;#,##0.00;&quot;¥&quot;\-#,##0.00"/>
    <numFmt numFmtId="176" formatCode="0_ "/>
    <numFmt numFmtId="177" formatCode="0.00_ "/>
    <numFmt numFmtId="178" formatCode="\$#,##0;\-\$#,##0"/>
    <numFmt numFmtId="179" formatCode="#,##0_ "/>
    <numFmt numFmtId="180" formatCode="yyyy&quot;年&quot;m&quot;月&quot;d&quot;日&quot;;@"/>
  </numFmts>
  <fonts count="9" x14ac:knownFonts="1">
    <font>
      <sz val="11"/>
      <color theme="1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华文楷体"/>
      <family val="3"/>
      <charset val="134"/>
    </font>
    <font>
      <sz val="10"/>
      <color theme="1"/>
      <name val="华文楷体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仿宋"/>
      <family val="3"/>
    </font>
    <font>
      <sz val="9"/>
      <color theme="1"/>
      <name val="华文楷体"/>
      <family val="3"/>
      <charset val="134"/>
    </font>
    <font>
      <sz val="10"/>
      <color theme="1"/>
      <name val="华文楷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8" fontId="0" fillId="0" borderId="0" xfId="0" applyNumberFormat="1">
      <alignment vertical="center"/>
    </xf>
    <xf numFmtId="5" fontId="0" fillId="0" borderId="0" xfId="0" applyNumberFormat="1">
      <alignment vertical="center"/>
    </xf>
    <xf numFmtId="178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7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79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180" fontId="0" fillId="0" borderId="0" xfId="0" applyNumberFormat="1">
      <alignment vertical="center"/>
    </xf>
    <xf numFmtId="0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64">
    <dxf>
      <font>
        <b val="0"/>
        <strike val="0"/>
        <outline val="0"/>
        <shadow val="0"/>
        <u val="none"/>
        <vertAlign val="baseline"/>
        <sz val="9"/>
        <color theme="1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华文楷体"/>
        <charset val="134"/>
        <scheme val="none"/>
      </font>
      <numFmt numFmtId="179" formatCode="#,##0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华文楷体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华文楷体"/>
        <family val="3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华文楷体"/>
        <charset val="134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华文楷体"/>
        <family val="3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77" formatCode="0.00_ "/>
      <alignment horizontal="right" vertical="center" textRotation="0" wrapText="0" indent="0" justifyLastLine="0" shrinkToFit="0" readingOrder="0"/>
    </dxf>
    <dxf>
      <numFmt numFmtId="177" formatCode="0.00_ 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177" formatCode="0.00_ 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177" formatCode="0.00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alignment horizontal="center"/>
    </dxf>
    <dxf>
      <alignment horizontal="center"/>
    </dxf>
    <dxf>
      <font>
        <strike val="0"/>
        <outline val="0"/>
        <shadow val="0"/>
        <u val="none"/>
        <vertAlign val="baseline"/>
        <sz val="10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华文楷体"/>
        <charset val="134"/>
        <scheme val="none"/>
      </font>
      <numFmt numFmtId="177" formatCode="0.00_ 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family val="3"/>
        <charset val="134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华文楷体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family val="3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family val="3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华文楷体"/>
        <charset val="134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华文楷体"/>
        <charset val="134"/>
        <scheme val="none"/>
      </font>
      <alignment horizontal="center" vertical="center" textRotation="0" wrapText="0" indent="0" justifyLastLine="0" shrinkToFit="0" readingOrder="0"/>
    </dxf>
    <dxf>
      <numFmt numFmtId="178" formatCode="\$#,##0;\-\$#,##0"/>
    </dxf>
    <dxf>
      <numFmt numFmtId="178" formatCode="\$#,##0;\-\$#,##0"/>
    </dxf>
    <dxf>
      <font>
        <b/>
      </font>
    </dxf>
    <dxf>
      <font>
        <sz val="10"/>
      </font>
    </dxf>
    <dxf>
      <font>
        <name val="仿宋"/>
        <family val="3"/>
        <scheme val="none"/>
      </font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1" formatCode="&quot;¥&quot;#,##0.00;&quot;¥&quot;\-#,##0.00"/>
    </dxf>
    <dxf>
      <numFmt numFmtId="11" formatCode="&quot;¥&quot;#,##0.00;&quot;¥&quot;\-#,##0.00"/>
    </dxf>
    <dxf>
      <numFmt numFmtId="14" formatCode="0.00%"/>
    </dxf>
    <dxf>
      <numFmt numFmtId="14" formatCode="0.00%"/>
    </dxf>
    <dxf>
      <numFmt numFmtId="14" formatCode="0.00%"/>
    </dxf>
    <dxf>
      <numFmt numFmtId="180" formatCode="yyyy&quot;年&quot;m&quot;月&quot;d&quot;日&quot;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openxmlformats.org/officeDocument/2006/relationships/pivotCacheDefinition" Target="pivotCache/pivotCacheDefinition3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8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5240.670888310182" createdVersion="8" refreshedVersion="8" minRefreshableVersion="3" recordCount="3" xr:uid="{EA68A4DA-D4FA-4857-814C-7CD977755A42}">
  <cacheSource type="worksheet">
    <worksheetSource name="碎片表"/>
  </cacheSource>
  <cacheFields count="9">
    <cacheField name="名称" numFmtId="0">
      <sharedItems count="2">
        <s v="月卡碎片"/>
        <s v="谢谢参与"/>
      </sharedItems>
    </cacheField>
    <cacheField name="合成物品" numFmtId="0">
      <sharedItems/>
    </cacheField>
    <cacheField name="所需数量" numFmtId="0">
      <sharedItems containsSemiMixedTypes="0" containsString="0" containsNumber="1" containsInteger="1" minValue="25" maxValue="100"/>
    </cacheField>
    <cacheField name="价值" numFmtId="177">
      <sharedItems containsSemiMixedTypes="0" containsString="0" containsNumber="1" minValue="1.5" maxValue="9.5"/>
    </cacheField>
    <cacheField name="每日获取量" numFmtId="0">
      <sharedItems containsSemiMixedTypes="0" containsString="0" containsNumber="1" minValue="0.95" maxValue="1.2761904761904761"/>
    </cacheField>
    <cacheField name="折扣率" numFmtId="0">
      <sharedItems containsSemiMixedTypes="0" containsString="0" containsNumber="1" minValue="0.79166666666666663" maxValue="0.90909090909090917"/>
    </cacheField>
    <cacheField name="折扣金额" numFmtId="177">
      <sharedItems containsSemiMixedTypes="0" containsString="0" containsNumber="1" minValue="0.14999999999999991" maxValue="2.5"/>
    </cacheField>
    <cacheField name="实际价值" numFmtId="177">
      <sharedItems containsSemiMixedTypes="0" containsString="0" containsNumber="1" minValue="1.65" maxValue="12"/>
    </cacheField>
    <cacheField name="检查位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5240.670888541666" createdVersion="8" refreshedVersion="8" minRefreshableVersion="3" recordCount="9" xr:uid="{89C19486-9B95-438C-8252-FB4F541DA16B}">
  <cacheSource type="worksheet">
    <worksheetSource name="宝箱表"/>
  </cacheSource>
  <cacheFields count="14">
    <cacheField name="名称" numFmtId="0">
      <sharedItems containsBlank="1" count="5">
        <s v="金币宝箱"/>
        <s v="每日礼包"/>
        <s v="每周礼包"/>
        <s v="每月礼包"/>
        <m u="1"/>
      </sharedItems>
    </cacheField>
    <cacheField name="类别" numFmtId="0">
      <sharedItems/>
    </cacheField>
    <cacheField name="金币" numFmtId="0">
      <sharedItems containsString="0" containsBlank="1" containsNumber="1" containsInteger="1" minValue="100" maxValue="1000"/>
    </cacheField>
    <cacheField name="碎片" numFmtId="0">
      <sharedItems containsBlank="1"/>
    </cacheField>
    <cacheField name="碎片数量" numFmtId="0">
      <sharedItems containsString="0" containsBlank="1" containsNumber="1" containsInteger="1" minValue="1" maxValue="1"/>
    </cacheField>
    <cacheField name="物品" numFmtId="0">
      <sharedItems containsBlank="1"/>
    </cacheField>
    <cacheField name="物品数量" numFmtId="0">
      <sharedItems containsString="0" containsBlank="1" containsNumber="1" minValue="1" maxValue="4.5"/>
    </cacheField>
    <cacheField name="概率" numFmtId="10">
      <sharedItems containsSemiMixedTypes="0" containsString="0" containsNumber="1" minValue="0.02" maxValue="1"/>
    </cacheField>
    <cacheField name="价值" numFmtId="0">
      <sharedItems containsSemiMixedTypes="0" containsString="0" containsNumber="1" minValue="1.4249999999999998" maxValue="742.5"/>
    </cacheField>
    <cacheField name="每月个数" numFmtId="0">
      <sharedItems containsSemiMixedTypes="0" containsString="0" containsNumber="1" minValue="1" maxValue="92"/>
    </cacheField>
    <cacheField name="可购买个数" numFmtId="0">
      <sharedItems containsString="0" containsBlank="1" containsNumber="1" minValue="1" maxValue="30"/>
    </cacheField>
    <cacheField name="任务获得个数" numFmtId="0">
      <sharedItems containsSemiMixedTypes="0" containsString="0" containsNumber="1" containsInteger="1" minValue="0" maxValue="92"/>
    </cacheField>
    <cacheField name="每月可获得价值(非任务)" numFmtId="0">
      <sharedItems containsSemiMixedTypes="0" containsString="0" containsNumber="1" minValue="0" maxValue="275.25"/>
    </cacheField>
    <cacheField name="检查位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者" refreshedDate="45240.670889351852" createdVersion="8" refreshedVersion="8" minRefreshableVersion="3" recordCount="38" xr:uid="{EB5FCD90-5C86-4EAC-8620-E19A65DCABA2}">
  <cacheSource type="worksheet">
    <worksheetSource name="任务表"/>
  </cacheSource>
  <cacheFields count="16">
    <cacheField name="序号" numFmtId="0">
      <sharedItems containsString="0" containsBlank="1" containsNumber="1" containsInteger="1" minValue="1" maxValue="13"/>
    </cacheField>
    <cacheField name="任务系列" numFmtId="0">
      <sharedItems containsBlank="1" count="16">
        <s v="减肥计划"/>
        <s v="健康"/>
        <s v="个人卫生"/>
        <s v="todolist"/>
        <s v="游戏人生"/>
        <s v="星穹铁道"/>
        <s v="日常打卡"/>
        <m/>
        <s v="崩坏:星穹铁道" u="1"/>
        <s v="游戏" u="1"/>
        <s v="记账" u="1"/>
        <s v="薅羊毛" u="1"/>
        <s v="理财" u="1"/>
        <s v="白夜极光" u="1"/>
        <s v="生活习惯" u="1"/>
        <s v="自动化手机" u="1"/>
      </sharedItems>
    </cacheField>
    <cacheField name="任务名" numFmtId="0">
      <sharedItems containsBlank="1"/>
    </cacheField>
    <cacheField name="类型" numFmtId="0">
      <sharedItems containsBlank="1" count="12">
        <s v="运动"/>
        <s v="卫生健康"/>
        <s v="饮食"/>
        <s v="TODO"/>
        <s v="生活习惯"/>
        <s v="游戏"/>
        <m/>
        <s v="减肥" u="1"/>
        <s v="卫生" u="1"/>
        <s v="健康" u="1"/>
        <s v="工具知识" u="1"/>
        <s v="生活" u="1"/>
      </sharedItems>
    </cacheField>
    <cacheField name="金币" numFmtId="0">
      <sharedItems containsString="0" containsBlank="1" containsNumber="1" containsInteger="1" minValue="5" maxValue="200"/>
    </cacheField>
    <cacheField name="碎片" numFmtId="0">
      <sharedItems containsBlank="1"/>
    </cacheField>
    <cacheField name="碎片数量" numFmtId="0">
      <sharedItems containsString="0" containsBlank="1" containsNumber="1" containsInteger="1" minValue="1" maxValue="1"/>
    </cacheField>
    <cacheField name="碎片期望/天" numFmtId="0">
      <sharedItems containsBlank="1" containsMixedTypes="1" containsNumber="1" minValue="6.6666666666666666E-2" maxValue="0.14285714285714285"/>
    </cacheField>
    <cacheField name="礼包" numFmtId="0">
      <sharedItems containsBlank="1"/>
    </cacheField>
    <cacheField name="礼包数量" numFmtId="0">
      <sharedItems containsString="0" containsBlank="1" containsNumber="1" containsInteger="1" minValue="1" maxValue="3"/>
    </cacheField>
    <cacheField name="礼包期望/天" numFmtId="0">
      <sharedItems containsBlank="1" containsMixedTypes="1" containsNumber="1" minValue="6.6666666666666666E-2" maxValue="3"/>
    </cacheField>
    <cacheField name="总价值" numFmtId="0">
      <sharedItems containsString="0" containsBlank="1" containsNumber="1" minValue="5" maxValue="440"/>
    </cacheField>
    <cacheField name="周期/天" numFmtId="0">
      <sharedItems containsString="0" containsBlank="1" containsNumber="1" containsInteger="1" minValue="1" maxValue="30"/>
    </cacheField>
    <cacheField name="完成概率" numFmtId="9">
      <sharedItems containsString="0" containsBlank="1" containsNumber="1" minValue="0.01" maxValue="1"/>
    </cacheField>
    <cacheField name="期望/天" numFmtId="177">
      <sharedItems containsString="0" containsBlank="1" containsNumber="1" minValue="0.33333333333333331" maxValue="90"/>
    </cacheField>
    <cacheField name="检查位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s v="星穹铁道月卡"/>
    <n v="25"/>
    <n v="9.5"/>
    <n v="1.2761904761904761"/>
    <n v="0.79166666666666663"/>
    <n v="2.5"/>
    <n v="12"/>
    <s v="√"/>
  </r>
  <r>
    <x v="0"/>
    <s v="星穹铁道大月卡"/>
    <n v="60"/>
    <n v="9.5"/>
    <n v="1.2761904761904761"/>
    <n v="0.83823529411764697"/>
    <n v="1.8333333333333339"/>
    <n v="11.333333333333334"/>
    <s v="√"/>
  </r>
  <r>
    <x v="1"/>
    <s v="金币宝箱"/>
    <n v="100"/>
    <n v="1.5"/>
    <n v="0.95"/>
    <n v="0.90909090909090917"/>
    <n v="0.14999999999999991"/>
    <n v="1.65"/>
    <s v="√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s v="宝箱"/>
    <n v="100"/>
    <m/>
    <m/>
    <m/>
    <m/>
    <n v="0.8"/>
    <n v="80"/>
    <n v="92"/>
    <m/>
    <n v="92"/>
    <n v="0"/>
    <s v="√"/>
  </r>
  <r>
    <x v="0"/>
    <s v="宝箱"/>
    <n v="1000"/>
    <m/>
    <m/>
    <m/>
    <m/>
    <n v="0.02"/>
    <n v="20"/>
    <n v="92"/>
    <m/>
    <n v="92"/>
    <n v="0"/>
    <s v="√"/>
  </r>
  <r>
    <x v="0"/>
    <s v="宝箱"/>
    <n v="500"/>
    <m/>
    <m/>
    <m/>
    <m/>
    <n v="0.08"/>
    <n v="40"/>
    <n v="92"/>
    <m/>
    <n v="92"/>
    <n v="0"/>
    <s v="√"/>
  </r>
  <r>
    <x v="0"/>
    <s v="宝箱"/>
    <n v="250"/>
    <m/>
    <m/>
    <m/>
    <m/>
    <n v="0.1"/>
    <n v="25"/>
    <n v="92"/>
    <m/>
    <n v="92"/>
    <n v="0"/>
    <s v="√"/>
  </r>
  <r>
    <x v="1"/>
    <s v="礼包"/>
    <m/>
    <s v="月卡碎片"/>
    <n v="1"/>
    <m/>
    <m/>
    <n v="1"/>
    <n v="9.5"/>
    <n v="30"/>
    <n v="30"/>
    <n v="0"/>
    <n v="275.25"/>
    <s v="√"/>
  </r>
  <r>
    <x v="1"/>
    <s v="礼包"/>
    <m/>
    <m/>
    <m/>
    <s v="金币宝箱"/>
    <n v="1"/>
    <n v="0.05"/>
    <n v="8.25"/>
    <n v="30"/>
    <n v="30"/>
    <n v="0"/>
    <n v="275.25"/>
    <s v="√"/>
  </r>
  <r>
    <x v="1"/>
    <s v="礼包"/>
    <m/>
    <s v="谢谢参与"/>
    <n v="1"/>
    <m/>
    <m/>
    <n v="0.95"/>
    <n v="1.4249999999999998"/>
    <n v="30"/>
    <n v="30"/>
    <n v="0"/>
    <n v="275.25"/>
    <s v="√"/>
  </r>
  <r>
    <x v="2"/>
    <s v="礼包"/>
    <m/>
    <m/>
    <m/>
    <s v="金币宝箱"/>
    <n v="1.1000000000000001"/>
    <n v="1"/>
    <n v="181.50000000000003"/>
    <n v="4.3499999999999996"/>
    <n v="4.3499999999999996"/>
    <n v="0"/>
    <n v="137.02500000000012"/>
    <s v="√"/>
  </r>
  <r>
    <x v="3"/>
    <s v="礼包"/>
    <m/>
    <m/>
    <m/>
    <s v="金币宝箱"/>
    <n v="4.5"/>
    <n v="1"/>
    <n v="742.5"/>
    <n v="1"/>
    <n v="1"/>
    <n v="0"/>
    <n v="242.5"/>
    <s v="√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"/>
    <x v="0"/>
    <s v="迈开腿"/>
    <x v="0"/>
    <n v="100"/>
    <m/>
    <m/>
    <s v=""/>
    <m/>
    <m/>
    <s v=""/>
    <n v="100"/>
    <n v="1"/>
    <n v="0.9"/>
    <n v="90"/>
    <s v="√"/>
  </r>
  <r>
    <n v="2"/>
    <x v="1"/>
    <s v="9点前早起"/>
    <x v="1"/>
    <n v="30"/>
    <m/>
    <m/>
    <s v=""/>
    <m/>
    <m/>
    <s v=""/>
    <n v="30"/>
    <n v="1"/>
    <n v="0.83333333333333326"/>
    <n v="24.999999999999996"/>
    <s v="√"/>
  </r>
  <r>
    <n v="3"/>
    <x v="0"/>
    <s v="喝水"/>
    <x v="2"/>
    <n v="40"/>
    <m/>
    <m/>
    <s v=""/>
    <m/>
    <m/>
    <s v=""/>
    <n v="40"/>
    <n v="1"/>
    <n v="1"/>
    <n v="40"/>
    <s v="√"/>
  </r>
  <r>
    <n v="4"/>
    <x v="0"/>
    <s v="管住嘴"/>
    <x v="2"/>
    <n v="85"/>
    <m/>
    <m/>
    <s v=""/>
    <m/>
    <m/>
    <s v=""/>
    <n v="85"/>
    <n v="1"/>
    <n v="0.96666666666666667"/>
    <n v="82.166666666666671"/>
    <s v="√"/>
  </r>
  <r>
    <n v="5"/>
    <x v="2"/>
    <s v="扫地"/>
    <x v="1"/>
    <n v="200"/>
    <s v="月卡碎片"/>
    <n v="1"/>
    <n v="6.6666666666666666E-2"/>
    <m/>
    <m/>
    <s v=""/>
    <n v="209.5"/>
    <n v="15"/>
    <n v="0.75"/>
    <n v="10.475"/>
    <s v="√"/>
  </r>
  <r>
    <n v="6"/>
    <x v="3"/>
    <s v="重要todo"/>
    <x v="3"/>
    <n v="100"/>
    <s v="月卡碎片"/>
    <n v="1"/>
    <n v="6.6666666666666666E-2"/>
    <s v="金币宝箱"/>
    <n v="1"/>
    <n v="6.6666666666666666E-2"/>
    <n v="189.5"/>
    <n v="15"/>
    <n v="1"/>
    <n v="12.633333333333333"/>
    <s v="√"/>
  </r>
  <r>
    <n v="7"/>
    <x v="3"/>
    <s v="标准todo"/>
    <x v="3"/>
    <n v="20"/>
    <m/>
    <m/>
    <s v=""/>
    <m/>
    <m/>
    <s v=""/>
    <n v="20"/>
    <n v="2"/>
    <n v="1"/>
    <n v="10"/>
    <s v="√"/>
  </r>
  <r>
    <n v="8"/>
    <x v="4"/>
    <s v="领取每日礼包"/>
    <x v="4"/>
    <n v="5"/>
    <m/>
    <m/>
    <s v=""/>
    <m/>
    <m/>
    <s v=""/>
    <n v="5"/>
    <n v="1"/>
    <n v="1"/>
    <n v="5"/>
    <s v="√"/>
  </r>
  <r>
    <n v="9"/>
    <x v="4"/>
    <s v="领取每月礼包"/>
    <x v="4"/>
    <n v="10"/>
    <m/>
    <m/>
    <s v=""/>
    <m/>
    <m/>
    <s v=""/>
    <n v="10"/>
    <n v="30"/>
    <n v="1"/>
    <n v="0.33333333333333331"/>
    <s v="√"/>
  </r>
  <r>
    <n v="10"/>
    <x v="5"/>
    <s v="模拟宇宙+周本"/>
    <x v="5"/>
    <n v="20"/>
    <s v="月卡碎片"/>
    <n v="1"/>
    <n v="0.14285714285714285"/>
    <m/>
    <m/>
    <s v=""/>
    <n v="29.5"/>
    <n v="7"/>
    <n v="1"/>
    <n v="4.2142857142857144"/>
    <s v="√"/>
  </r>
  <r>
    <n v="11"/>
    <x v="6"/>
    <s v="检查鹅厂运动步数"/>
    <x v="4"/>
    <n v="5"/>
    <m/>
    <m/>
    <s v=""/>
    <m/>
    <m/>
    <s v=""/>
    <n v="5"/>
    <n v="1"/>
    <n v="1"/>
    <n v="5"/>
    <s v="√"/>
  </r>
  <r>
    <n v="12"/>
    <x v="4"/>
    <s v="领取每周礼包"/>
    <x v="4"/>
    <n v="10"/>
    <m/>
    <m/>
    <s v=""/>
    <m/>
    <m/>
    <s v=""/>
    <n v="10"/>
    <n v="7"/>
    <n v="1"/>
    <n v="1.4285714285714286"/>
    <s v="√"/>
  </r>
  <r>
    <n v="13"/>
    <x v="1"/>
    <s v="12点前睡觉"/>
    <x v="1"/>
    <n v="200"/>
    <m/>
    <m/>
    <s v=""/>
    <s v="金币宝箱"/>
    <n v="3"/>
    <n v="3"/>
    <n v="440"/>
    <n v="1"/>
    <n v="0.01"/>
    <n v="4.4000000000000004"/>
    <s v="√"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  <r>
    <m/>
    <x v="7"/>
    <m/>
    <x v="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C35389-9BAC-48E5-A50D-30A70BC308B9}" name="数据透视表1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任务类型">
  <location ref="Q4:R11" firstHeaderRow="1" firstDataRow="1" firstDataCol="1"/>
  <pivotFields count="16">
    <pivotField showAll="0"/>
    <pivotField showAll="0"/>
    <pivotField showAll="0"/>
    <pivotField axis="axisRow" showAll="0" sortType="ascending">
      <items count="13">
        <item x="3"/>
        <item m="1" x="10"/>
        <item m="1" x="7"/>
        <item m="1" x="9"/>
        <item m="1" x="11"/>
        <item x="4"/>
        <item m="1" x="8"/>
        <item x="1"/>
        <item x="2"/>
        <item x="5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dataField="1" showAll="0"/>
    <pivotField showAll="0"/>
  </pivotFields>
  <rowFields count="1">
    <field x="3"/>
  </rowFields>
  <rowItems count="7">
    <i>
      <x/>
    </i>
    <i>
      <x v="5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系列期望/天" fld="14" baseField="1" baseItem="1" numFmtId="178"/>
  </dataFields>
  <formats count="1">
    <format dxfId="4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filters count="2">
    <filter fld="3" type="captionNotEqual" evalOrder="-1" id="2" stringValue1="">
      <autoFilter ref="A1">
        <filterColumn colId="0">
          <customFilters>
            <customFilter operator="notEqual" val=" "/>
          </customFilters>
        </filterColumn>
      </autoFilter>
    </filter>
    <filter fld="1" type="captionNotEqual" evalOrder="-1" id="1" stringValue1="(空白)">
      <autoFilter ref="A1">
        <filterColumn colId="0">
          <customFilters>
            <customFilter operator="notEqual" val="(空白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C37D7-4A9D-4D62-A891-72C8FB0101C1}" name="数据透视表8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任务系列">
  <location ref="Q15:R23" firstHeaderRow="1" firstDataRow="1" firstDataCol="1"/>
  <pivotFields count="16">
    <pivotField showAll="0"/>
    <pivotField axis="axisRow" showAll="0">
      <items count="17">
        <item x="7"/>
        <item m="1" x="8"/>
        <item m="1" x="13"/>
        <item x="0"/>
        <item x="4"/>
        <item m="1" x="15"/>
        <item x="2"/>
        <item x="1"/>
        <item x="5"/>
        <item m="1" x="14"/>
        <item x="3"/>
        <item m="1" x="10"/>
        <item x="6"/>
        <item m="1" x="12"/>
        <item m="1" x="11"/>
        <item m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dataField="1" showAll="0"/>
    <pivotField showAll="0"/>
  </pivotFields>
  <rowFields count="1">
    <field x="1"/>
  </rowFields>
  <rowItems count="8">
    <i>
      <x v="3"/>
    </i>
    <i>
      <x v="4"/>
    </i>
    <i>
      <x v="6"/>
    </i>
    <i>
      <x v="7"/>
    </i>
    <i>
      <x v="8"/>
    </i>
    <i>
      <x v="10"/>
    </i>
    <i>
      <x v="12"/>
    </i>
    <i t="grand">
      <x/>
    </i>
  </rowItems>
  <colItems count="1">
    <i/>
  </colItems>
  <dataFields count="1">
    <dataField name="系列期望/天" fld="14" baseField="1" baseItem="1" numFmtId="178"/>
  </dataFields>
  <formats count="4">
    <format dxfId="51">
      <pivotArea dataOnly="0" labelOnly="1" fieldPosition="0">
        <references count="1">
          <reference field="1" count="0"/>
        </references>
      </pivotArea>
    </format>
    <format dxfId="50">
      <pivotArea dataOnly="0" labelOnly="1" fieldPosition="0">
        <references count="1">
          <reference field="1" count="0"/>
        </references>
      </pivotArea>
    </format>
    <format dxfId="49">
      <pivotArea dataOnly="0" labelOnly="1" fieldPosition="0">
        <references count="1">
          <reference field="1" count="0"/>
        </references>
      </pivotArea>
    </format>
    <format dxfId="4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filters count="1">
    <filter fld="1" type="captionNotEqual" evalOrder="-1" id="1" stringValue1="(空白)">
      <autoFilter ref="A1">
        <filterColumn colId="0">
          <customFilters>
            <customFilter operator="notEqual" val="(空白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54DDA-C225-4D86-8800-F128B9BA38CE}" name="宝箱透视表" cacheId="1" applyNumberFormats="0" applyBorderFormats="0" applyFontFormats="0" applyPatternFormats="0" applyAlignmentFormats="0" applyWidthHeightFormats="1" dataCaption="值" updatedVersion="8" minRefreshableVersion="3" useAutoFormatting="1" rowGrandTotals="0" itemPrintTitles="1" createdVersion="8" indent="0" outline="1" outlineData="1" multipleFieldFilters="0" rowHeaderCaption="宝箱名称">
  <location ref="O3:R7" firstHeaderRow="0" firstDataRow="1" firstDataCol="1"/>
  <pivotFields count="14">
    <pivotField axis="axisRow" showAll="0">
      <items count="6">
        <item x="0"/>
        <item m="1" x="4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showAll="0"/>
  </pivotFields>
  <rowFields count="1">
    <field x="0"/>
  </rowFields>
  <rowItems count="4">
    <i>
      <x/>
    </i>
    <i>
      <x v="2"/>
    </i>
    <i>
      <x v="3"/>
    </i>
    <i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宝箱价值" fld="8" baseField="0" baseItem="0"/>
    <dataField name="月个数" fld="9" subtotal="average" baseField="0" baseItem="0"/>
    <dataField name="月可获得价值(非任务)" fld="12" subtotal="average" baseField="0" baseItem="0"/>
  </dataFields>
  <formats count="2">
    <format dxfId="28">
      <pivotArea outline="0" collapsedLevelsAreSubtotals="1" fieldPosition="0"/>
    </format>
    <format dxfId="27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filters count="1">
    <filter fld="0" type="captionNotEqual" evalOrder="-1" id="1" stringValue1="">
      <autoFilter ref="A1">
        <filterColumn colId="0">
          <customFilters>
            <customFilter operator="notEqual" val=" 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1DA8A8-D7A1-4EBC-AEF1-4462865270DF}" name="数据透视表5" cacheId="0" applyNumberFormats="0" applyBorderFormats="0" applyFontFormats="0" applyPatternFormats="0" applyAlignmentFormats="0" applyWidthHeightFormats="1" dataCaption="值" updatedVersion="8" minRefreshableVersion="3" rowGrandTotals="0" itemPrintTitles="1" createdVersion="8" indent="0" outline="1" outlineData="1" multipleFieldFilters="0" rowHeaderCaption="">
  <location ref="J3:M5" firstHeaderRow="0" firstDataRow="1" firstDataCol="1"/>
  <pivotFields count="9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dataField="1" numFmtId="177" showAll="0"/>
    <pivotField numFmtId="177" showAll="0"/>
    <pivotField showAll="0"/>
  </pivotFields>
  <rowFields count="1">
    <field x="0"/>
  </rowFields>
  <rowItems count="2">
    <i>
      <x/>
    </i>
    <i>
      <x v="1"/>
    </i>
  </rowItems>
  <colFields count="1">
    <field x="-2"/>
  </colFields>
  <colItems count="3">
    <i>
      <x/>
    </i>
    <i i="1">
      <x v="1"/>
    </i>
    <i i="2">
      <x v="2"/>
    </i>
  </colItems>
  <dataFields count="3">
    <dataField name="平均折扣率" fld="5" subtotal="average" baseField="0" baseItem="0" numFmtId="177"/>
    <dataField name="平均折扣金额" fld="6" subtotal="average" baseField="0" baseItem="0" numFmtId="177"/>
    <dataField name="日获取量" fld="4" subtotal="average" baseField="0" baseItem="0"/>
  </dataFields>
  <formats count="1">
    <format dxfId="2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C369D5-CD15-464C-AEDB-CA11E47F0E19}" name="表6" displayName="表6" ref="A1:E12" totalsRowShown="0">
  <autoFilter ref="A1:E12" xr:uid="{09C369D5-CD15-464C-AEDB-CA11E47F0E19}"/>
  <tableColumns count="5">
    <tableColumn id="1" xr3:uid="{C0849D52-542B-4F42-8231-4B6E369D7A35}" name="日期" dataDxfId="63"/>
    <tableColumn id="2" xr3:uid="{51A9A674-9282-41CB-85F9-9C1E0B9AD537}" name="人民币池"/>
    <tableColumn id="3" xr3:uid="{8777495E-1931-4A5C-AAC5-04E5A112995B}" name="金币池"/>
    <tableColumn id="4" xr3:uid="{13AD7E94-F8F4-48BA-B3EF-34D59E348F87}" name="差值">
      <calculatedColumnFormula>B2*10-C2</calculatedColumnFormula>
    </tableColumn>
    <tableColumn id="5" xr3:uid="{8ECD77A1-C875-43D2-AABF-8EC09D4C4D7B}" name="比例" dataDxfId="62">
      <calculatedColumnFormula>ABS((B2*10-C2)/表6[[#This Row],[金币池]])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7A50F-7E0D-413C-8039-AA8C19B1D5EB}" name="玩法表" displayName="玩法表" ref="A4:G14" totalsRowCount="1">
  <autoFilter ref="A4:G13" xr:uid="{1957A50F-7E0D-413C-8039-AA8C19B1D5EB}"/>
  <tableColumns count="7">
    <tableColumn id="1" xr3:uid="{4B131355-89E7-467D-B8B9-9A4CF298BBE6}" name="类型" totalsRowLabel="汇总"/>
    <tableColumn id="2" xr3:uid="{0BC6592D-3A86-45F6-9D86-91065EEB7951}" name="玩法"/>
    <tableColumn id="3" xr3:uid="{2369FC48-745E-4520-B733-86FA852A83E5}" name="比例" totalsRowFunction="sum" dataDxfId="61" totalsRowDxfId="60"/>
    <tableColumn id="4" xr3:uid="{1F5716EC-AE2D-40E6-AD3E-CDF24C860EB5}" name="对应人民币" totalsRowFunction="sum" dataDxfId="59" totalsRowDxfId="58">
      <calculatedColumnFormula>$C$2*玩法表[[#This Row],[比例]]</calculatedColumnFormula>
    </tableColumn>
    <tableColumn id="5" xr3:uid="{8DA87EFF-272A-4507-A3E0-405295C41F10}" name="对应金币" totalsRowFunction="sum" dataDxfId="57" totalsRowDxfId="56">
      <calculatedColumnFormula>$C$2*玩法表[[#This Row],[比例]]*10</calculatedColumnFormula>
    </tableColumn>
    <tableColumn id="6" xr3:uid="{E5A3F2A9-AC0B-4323-859E-92AA1C71FE9E}" name="实际金币" totalsRowFunction="sum" dataDxfId="55" totalsRowDxfId="54"/>
    <tableColumn id="7" xr3:uid="{9E05D84E-CA4D-416C-A9E8-2BBECF870EE0}" name="差值" totalsRowFunction="sum" dataDxfId="53" totalsRowDxfId="52">
      <calculatedColumnFormula>玩法表[[#This Row],[对应人民币]]*10-玩法表[[#This Row],[实际金币]]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5F158-7F71-4502-8EDC-73E998ACA12A}" name="任务表" displayName="任务表" ref="A1:P39" totalsRowShown="0" headerRowDxfId="46" dataDxfId="45">
  <autoFilter ref="A1:P39" xr:uid="{4EF5F158-7F71-4502-8EDC-73E998ACA12A}"/>
  <sortState xmlns:xlrd2="http://schemas.microsoft.com/office/spreadsheetml/2017/richdata2" ref="A2:P39">
    <sortCondition descending="1" ref="D1:D39"/>
  </sortState>
  <tableColumns count="16">
    <tableColumn id="5" xr3:uid="{BABB67F1-21AB-4802-B7A1-61499705C2C9}" name="序号" dataDxfId="44">
      <calculatedColumnFormula>ROW()-1</calculatedColumnFormula>
    </tableColumn>
    <tableColumn id="7" xr3:uid="{F3B642A0-4A03-4F67-B0DB-C7E9F5E0BB72}" name="任务系列" dataDxfId="43"/>
    <tableColumn id="6" xr3:uid="{321204DE-09CD-4A53-84AE-EDD2AF83355E}" name="任务名" dataDxfId="42"/>
    <tableColumn id="1" xr3:uid="{31F8CFA6-9AF8-4CF6-A6F1-F572F6B42B1A}" name="类型" dataDxfId="41"/>
    <tableColumn id="10" xr3:uid="{68F8D398-71D5-48B5-A274-37FA8F332F04}" name="金币" dataDxfId="40"/>
    <tableColumn id="9" xr3:uid="{60E37190-221E-4A02-954F-C12251F22E96}" name="碎片" dataDxfId="39"/>
    <tableColumn id="14" xr3:uid="{4EF2CFCE-107C-41B9-964A-82C43C674850}" name="碎片数量" dataDxfId="38"/>
    <tableColumn id="16" xr3:uid="{B5CB30AE-16B7-44D8-8025-54D5EAC0CCA4}" name="碎片期望/天" dataDxfId="37">
      <calculatedColumnFormula>IF(任务表[[#This Row],[碎片数量]],任务表[[#This Row],[碎片数量]]/任务表[[#This Row],[周期/天]],"")</calculatedColumnFormula>
    </tableColumn>
    <tableColumn id="8" xr3:uid="{1B4F0408-2556-4F2E-B70E-9F5591ADE44A}" name="礼包" dataDxfId="36"/>
    <tableColumn id="13" xr3:uid="{05030747-0614-426C-AE51-16A1A69C091B}" name="礼包数量" dataDxfId="35"/>
    <tableColumn id="12" xr3:uid="{D195A546-B01F-4F31-9088-9F2CBE56EF1B}" name="礼包期望/天" dataDxfId="34">
      <calculatedColumnFormula>IF(任务表[[#This Row],[礼包数量]],任务表[[#This Row],[礼包数量]]/任务表[[#This Row],[周期/天]],"")</calculatedColumnFormula>
    </tableColumn>
    <tableColumn id="2" xr3:uid="{00DC5800-3EC1-4ADD-AF3B-464BC49F98DE}" name="总价值" dataDxfId="33">
      <calculatedColumnFormula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calculatedColumnFormula>
    </tableColumn>
    <tableColumn id="3" xr3:uid="{130BF695-F450-4B8E-8C46-AEDED8F0D491}" name="周期/天" dataDxfId="32"/>
    <tableColumn id="11" xr3:uid="{F68E9611-084E-4EEB-9DDD-DD10B6BFA892}" name="完成概率" dataDxfId="31"/>
    <tableColumn id="4" xr3:uid="{9543137C-999A-4BA2-A76C-86DD9DA0D806}" name="期望/天" dataDxfId="30">
      <calculatedColumnFormula>IF(任务表[[#This Row],[周期/天]],任务表[[#This Row],[总价值]]/任务表[[#This Row],[周期/天]]*任务表[[#This Row],[完成概率]],"")</calculatedColumnFormula>
    </tableColumn>
    <tableColumn id="15" xr3:uid="{C637AAAE-7FA0-4A48-8CEF-3BBF1B8E386B}" name="检查位" dataDxfId="29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91028A-F1E9-42CC-99B0-24A70B9BDE7D}" name="宝箱表" displayName="宝箱表" ref="A1:N10" totalsRowShown="0">
  <autoFilter ref="A1:N10" xr:uid="{AB91028A-F1E9-42CC-99B0-24A70B9BDE7D}"/>
  <tableColumns count="14">
    <tableColumn id="1" xr3:uid="{426186FA-02FA-43CA-BFC7-7AE9E817C9EC}" name="名称"/>
    <tableColumn id="2" xr3:uid="{3E1D044F-D727-4378-9E0E-528485AF29B2}" name="类别"/>
    <tableColumn id="8" xr3:uid="{AEF81DA8-E3F2-4C12-AE5B-9AAD397F2041}" name="金币"/>
    <tableColumn id="7" xr3:uid="{57225F0A-0A8E-43D9-9F83-72981F36A417}" name="碎片"/>
    <tableColumn id="11" xr3:uid="{3DF90F5F-57EE-4D64-942D-622897A844EA}" name="碎片数量"/>
    <tableColumn id="6" xr3:uid="{EB550AA8-F052-4E86-9BC8-C473E528B6BD}" name="物品"/>
    <tableColumn id="12" xr3:uid="{F9FC6645-4605-4CB7-8070-523B325E6898}" name="物品数量"/>
    <tableColumn id="4" xr3:uid="{9412D6A3-6459-44A8-A2A5-C64473D4C47E}" name="概率" dataDxfId="26"/>
    <tableColumn id="5" xr3:uid="{3BEB7B2F-539D-4345-B2BD-5A9D93888FE4}" name="价值" dataDxfId="25">
      <calculatedColumnFormula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calculatedColumnFormula>
    </tableColumn>
    <tableColumn id="13" xr3:uid="{B8212EA1-E940-4029-A209-A77FC8D17AC2}" name="每月个数" dataDxfId="24">
      <calculatedColumnFormula>宝箱表[[#This Row],[可购买个数]]+宝箱表[[#This Row],[任务获得个数]]</calculatedColumnFormula>
    </tableColumn>
    <tableColumn id="14" xr3:uid="{4C69AE57-8C44-4EE2-BDD9-3671FED29FEA}" name="可购买个数"/>
    <tableColumn id="15" xr3:uid="{84C2567A-BC5B-4F43-A448-D986D2409DE4}" name="任务获得个数" dataDxfId="23">
      <calculatedColumnFormula>SUMIF(任务表[[#All],[礼包]],宝箱表[[#This Row],[名称]],任务表[[#All],[礼包期望/天]])*30</calculatedColumnFormula>
    </tableColumn>
    <tableColumn id="16" xr3:uid="{EA7F71D4-0AB3-44EA-AA7B-C503DDAFC866}" name="每月可获得价值(非任务)" dataDxfId="22">
      <calculatedColumnFormula>宝箱表[[#This Row],[可购买个数]]*(SUMIF(宝箱表[[#All],[名称]],宝箱表[[#This Row],[名称]],宝箱表[[#All],[价值]])-VLOOKUP(宝箱表[[#This Row],[名称]],物品表[[#All],[物品名称]:[价格]],3,FALSE))</calculatedColumnFormula>
    </tableColumn>
    <tableColumn id="18" xr3:uid="{190A0D43-6A80-4DE0-B046-BE007EA2786E}" name="检查位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472809-EB9F-4EBE-9B13-155BFCF0481A}" name="碎片表" displayName="碎片表" ref="A1:I4" totalsRowShown="0" headerRowDxfId="19" dataDxfId="18">
  <autoFilter ref="A1:I4" xr:uid="{BE472809-EB9F-4EBE-9B13-155BFCF0481A}"/>
  <tableColumns count="9">
    <tableColumn id="1" xr3:uid="{418A8A54-23EE-47A5-92F6-D35B3B9216E4}" name="名称" dataDxfId="17"/>
    <tableColumn id="2" xr3:uid="{04A6A7F8-5078-4B0A-8AFE-E91D38A34762}" name="合成物品" dataDxfId="16"/>
    <tableColumn id="3" xr3:uid="{AE3C21FA-86FC-45F8-8BBB-1A9F521A7E7D}" name="所需数量" dataDxfId="15"/>
    <tableColumn id="4" xr3:uid="{5101A0A0-4135-46FA-BC94-6F6D81FE86FB}" name="价值" dataDxfId="14"/>
    <tableColumn id="6" xr3:uid="{43E5E12B-8243-42AC-B0A7-47BD2EADD7FE}" name="每日获取量" dataDxfId="13">
      <calculatedColumnFormula array="1">SUMIF(任务表[[#All],[碎片]],碎片表[[#This Row],[名称]],任务表[[#All],[碎片期望/天]])+SUMPRODUCT((宝箱表[碎片]=碎片表[[#This Row],[名称]])*宝箱表[每月个数]/30*宝箱表[概率],宝箱表[碎片数量])</calculatedColumnFormula>
    </tableColumn>
    <tableColumn id="7" xr3:uid="{28D91406-07F8-49D1-98CC-50D1A5DF04AE}" name="折扣率" dataDxfId="12">
      <calculatedColumnFormula>碎片表[[#This Row],[价值]]/碎片表[[#This Row],[实际价值]]</calculatedColumnFormula>
    </tableColumn>
    <tableColumn id="8" xr3:uid="{B9E4CAFD-8A49-441A-BA0D-CE494CBC9F0B}" name="折扣金额" dataDxfId="11">
      <calculatedColumnFormula>碎片表[[#This Row],[实际价值]]-碎片表[[#This Row],[价值]]</calculatedColumnFormula>
    </tableColumn>
    <tableColumn id="5" xr3:uid="{D68076EC-7097-4ACF-88BF-D55661B1E4B6}" name="实际价值" dataDxfId="10">
      <calculatedColumnFormula>VLOOKUP(碎片表[[#This Row],[合成物品]],物品表[[#All],[物品名称]:[价格]],2,FALSE)/碎片表[[#This Row],[所需数量]]</calculatedColumnFormula>
    </tableColumn>
    <tableColumn id="9" xr3:uid="{F898AAA5-0D57-41DB-99CD-DDF3F15CF854}" name="检查位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B072DE-FD2D-4633-A908-6F27E07C3AEB}" name="物品表" displayName="物品表" ref="A1:F8" dataDxfId="8">
  <autoFilter ref="A1:F8" xr:uid="{7AB072DE-FD2D-4633-A908-6F27E07C3AEB}"/>
  <tableColumns count="6">
    <tableColumn id="1" xr3:uid="{DEA60FC8-81AC-44A0-A7E8-CC2E62446610}" name="序号" totalsRowLabel="汇总" dataDxfId="7" totalsRowDxfId="6">
      <calculatedColumnFormula>ROW()-1</calculatedColumnFormula>
    </tableColumn>
    <tableColumn id="2" xr3:uid="{0199A419-B7FF-4B49-A1B4-2B5323EB9A20}" name="物品名称" dataDxfId="5"/>
    <tableColumn id="5" xr3:uid="{7807DCD2-3CD7-452D-966B-885D1C588E78}" name="实际价值" dataDxfId="4"/>
    <tableColumn id="3" xr3:uid="{9383D9A9-04B1-4BB9-BA3A-1DAEF68A4A9F}" name="价格" dataDxfId="3" totalsRowDxfId="2"/>
    <tableColumn id="4" xr3:uid="{555C9847-323A-420C-A47C-F28400035202}" name="最快获得天数" totalsRowFunction="count" dataDxfId="1">
      <calculatedColumnFormula>$D2/SUM(任务表[期望/天])</calculatedColumnFormula>
    </tableColumn>
    <tableColumn id="6" xr3:uid="{50BBF028-0F13-401B-BCDC-3B5C297C21AD}" name="检查位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6095-B360-4647-A105-034214452BEF}">
  <dimension ref="A1:E12"/>
  <sheetViews>
    <sheetView workbookViewId="0">
      <selection activeCell="H10" sqref="H10"/>
    </sheetView>
  </sheetViews>
  <sheetFormatPr defaultRowHeight="14" x14ac:dyDescent="0.3"/>
  <cols>
    <col min="1" max="1" width="19.5" customWidth="1"/>
    <col min="2" max="2" width="21.83203125" customWidth="1"/>
    <col min="3" max="3" width="19" customWidth="1"/>
    <col min="4" max="4" width="11.83203125" customWidth="1"/>
    <col min="5" max="5" width="9.83203125" bestFit="1" customWidth="1"/>
    <col min="8" max="8" width="16.58203125" customWidth="1"/>
    <col min="14" max="14" width="10" bestFit="1" customWidth="1"/>
  </cols>
  <sheetData>
    <row r="1" spans="1:5" x14ac:dyDescent="0.3">
      <c r="A1" t="s">
        <v>138</v>
      </c>
      <c r="B1" t="s">
        <v>140</v>
      </c>
      <c r="C1" t="s">
        <v>139</v>
      </c>
      <c r="D1" t="s">
        <v>38</v>
      </c>
      <c r="E1" t="s">
        <v>25</v>
      </c>
    </row>
    <row r="2" spans="1:5" x14ac:dyDescent="0.3">
      <c r="A2" s="30">
        <v>45164</v>
      </c>
      <c r="B2">
        <v>1566</v>
      </c>
      <c r="C2">
        <v>9526</v>
      </c>
      <c r="D2">
        <f t="shared" ref="D2" si="0">B2*10-C2</f>
        <v>6134</v>
      </c>
      <c r="E2" s="15">
        <f>ABS((B2*10-C2)/表6[[#This Row],[金币池]])</f>
        <v>0.64392189796346844</v>
      </c>
    </row>
    <row r="3" spans="1:5" x14ac:dyDescent="0.3">
      <c r="A3" s="30"/>
      <c r="E3" s="15"/>
    </row>
    <row r="4" spans="1:5" x14ac:dyDescent="0.3">
      <c r="A4" s="30"/>
      <c r="E4" s="15"/>
    </row>
    <row r="5" spans="1:5" x14ac:dyDescent="0.3">
      <c r="A5" s="30"/>
      <c r="E5" s="15"/>
    </row>
    <row r="6" spans="1:5" x14ac:dyDescent="0.3">
      <c r="A6" s="30"/>
      <c r="E6" s="15"/>
    </row>
    <row r="7" spans="1:5" x14ac:dyDescent="0.3">
      <c r="A7" s="30"/>
      <c r="E7" s="15"/>
    </row>
    <row r="8" spans="1:5" x14ac:dyDescent="0.3">
      <c r="A8" s="30"/>
      <c r="E8" s="15"/>
    </row>
    <row r="9" spans="1:5" x14ac:dyDescent="0.3">
      <c r="A9" s="30"/>
      <c r="E9" s="15"/>
    </row>
    <row r="10" spans="1:5" x14ac:dyDescent="0.3">
      <c r="A10" s="30"/>
      <c r="E10" s="15"/>
    </row>
    <row r="11" spans="1:5" x14ac:dyDescent="0.3">
      <c r="A11" s="30"/>
      <c r="E11" s="15"/>
    </row>
    <row r="12" spans="1:5" x14ac:dyDescent="0.3">
      <c r="A12" s="30"/>
      <c r="E12" s="15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98B6-0F10-4730-A435-D04BB87528AE}">
  <sheetPr codeName="Sheet1"/>
  <dimension ref="A1:G14"/>
  <sheetViews>
    <sheetView zoomScale="115" zoomScaleNormal="115" workbookViewId="0">
      <selection activeCell="K11" sqref="K11"/>
    </sheetView>
  </sheetViews>
  <sheetFormatPr defaultRowHeight="14" x14ac:dyDescent="0.3"/>
  <cols>
    <col min="2" max="2" width="36.83203125" customWidth="1"/>
    <col min="3" max="3" width="9.25" bestFit="1" customWidth="1"/>
    <col min="4" max="4" width="12.08203125" customWidth="1"/>
    <col min="5" max="5" width="11.25" customWidth="1"/>
    <col min="6" max="6" width="10.83203125" customWidth="1"/>
  </cols>
  <sheetData>
    <row r="1" spans="1:7" x14ac:dyDescent="0.3">
      <c r="B1" t="s">
        <v>36</v>
      </c>
      <c r="C1" s="16">
        <f>(任务表!T2+宝箱表!O2+碎片合成表!J2)/10</f>
        <v>931.15380952380963</v>
      </c>
    </row>
    <row r="2" spans="1:7" x14ac:dyDescent="0.3">
      <c r="B2" t="s">
        <v>37</v>
      </c>
      <c r="C2" s="16">
        <v>1500</v>
      </c>
    </row>
    <row r="3" spans="1:7" x14ac:dyDescent="0.3">
      <c r="B3" t="s">
        <v>134</v>
      </c>
      <c r="C3" s="15">
        <f>(C1-C2)/C2</f>
        <v>-0.3792307936507936</v>
      </c>
    </row>
    <row r="4" spans="1:7" x14ac:dyDescent="0.3">
      <c r="A4" t="s">
        <v>8</v>
      </c>
      <c r="B4" t="s">
        <v>24</v>
      </c>
      <c r="C4" t="s">
        <v>25</v>
      </c>
      <c r="D4" t="s">
        <v>39</v>
      </c>
      <c r="E4" t="s">
        <v>40</v>
      </c>
      <c r="F4" t="s">
        <v>41</v>
      </c>
      <c r="G4" t="s">
        <v>38</v>
      </c>
    </row>
    <row r="5" spans="1:7" x14ac:dyDescent="0.3">
      <c r="A5" t="s">
        <v>60</v>
      </c>
      <c r="B5" t="s">
        <v>28</v>
      </c>
      <c r="C5" s="15">
        <v>0.05</v>
      </c>
      <c r="D5" s="16">
        <f>$C$2*玩法表[[#This Row],[比例]]</f>
        <v>75</v>
      </c>
      <c r="E5" s="18">
        <f>$C$2*玩法表[[#This Row],[比例]]*10</f>
        <v>750</v>
      </c>
      <c r="F5" s="18">
        <f>宝箱表!O2</f>
        <v>654.77500000000009</v>
      </c>
      <c r="G5" s="18">
        <f>玩法表[[#This Row],[对应人民币]]*10-玩法表[[#This Row],[实际金币]]</f>
        <v>95.224999999999909</v>
      </c>
    </row>
    <row r="6" spans="1:7" x14ac:dyDescent="0.3">
      <c r="A6" t="s">
        <v>121</v>
      </c>
      <c r="B6" t="s">
        <v>27</v>
      </c>
      <c r="C6" s="15">
        <v>0.05</v>
      </c>
      <c r="D6" s="16">
        <f>$C$2*玩法表[[#This Row],[比例]]</f>
        <v>75</v>
      </c>
      <c r="E6" s="18">
        <f>$C$2*玩法表[[#This Row],[比例]]*10</f>
        <v>750</v>
      </c>
      <c r="F6" s="18">
        <f>GETPIVOTDATA("期望/天",任务表!$Q$4,"类型","TODO")*30</f>
        <v>679</v>
      </c>
      <c r="G6" s="18">
        <f>玩法表[[#This Row],[对应人民币]]*10-玩法表[[#This Row],[实际金币]]</f>
        <v>71</v>
      </c>
    </row>
    <row r="7" spans="1:7" x14ac:dyDescent="0.3">
      <c r="B7" t="s">
        <v>29</v>
      </c>
      <c r="C7" s="15">
        <v>0.1</v>
      </c>
      <c r="D7" s="16">
        <f>$C$2*玩法表[[#This Row],[比例]]</f>
        <v>150</v>
      </c>
      <c r="E7" s="18">
        <f>$C$2*玩法表[[#This Row],[比例]]*10</f>
        <v>1500</v>
      </c>
      <c r="F7" s="18">
        <f>GETPIVOTDATA("期望/天",任务表!$Q$4,"类型","游戏")*30</f>
        <v>126.42857142857143</v>
      </c>
      <c r="G7" s="18">
        <f>玩法表[[#This Row],[对应人民币]]*10-玩法表[[#This Row],[实际金币]]</f>
        <v>1373.5714285714287</v>
      </c>
    </row>
    <row r="8" spans="1:7" x14ac:dyDescent="0.3">
      <c r="B8" t="s">
        <v>30</v>
      </c>
      <c r="C8" s="15">
        <v>0.25</v>
      </c>
      <c r="D8" s="16">
        <f>$C$2*玩法表[[#This Row],[比例]]</f>
        <v>375</v>
      </c>
      <c r="E8" s="18">
        <f>$C$2*玩法表[[#This Row],[比例]]*10</f>
        <v>3750</v>
      </c>
      <c r="F8" s="18">
        <f>GETPIVOTDATA("期望/天",任务表!$Q$4,"类型","运动")*30</f>
        <v>2700</v>
      </c>
      <c r="G8" s="18">
        <f>玩法表[[#This Row],[对应人民币]]*10-玩法表[[#This Row],[实际金币]]</f>
        <v>1050</v>
      </c>
    </row>
    <row r="9" spans="1:7" x14ac:dyDescent="0.3">
      <c r="B9" t="s">
        <v>31</v>
      </c>
      <c r="C9" s="15">
        <v>0.3</v>
      </c>
      <c r="D9" s="16">
        <f>$C$2*玩法表[[#This Row],[比例]]</f>
        <v>450</v>
      </c>
      <c r="E9" s="18">
        <f>$C$2*玩法表[[#This Row],[比例]]*10</f>
        <v>4500</v>
      </c>
      <c r="F9" s="18">
        <f>GETPIVOTDATA("期望/天",任务表!$Q$4,"类型","饮食")*30</f>
        <v>3665</v>
      </c>
      <c r="G9" s="18">
        <f>玩法表[[#This Row],[对应人民币]]*10-玩法表[[#This Row],[实际金币]]</f>
        <v>835</v>
      </c>
    </row>
    <row r="10" spans="1:7" x14ac:dyDescent="0.3">
      <c r="B10" t="s">
        <v>52</v>
      </c>
      <c r="C10" s="15">
        <v>0.13</v>
      </c>
      <c r="D10" s="16">
        <f>$C$2*玩法表[[#This Row],[比例]]</f>
        <v>195</v>
      </c>
      <c r="E10" s="18">
        <f>$C$2*玩法表[[#This Row],[比例]]*10</f>
        <v>1950</v>
      </c>
      <c r="F10" s="18">
        <f>GETPIVOTDATA("期望/天",任务表!$Q$4,"类型","卫生健康")*30</f>
        <v>1196.2499999999998</v>
      </c>
      <c r="G10" s="18">
        <f>玩法表[[#This Row],[对应人民币]]*10-玩法表[[#This Row],[实际金币]]</f>
        <v>753.75000000000023</v>
      </c>
    </row>
    <row r="11" spans="1:7" x14ac:dyDescent="0.3">
      <c r="B11" t="s">
        <v>53</v>
      </c>
      <c r="C11" s="15">
        <v>7.0000000000000007E-2</v>
      </c>
      <c r="D11" s="16">
        <f>$C$2*玩法表[[#This Row],[比例]]</f>
        <v>105.00000000000001</v>
      </c>
      <c r="E11" s="18">
        <f>$C$2*玩法表[[#This Row],[比例]]*10</f>
        <v>1050.0000000000002</v>
      </c>
      <c r="F11" s="18">
        <f>GETPIVOTDATA("期望/天",任务表!$Q$4,"类型","生活习惯")*30</f>
        <v>352.85714285714283</v>
      </c>
      <c r="G11" s="18">
        <f>玩法表[[#This Row],[对应人民币]]*10-玩法表[[#This Row],[实际金币]]</f>
        <v>697.14285714285734</v>
      </c>
    </row>
    <row r="12" spans="1:7" x14ac:dyDescent="0.3">
      <c r="A12" t="s">
        <v>32</v>
      </c>
      <c r="B12" t="s">
        <v>34</v>
      </c>
      <c r="C12" s="15">
        <v>0.05</v>
      </c>
      <c r="D12" s="16">
        <f>$C$2*玩法表[[#This Row],[比例]]</f>
        <v>75</v>
      </c>
      <c r="E12" s="18">
        <f>$C$2*玩法表[[#This Row],[比例]]*10</f>
        <v>750</v>
      </c>
      <c r="F12" s="18">
        <f>碎片合成表!J2</f>
        <v>87.227380952380969</v>
      </c>
      <c r="G12" s="18">
        <f>玩法表[[#This Row],[对应人民币]]*10-玩法表[[#This Row],[实际金币]]</f>
        <v>662.77261904761906</v>
      </c>
    </row>
    <row r="13" spans="1:7" x14ac:dyDescent="0.3">
      <c r="A13" t="s">
        <v>26</v>
      </c>
      <c r="B13" t="s">
        <v>33</v>
      </c>
      <c r="C13" s="15"/>
      <c r="D13" s="16">
        <f>$C$2*玩法表[[#This Row],[比例]]</f>
        <v>0</v>
      </c>
      <c r="E13" s="16">
        <f>$C$2*玩法表[[#This Row],[比例]]*10</f>
        <v>0</v>
      </c>
      <c r="F13" s="18"/>
      <c r="G13" s="18">
        <f>玩法表[[#This Row],[对应人民币]]*10-玩法表[[#This Row],[实际金币]]</f>
        <v>0</v>
      </c>
    </row>
    <row r="14" spans="1:7" x14ac:dyDescent="0.3">
      <c r="A14" t="s">
        <v>35</v>
      </c>
      <c r="C14" s="15">
        <f>SUBTOTAL(109,玩法表[比例])</f>
        <v>1</v>
      </c>
      <c r="D14" s="16">
        <f>SUBTOTAL(109,玩法表[对应人民币])</f>
        <v>1500</v>
      </c>
      <c r="E14" s="18">
        <f>SUBTOTAL(109,玩法表[对应金币])</f>
        <v>15000</v>
      </c>
      <c r="F14" s="18">
        <f>SUBTOTAL(109,玩法表[实际金币])</f>
        <v>9461.5380952380947</v>
      </c>
      <c r="G14" s="18">
        <f>SUBTOTAL(109,玩法表[差值])</f>
        <v>5538.4619047619053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3E4A-ECC7-4213-B7E4-C607C6BA3FEE}">
  <sheetPr codeName="Sheet2"/>
  <dimension ref="A1:V39"/>
  <sheetViews>
    <sheetView tabSelected="1" zoomScale="115" zoomScaleNormal="115" workbookViewId="0">
      <selection activeCell="H25" sqref="H25"/>
    </sheetView>
  </sheetViews>
  <sheetFormatPr defaultRowHeight="14" x14ac:dyDescent="0.3"/>
  <cols>
    <col min="1" max="1" width="8.58203125" style="8"/>
    <col min="2" max="2" width="18" style="8" customWidth="1"/>
    <col min="3" max="3" width="28.25" style="8" customWidth="1"/>
    <col min="4" max="4" width="8.58203125" style="8"/>
    <col min="5" max="7" width="9" style="8"/>
    <col min="8" max="8" width="14.33203125" style="8" customWidth="1"/>
    <col min="9" max="9" width="9" style="8"/>
    <col min="10" max="10" width="8.58203125" style="8"/>
    <col min="11" max="11" width="12.25" style="8" customWidth="1"/>
    <col min="15" max="16" width="11" bestFit="1" customWidth="1"/>
    <col min="17" max="17" width="11.25" bestFit="1" customWidth="1"/>
    <col min="18" max="18" width="11.4140625" bestFit="1" customWidth="1"/>
    <col min="19" max="19" width="11.75" bestFit="1" customWidth="1"/>
  </cols>
  <sheetData>
    <row r="1" spans="1:22" x14ac:dyDescent="0.3">
      <c r="A1" s="3" t="s">
        <v>3</v>
      </c>
      <c r="B1" s="3" t="s">
        <v>10</v>
      </c>
      <c r="C1" s="3" t="s">
        <v>7</v>
      </c>
      <c r="D1" s="3" t="s">
        <v>8</v>
      </c>
      <c r="E1" s="3" t="s">
        <v>69</v>
      </c>
      <c r="F1" s="3" t="s">
        <v>67</v>
      </c>
      <c r="G1" s="3" t="s">
        <v>88</v>
      </c>
      <c r="H1" s="3" t="s">
        <v>127</v>
      </c>
      <c r="I1" s="3" t="s">
        <v>66</v>
      </c>
      <c r="J1" s="3" t="s">
        <v>89</v>
      </c>
      <c r="K1" s="3" t="s">
        <v>126</v>
      </c>
      <c r="L1" s="3" t="s">
        <v>68</v>
      </c>
      <c r="M1" s="4" t="s">
        <v>125</v>
      </c>
      <c r="N1" s="4" t="s">
        <v>137</v>
      </c>
      <c r="O1" s="3" t="s">
        <v>0</v>
      </c>
      <c r="P1" s="3" t="s">
        <v>117</v>
      </c>
      <c r="R1" s="1" t="s">
        <v>2</v>
      </c>
      <c r="S1" s="1" t="s">
        <v>4</v>
      </c>
      <c r="T1" s="1" t="s">
        <v>5</v>
      </c>
      <c r="U1" s="1" t="s">
        <v>13</v>
      </c>
      <c r="V1" s="1" t="s">
        <v>1</v>
      </c>
    </row>
    <row r="2" spans="1:22" x14ac:dyDescent="0.3">
      <c r="A2" s="3">
        <f t="shared" ref="A2:A13" si="0">ROW()-1</f>
        <v>1</v>
      </c>
      <c r="B2" s="3" t="s">
        <v>15</v>
      </c>
      <c r="C2" s="3" t="s">
        <v>18</v>
      </c>
      <c r="D2" s="3" t="s">
        <v>44</v>
      </c>
      <c r="E2" s="3">
        <v>100</v>
      </c>
      <c r="F2" s="3"/>
      <c r="G2" s="3"/>
      <c r="H2" s="3" t="str">
        <f>IF(任务表[[#This Row],[碎片数量]],任务表[[#This Row],[碎片数量]]/任务表[[#This Row],[周期/天]],"")</f>
        <v/>
      </c>
      <c r="I2" s="3"/>
      <c r="J2" s="3"/>
      <c r="K2" s="3" t="str">
        <f>IF(任务表[[#This Row],[礼包数量]],任务表[[#This Row],[礼包数量]]/任务表[[#This Row],[周期/天]],"")</f>
        <v/>
      </c>
      <c r="L2" s="3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100</v>
      </c>
      <c r="M2" s="4">
        <v>1</v>
      </c>
      <c r="N2" s="27">
        <v>0.9</v>
      </c>
      <c r="O2" s="5">
        <f>IF(任务表[[#This Row],[周期/天]],任务表[[#This Row],[总价值]]/任务表[[#This Row],[周期/天]]*任务表[[#This Row],[完成概率]],"")</f>
        <v>90</v>
      </c>
      <c r="P2" s="8" t="s">
        <v>124</v>
      </c>
      <c r="R2" s="13">
        <f>SUM(任务表[期望/天])</f>
        <v>285.65119047619049</v>
      </c>
      <c r="S2" s="11">
        <f>SUM(任务表[期望/天])*7</f>
        <v>1999.5583333333334</v>
      </c>
      <c r="T2" s="11">
        <f>SUM(任务表[期望/天])*30</f>
        <v>8569.5357142857156</v>
      </c>
      <c r="U2" s="2">
        <v>10</v>
      </c>
      <c r="V2" s="2">
        <v>10</v>
      </c>
    </row>
    <row r="3" spans="1:22" x14ac:dyDescent="0.3">
      <c r="A3" s="8">
        <f t="shared" si="0"/>
        <v>2</v>
      </c>
      <c r="B3" s="8" t="s">
        <v>47</v>
      </c>
      <c r="C3" s="8" t="s">
        <v>136</v>
      </c>
      <c r="D3" s="8" t="s">
        <v>54</v>
      </c>
      <c r="E3" s="8">
        <v>30</v>
      </c>
      <c r="H3" s="8" t="str">
        <f>IF(任务表[[#This Row],[碎片数量]],任务表[[#This Row],[碎片数量]]/任务表[[#This Row],[周期/天]],"")</f>
        <v/>
      </c>
      <c r="K3" s="8" t="str">
        <f>IF(任务表[[#This Row],[礼包数量]],任务表[[#This Row],[礼包数量]]/任务表[[#This Row],[周期/天]],"")</f>
        <v/>
      </c>
      <c r="L3" s="8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30</v>
      </c>
      <c r="M3" s="8">
        <v>1</v>
      </c>
      <c r="N3" s="28">
        <v>0.83333333333333326</v>
      </c>
      <c r="O3" s="19">
        <f>IF(任务表[[#This Row],[周期/天]],任务表[[#This Row],[总价值]]/任务表[[#This Row],[周期/天]]*任务表[[#This Row],[完成概率]],"")</f>
        <v>24.999999999999996</v>
      </c>
      <c r="P3" s="8" t="s">
        <v>124</v>
      </c>
      <c r="S3" s="1"/>
      <c r="T3" s="1"/>
      <c r="U3" s="1"/>
    </row>
    <row r="4" spans="1:22" x14ac:dyDescent="0.3">
      <c r="A4" s="8">
        <f t="shared" si="0"/>
        <v>3</v>
      </c>
      <c r="B4" s="3" t="s">
        <v>15</v>
      </c>
      <c r="C4" s="3" t="s">
        <v>17</v>
      </c>
      <c r="D4" s="3" t="s">
        <v>46</v>
      </c>
      <c r="E4" s="3">
        <v>40</v>
      </c>
      <c r="F4" s="3"/>
      <c r="G4" s="3"/>
      <c r="H4" s="3" t="str">
        <f>IF(任务表[[#This Row],[碎片数量]],任务表[[#This Row],[碎片数量]]/任务表[[#This Row],[周期/天]],"")</f>
        <v/>
      </c>
      <c r="I4" s="3"/>
      <c r="J4" s="3"/>
      <c r="K4" s="3" t="str">
        <f>IF(任务表[[#This Row],[礼包数量]],任务表[[#This Row],[礼包数量]]/任务表[[#This Row],[周期/天]],"")</f>
        <v/>
      </c>
      <c r="L4" s="3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40</v>
      </c>
      <c r="M4" s="4">
        <v>1</v>
      </c>
      <c r="N4" s="27">
        <v>1</v>
      </c>
      <c r="O4" s="5">
        <f>IF(任务表[[#This Row],[周期/天]],任务表[[#This Row],[总价值]]/任务表[[#This Row],[周期/天]]*任务表[[#This Row],[完成概率]],"")</f>
        <v>40</v>
      </c>
      <c r="P4" s="8" t="s">
        <v>124</v>
      </c>
      <c r="Q4" s="6" t="s">
        <v>57</v>
      </c>
      <c r="R4" t="s">
        <v>11</v>
      </c>
      <c r="U4" t="s">
        <v>20</v>
      </c>
    </row>
    <row r="5" spans="1:22" x14ac:dyDescent="0.3">
      <c r="A5" s="8">
        <f t="shared" si="0"/>
        <v>4</v>
      </c>
      <c r="B5" s="3" t="s">
        <v>15</v>
      </c>
      <c r="C5" s="3" t="s">
        <v>16</v>
      </c>
      <c r="D5" s="3" t="s">
        <v>46</v>
      </c>
      <c r="E5" s="3">
        <v>85</v>
      </c>
      <c r="F5" s="3"/>
      <c r="G5" s="3"/>
      <c r="H5" s="3" t="str">
        <f>IF(任务表[[#This Row],[碎片数量]],任务表[[#This Row],[碎片数量]]/任务表[[#This Row],[周期/天]],"")</f>
        <v/>
      </c>
      <c r="I5" s="3"/>
      <c r="J5" s="3"/>
      <c r="K5" s="3" t="str">
        <f>IF(任务表[[#This Row],[礼包数量]],任务表[[#This Row],[礼包数量]]/任务表[[#This Row],[周期/天]],"")</f>
        <v/>
      </c>
      <c r="L5" s="3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85</v>
      </c>
      <c r="M5" s="4">
        <v>1</v>
      </c>
      <c r="N5" s="27">
        <v>0.96666666666666667</v>
      </c>
      <c r="O5" s="5">
        <f>IF(任务表[[#This Row],[周期/天]],任务表[[#This Row],[总价值]]/任务表[[#This Row],[周期/天]]*任务表[[#This Row],[完成概率]],"")</f>
        <v>82.166666666666671</v>
      </c>
      <c r="P5" s="8" t="s">
        <v>124</v>
      </c>
      <c r="Q5" s="7" t="s">
        <v>103</v>
      </c>
      <c r="R5" s="11">
        <v>22.633333333333333</v>
      </c>
      <c r="U5" s="12">
        <f>SUM(任务表[期望/天])*30/U2</f>
        <v>856.95357142857154</v>
      </c>
    </row>
    <row r="6" spans="1:22" x14ac:dyDescent="0.3">
      <c r="A6" s="3">
        <f t="shared" si="0"/>
        <v>5</v>
      </c>
      <c r="B6" s="8" t="s">
        <v>49</v>
      </c>
      <c r="C6" s="8" t="s">
        <v>122</v>
      </c>
      <c r="D6" s="8" t="s">
        <v>54</v>
      </c>
      <c r="E6" s="8">
        <v>200</v>
      </c>
      <c r="F6" s="8" t="s">
        <v>81</v>
      </c>
      <c r="G6" s="8">
        <v>1</v>
      </c>
      <c r="H6" s="8">
        <f>IF(任务表[[#This Row],[碎片数量]],任务表[[#This Row],[碎片数量]]/任务表[[#This Row],[周期/天]],"")</f>
        <v>6.6666666666666666E-2</v>
      </c>
      <c r="K6" s="8" t="str">
        <f>IF(任务表[[#This Row],[礼包数量]],任务表[[#This Row],[礼包数量]]/任务表[[#This Row],[周期/天]],"")</f>
        <v/>
      </c>
      <c r="L6" s="8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209.5</v>
      </c>
      <c r="M6" s="8">
        <v>15</v>
      </c>
      <c r="N6" s="28">
        <v>0.75</v>
      </c>
      <c r="O6" s="19">
        <f>IF(任务表[[#This Row],[周期/天]],任务表[[#This Row],[总价值]]/任务表[[#This Row],[周期/天]]*任务表[[#This Row],[完成概率]],"")</f>
        <v>10.475</v>
      </c>
      <c r="P6" s="8" t="s">
        <v>124</v>
      </c>
      <c r="Q6" s="7" t="s">
        <v>55</v>
      </c>
      <c r="R6" s="11">
        <v>11.761904761904761</v>
      </c>
      <c r="T6" s="1"/>
      <c r="U6" s="1"/>
    </row>
    <row r="7" spans="1:22" x14ac:dyDescent="0.3">
      <c r="A7" s="3">
        <f t="shared" si="0"/>
        <v>6</v>
      </c>
      <c r="B7" s="8" t="s">
        <v>106</v>
      </c>
      <c r="C7" s="8" t="s">
        <v>102</v>
      </c>
      <c r="D7" s="8" t="s">
        <v>104</v>
      </c>
      <c r="E7" s="8">
        <v>100</v>
      </c>
      <c r="F7" s="8" t="s">
        <v>81</v>
      </c>
      <c r="G7" s="8">
        <v>1</v>
      </c>
      <c r="H7" s="8">
        <f>IF(任务表[[#This Row],[碎片数量]],任务表[[#This Row],[碎片数量]]/任务表[[#This Row],[周期/天]],"")</f>
        <v>6.6666666666666666E-2</v>
      </c>
      <c r="I7" s="8" t="s">
        <v>71</v>
      </c>
      <c r="J7" s="8">
        <v>1</v>
      </c>
      <c r="K7" s="8">
        <f>IF(任务表[[#This Row],[礼包数量]],任务表[[#This Row],[礼包数量]]/任务表[[#This Row],[周期/天]],"")</f>
        <v>6.6666666666666666E-2</v>
      </c>
      <c r="L7" s="8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189.5</v>
      </c>
      <c r="M7" s="8">
        <v>15</v>
      </c>
      <c r="N7" s="28">
        <v>1</v>
      </c>
      <c r="O7" s="19">
        <f>IF(任务表[[#This Row],[周期/天]],任务表[[#This Row],[总价值]]/任务表[[#This Row],[周期/天]]*任务表[[#This Row],[完成概率]],"")</f>
        <v>12.633333333333333</v>
      </c>
      <c r="P7" s="8" t="s">
        <v>124</v>
      </c>
      <c r="Q7" s="7" t="s">
        <v>54</v>
      </c>
      <c r="R7" s="11">
        <v>39.874999999999993</v>
      </c>
    </row>
    <row r="8" spans="1:22" x14ac:dyDescent="0.3">
      <c r="A8" s="3">
        <f t="shared" si="0"/>
        <v>7</v>
      </c>
      <c r="B8" s="8" t="s">
        <v>106</v>
      </c>
      <c r="C8" s="8" t="s">
        <v>101</v>
      </c>
      <c r="D8" s="8" t="s">
        <v>104</v>
      </c>
      <c r="E8" s="8">
        <v>20</v>
      </c>
      <c r="H8" s="8" t="str">
        <f>IF(任务表[[#This Row],[碎片数量]],任务表[[#This Row],[碎片数量]]/任务表[[#This Row],[周期/天]],"")</f>
        <v/>
      </c>
      <c r="K8" s="8" t="str">
        <f>IF(任务表[[#This Row],[礼包数量]],任务表[[#This Row],[礼包数量]]/任务表[[#This Row],[周期/天]],"")</f>
        <v/>
      </c>
      <c r="L8" s="8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20</v>
      </c>
      <c r="M8" s="8">
        <v>2</v>
      </c>
      <c r="N8" s="28">
        <v>1</v>
      </c>
      <c r="O8" s="19">
        <f>IF(任务表[[#This Row],[周期/天]],任务表[[#This Row],[总价值]]/任务表[[#This Row],[周期/天]]*任务表[[#This Row],[完成概率]],"")</f>
        <v>10</v>
      </c>
      <c r="P8" s="8" t="s">
        <v>124</v>
      </c>
      <c r="Q8" s="7" t="s">
        <v>45</v>
      </c>
      <c r="R8" s="11">
        <v>122.16666666666667</v>
      </c>
    </row>
    <row r="9" spans="1:22" x14ac:dyDescent="0.3">
      <c r="A9" s="3">
        <f t="shared" si="0"/>
        <v>8</v>
      </c>
      <c r="B9" s="25" t="s">
        <v>19</v>
      </c>
      <c r="C9" s="25" t="s">
        <v>130</v>
      </c>
      <c r="D9" s="8" t="s">
        <v>56</v>
      </c>
      <c r="E9" s="8">
        <v>5</v>
      </c>
      <c r="H9" s="8" t="str">
        <f>IF(任务表[[#This Row],[碎片数量]],任务表[[#This Row],[碎片数量]]/任务表[[#This Row],[周期/天]],"")</f>
        <v/>
      </c>
      <c r="K9" s="8" t="str">
        <f>IF(任务表[[#This Row],[礼包数量]],任务表[[#This Row],[礼包数量]]/任务表[[#This Row],[周期/天]],"")</f>
        <v/>
      </c>
      <c r="L9" s="25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5</v>
      </c>
      <c r="M9" s="25">
        <v>1</v>
      </c>
      <c r="N9" s="29">
        <v>1</v>
      </c>
      <c r="O9" s="26">
        <f>IF(任务表[[#This Row],[周期/天]],任务表[[#This Row],[总价值]]/任务表[[#This Row],[周期/天]]*任务表[[#This Row],[完成概率]],"")</f>
        <v>5</v>
      </c>
      <c r="P9" s="8" t="s">
        <v>124</v>
      </c>
      <c r="Q9" s="7" t="s">
        <v>42</v>
      </c>
      <c r="R9" s="11">
        <v>4.2142857142857144</v>
      </c>
    </row>
    <row r="10" spans="1:22" x14ac:dyDescent="0.3">
      <c r="A10" s="3">
        <f t="shared" si="0"/>
        <v>9</v>
      </c>
      <c r="B10" s="25" t="s">
        <v>19</v>
      </c>
      <c r="C10" s="8" t="s">
        <v>132</v>
      </c>
      <c r="D10" s="8" t="s">
        <v>56</v>
      </c>
      <c r="E10" s="8">
        <v>10</v>
      </c>
      <c r="H10" s="8" t="str">
        <f>IF(任务表[[#This Row],[碎片数量]],任务表[[#This Row],[碎片数量]]/任务表[[#This Row],[周期/天]],"")</f>
        <v/>
      </c>
      <c r="K10" s="8" t="str">
        <f>IF(任务表[[#This Row],[礼包数量]],任务表[[#This Row],[礼包数量]]/任务表[[#This Row],[周期/天]],"")</f>
        <v/>
      </c>
      <c r="L10" s="8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10</v>
      </c>
      <c r="M10" s="8">
        <v>30</v>
      </c>
      <c r="N10" s="28">
        <v>1</v>
      </c>
      <c r="O10" s="19">
        <f>IF(任务表[[#This Row],[周期/天]],任务表[[#This Row],[总价值]]/任务表[[#This Row],[周期/天]]*任务表[[#This Row],[完成概率]],"")</f>
        <v>0.33333333333333331</v>
      </c>
      <c r="P10" s="8" t="s">
        <v>124</v>
      </c>
      <c r="Q10" s="7" t="s">
        <v>43</v>
      </c>
      <c r="R10" s="11">
        <v>90</v>
      </c>
    </row>
    <row r="11" spans="1:22" x14ac:dyDescent="0.3">
      <c r="A11" s="8">
        <f t="shared" si="0"/>
        <v>10</v>
      </c>
      <c r="B11" s="3" t="s">
        <v>51</v>
      </c>
      <c r="C11" s="8" t="s">
        <v>141</v>
      </c>
      <c r="D11" s="3" t="s">
        <v>12</v>
      </c>
      <c r="E11" s="3">
        <v>20</v>
      </c>
      <c r="F11" s="8" t="s">
        <v>81</v>
      </c>
      <c r="G11" s="8">
        <v>1</v>
      </c>
      <c r="H11" s="3">
        <f>IF(任务表[[#This Row],[碎片数量]],任务表[[#This Row],[碎片数量]]/任务表[[#This Row],[周期/天]],"")</f>
        <v>0.14285714285714285</v>
      </c>
      <c r="I11" s="3"/>
      <c r="J11" s="3"/>
      <c r="K11" s="3" t="str">
        <f>IF(任务表[[#This Row],[礼包数量]],任务表[[#This Row],[礼包数量]]/任务表[[#This Row],[周期/天]],"")</f>
        <v/>
      </c>
      <c r="L11" s="3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29.5</v>
      </c>
      <c r="M11" s="4">
        <v>7</v>
      </c>
      <c r="N11" s="27">
        <v>1</v>
      </c>
      <c r="O11" s="5">
        <f>IF(任务表[[#This Row],[周期/天]],任务表[[#This Row],[总价值]]/任务表[[#This Row],[周期/天]]*任务表[[#This Row],[完成概率]],"")</f>
        <v>4.2142857142857144</v>
      </c>
      <c r="P11" s="8" t="s">
        <v>124</v>
      </c>
      <c r="Q11" s="7" t="s">
        <v>6</v>
      </c>
      <c r="R11" s="11">
        <v>290.65119047619049</v>
      </c>
    </row>
    <row r="12" spans="1:22" x14ac:dyDescent="0.3">
      <c r="A12" s="8">
        <f t="shared" si="0"/>
        <v>11</v>
      </c>
      <c r="B12" s="25" t="s">
        <v>19</v>
      </c>
      <c r="C12" s="8" t="s">
        <v>133</v>
      </c>
      <c r="D12" s="8" t="s">
        <v>56</v>
      </c>
      <c r="E12" s="8">
        <v>10</v>
      </c>
      <c r="H12" s="8" t="str">
        <f>IF(任务表[[#This Row],[碎片数量]],任务表[[#This Row],[碎片数量]]/任务表[[#This Row],[周期/天]],"")</f>
        <v/>
      </c>
      <c r="K12" s="8" t="str">
        <f>IF(任务表[[#This Row],[礼包数量]],任务表[[#This Row],[礼包数量]]/任务表[[#This Row],[周期/天]],"")</f>
        <v/>
      </c>
      <c r="L12" s="8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10</v>
      </c>
      <c r="M12" s="8">
        <v>7</v>
      </c>
      <c r="N12" s="28">
        <v>1</v>
      </c>
      <c r="O12" s="19">
        <f>IF(任务表[[#This Row],[周期/天]],任务表[[#This Row],[总价值]]/任务表[[#This Row],[周期/天]]*任务表[[#This Row],[完成概率]],"")</f>
        <v>1.4285714285714286</v>
      </c>
      <c r="P12" s="8" t="s">
        <v>124</v>
      </c>
    </row>
    <row r="13" spans="1:22" x14ac:dyDescent="0.3">
      <c r="A13" s="8">
        <f t="shared" si="0"/>
        <v>12</v>
      </c>
      <c r="B13" s="8" t="s">
        <v>47</v>
      </c>
      <c r="C13" s="8" t="s">
        <v>131</v>
      </c>
      <c r="D13" s="8" t="s">
        <v>54</v>
      </c>
      <c r="E13" s="8">
        <v>200</v>
      </c>
      <c r="H13" s="31" t="str">
        <f>IF(任务表[[#This Row],[碎片数量]],任务表[[#This Row],[碎片数量]]/任务表[[#This Row],[周期/天]],"")</f>
        <v/>
      </c>
      <c r="I13" s="8" t="s">
        <v>71</v>
      </c>
      <c r="J13" s="8">
        <v>3</v>
      </c>
      <c r="K13" s="31">
        <f>IF(任务表[[#This Row],[礼包数量]],任务表[[#This Row],[礼包数量]]/任务表[[#This Row],[周期/天]],"")</f>
        <v>3</v>
      </c>
      <c r="L13" s="31">
        <f>任务表[[#This Row],[金币]]+IFERROR((VLOOKUP(任务表[[#This Row],[碎片]],碎片表[[#All],[名称]:[价值]],4,FALSE)*任务表[[#This Row],[碎片数量]]),0)+IFERROR((VLOOKUP(任务表[[#This Row],[礼包]],宝箱表[[#All],[名称]:[价值]],9,FALSE)*任务表[[#This Row],[礼包数量]]),0)</f>
        <v>440</v>
      </c>
      <c r="M13" s="8">
        <v>1</v>
      </c>
      <c r="N13" s="28">
        <v>0.01</v>
      </c>
      <c r="O13" s="32">
        <f>IF(任务表[[#This Row],[周期/天]],任务表[[#This Row],[总价值]]/任务表[[#This Row],[周期/天]]*任务表[[#This Row],[完成概率]],"")</f>
        <v>4.4000000000000004</v>
      </c>
      <c r="P13" s="8" t="s">
        <v>124</v>
      </c>
    </row>
    <row r="14" spans="1:22" x14ac:dyDescent="0.3">
      <c r="H14" s="31"/>
      <c r="K14" s="31"/>
      <c r="L14" s="31"/>
      <c r="M14" s="8"/>
      <c r="N14" s="28"/>
      <c r="O14" s="32"/>
      <c r="P14" s="8"/>
    </row>
    <row r="15" spans="1:22" x14ac:dyDescent="0.3">
      <c r="L15" s="8"/>
      <c r="M15" s="8"/>
      <c r="N15" s="28"/>
      <c r="O15" s="19"/>
      <c r="P15" s="8"/>
      <c r="Q15" s="6" t="s">
        <v>9</v>
      </c>
      <c r="R15" t="s">
        <v>11</v>
      </c>
    </row>
    <row r="16" spans="1:2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27"/>
      <c r="O16" s="5"/>
      <c r="P16" s="8"/>
      <c r="Q16" s="10" t="s">
        <v>14</v>
      </c>
      <c r="R16" s="11">
        <v>212.16666666666669</v>
      </c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27"/>
      <c r="O17" s="5"/>
      <c r="P17" s="8"/>
      <c r="Q17" s="9" t="s">
        <v>19</v>
      </c>
      <c r="R17" s="11">
        <v>6.7619047619047619</v>
      </c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27"/>
      <c r="O18" s="5"/>
      <c r="P18" s="8"/>
      <c r="Q18" s="9" t="s">
        <v>48</v>
      </c>
      <c r="R18" s="11">
        <v>10.475</v>
      </c>
    </row>
    <row r="19" spans="1:18" x14ac:dyDescent="0.3">
      <c r="L19" s="8"/>
      <c r="M19" s="8"/>
      <c r="N19" s="28"/>
      <c r="O19" s="19"/>
      <c r="P19" s="8"/>
      <c r="Q19" s="9" t="s">
        <v>47</v>
      </c>
      <c r="R19" s="11">
        <v>29.4</v>
      </c>
    </row>
    <row r="20" spans="1:18" x14ac:dyDescent="0.3">
      <c r="L20" s="8"/>
      <c r="M20" s="8"/>
      <c r="N20" s="28"/>
      <c r="O20" s="19"/>
      <c r="P20" s="8"/>
      <c r="Q20" s="9" t="s">
        <v>50</v>
      </c>
      <c r="R20" s="11">
        <v>4.2142857142857144</v>
      </c>
    </row>
    <row r="21" spans="1:18" x14ac:dyDescent="0.3">
      <c r="A21" s="25"/>
      <c r="B21" s="25"/>
      <c r="D21" s="25"/>
      <c r="L21" s="25"/>
      <c r="M21" s="25"/>
      <c r="N21" s="29"/>
      <c r="O21" s="26"/>
      <c r="P21" s="8"/>
      <c r="Q21" s="9" t="s">
        <v>105</v>
      </c>
      <c r="R21" s="11">
        <v>22.633333333333333</v>
      </c>
    </row>
    <row r="22" spans="1:18" x14ac:dyDescent="0.3">
      <c r="L22" s="8"/>
      <c r="M22" s="8"/>
      <c r="N22" s="28"/>
      <c r="O22" s="19"/>
      <c r="P22" s="8"/>
      <c r="Q22" s="9" t="s">
        <v>135</v>
      </c>
      <c r="R22" s="11">
        <v>5</v>
      </c>
    </row>
    <row r="23" spans="1:18" x14ac:dyDescent="0.3">
      <c r="L23" s="8"/>
      <c r="M23" s="8"/>
      <c r="N23" s="28"/>
      <c r="O23" s="19"/>
      <c r="P23" s="8"/>
      <c r="Q23" s="7" t="s">
        <v>6</v>
      </c>
      <c r="R23" s="11">
        <v>290.65119047619049</v>
      </c>
    </row>
    <row r="24" spans="1:18" x14ac:dyDescent="0.3">
      <c r="L24" s="8"/>
      <c r="M24" s="8"/>
      <c r="N24" s="28"/>
      <c r="O24" s="19"/>
      <c r="P24" s="8"/>
    </row>
    <row r="25" spans="1:18" x14ac:dyDescent="0.3">
      <c r="L25" s="8"/>
      <c r="M25" s="8"/>
      <c r="N25" s="28"/>
      <c r="O25" s="19"/>
      <c r="P25" s="8"/>
    </row>
    <row r="26" spans="1:18" x14ac:dyDescent="0.3">
      <c r="L26" s="8"/>
      <c r="M26" s="8"/>
      <c r="N26" s="28"/>
      <c r="O26" s="5"/>
      <c r="P26" s="8"/>
    </row>
    <row r="27" spans="1:18" x14ac:dyDescent="0.3">
      <c r="L27" s="8"/>
      <c r="M27" s="8"/>
      <c r="N27" s="28"/>
      <c r="O27" s="5"/>
      <c r="P27" s="8"/>
    </row>
    <row r="28" spans="1:18" x14ac:dyDescent="0.3">
      <c r="L28" s="8"/>
      <c r="M28" s="8"/>
      <c r="N28" s="28"/>
      <c r="O28" s="19"/>
      <c r="P28" s="8"/>
    </row>
    <row r="29" spans="1:18" x14ac:dyDescent="0.3">
      <c r="A29" s="25"/>
      <c r="B29" s="25"/>
      <c r="C29" s="25"/>
      <c r="L29" s="25"/>
      <c r="M29" s="25"/>
      <c r="N29" s="29"/>
      <c r="O29" s="26"/>
      <c r="P29" s="8"/>
    </row>
    <row r="30" spans="1:18" x14ac:dyDescent="0.3">
      <c r="L30" s="8"/>
      <c r="M30" s="8"/>
      <c r="N30" s="28"/>
      <c r="O30" s="5"/>
      <c r="P30" s="8"/>
    </row>
    <row r="31" spans="1:18" x14ac:dyDescent="0.3">
      <c r="L31" s="8"/>
      <c r="M31" s="8"/>
      <c r="N31" s="28"/>
      <c r="O31" s="19"/>
      <c r="P31" s="8"/>
    </row>
    <row r="32" spans="1:18" x14ac:dyDescent="0.3">
      <c r="B32" s="25"/>
      <c r="L32" s="8"/>
      <c r="M32" s="8"/>
      <c r="N32" s="28"/>
      <c r="O32" s="19"/>
      <c r="P32" s="8"/>
    </row>
    <row r="33" spans="1:16" x14ac:dyDescent="0.3">
      <c r="L33" s="8"/>
      <c r="M33" s="8"/>
      <c r="N33" s="28"/>
      <c r="O33" s="19"/>
      <c r="P33" s="8"/>
    </row>
    <row r="34" spans="1:16" x14ac:dyDescent="0.3">
      <c r="B34" s="25"/>
      <c r="L34" s="8"/>
      <c r="M34" s="8"/>
      <c r="N34" s="28"/>
      <c r="O34" s="19"/>
      <c r="P34" s="8"/>
    </row>
    <row r="35" spans="1:16" x14ac:dyDescent="0.3">
      <c r="L35" s="8"/>
      <c r="M35" s="8"/>
      <c r="N35" s="28"/>
      <c r="O35" s="19"/>
      <c r="P35" s="8"/>
    </row>
    <row r="36" spans="1:16" x14ac:dyDescent="0.3">
      <c r="L36" s="8"/>
      <c r="M36" s="8"/>
      <c r="N36" s="28"/>
      <c r="O36" s="19"/>
      <c r="P36" s="8"/>
    </row>
    <row r="37" spans="1:1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27"/>
      <c r="O37" s="5"/>
      <c r="P37" s="8"/>
    </row>
    <row r="38" spans="1:16" x14ac:dyDescent="0.3">
      <c r="L38" s="8"/>
      <c r="M38" s="8"/>
      <c r="N38" s="28"/>
      <c r="O38" s="19"/>
      <c r="P38" s="8"/>
    </row>
    <row r="39" spans="1:16" x14ac:dyDescent="0.3">
      <c r="L39" s="8"/>
      <c r="M39" s="8"/>
      <c r="N39" s="28"/>
      <c r="O39" s="19"/>
      <c r="P39" s="8"/>
    </row>
  </sheetData>
  <phoneticPr fontId="2" type="noConversion"/>
  <pageMargins left="0.7" right="0.7" top="0.75" bottom="0.75" header="0.3" footer="0.3"/>
  <pageSetup paperSize="9"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4665-9963-4A18-A5F3-409DC4C9AFC6}">
  <sheetPr codeName="Sheet3"/>
  <dimension ref="A1:R10"/>
  <sheetViews>
    <sheetView zoomScale="115" zoomScaleNormal="115" workbookViewId="0">
      <selection activeCell="N17" sqref="N17"/>
    </sheetView>
  </sheetViews>
  <sheetFormatPr defaultRowHeight="14" x14ac:dyDescent="0.3"/>
  <cols>
    <col min="1" max="1" width="15.33203125" customWidth="1"/>
    <col min="9" max="9" width="11" bestFit="1" customWidth="1"/>
    <col min="10" max="10" width="9" bestFit="1" customWidth="1"/>
    <col min="11" max="11" width="11" bestFit="1" customWidth="1"/>
    <col min="12" max="12" width="15.25" customWidth="1"/>
    <col min="13" max="14" width="19.75" customWidth="1"/>
    <col min="15" max="15" width="10.58203125" bestFit="1" customWidth="1"/>
    <col min="16" max="16" width="8.5" bestFit="1" customWidth="1"/>
    <col min="17" max="17" width="6.6640625" bestFit="1" customWidth="1"/>
    <col min="18" max="18" width="19.5" bestFit="1" customWidth="1"/>
  </cols>
  <sheetData>
    <row r="1" spans="1:18" x14ac:dyDescent="0.3">
      <c r="A1" t="s">
        <v>58</v>
      </c>
      <c r="B1" t="s">
        <v>59</v>
      </c>
      <c r="C1" t="s">
        <v>82</v>
      </c>
      <c r="D1" t="s">
        <v>83</v>
      </c>
      <c r="E1" t="s">
        <v>86</v>
      </c>
      <c r="F1" t="s">
        <v>62</v>
      </c>
      <c r="G1" t="s">
        <v>87</v>
      </c>
      <c r="H1" t="s">
        <v>63</v>
      </c>
      <c r="I1" t="s">
        <v>64</v>
      </c>
      <c r="J1" t="s">
        <v>90</v>
      </c>
      <c r="K1" t="s">
        <v>98</v>
      </c>
      <c r="L1" t="s">
        <v>99</v>
      </c>
      <c r="M1" t="s">
        <v>107</v>
      </c>
      <c r="N1" t="s">
        <v>116</v>
      </c>
      <c r="O1" t="s">
        <v>100</v>
      </c>
    </row>
    <row r="2" spans="1:18" x14ac:dyDescent="0.3">
      <c r="A2" t="s">
        <v>71</v>
      </c>
      <c r="B2" t="s">
        <v>60</v>
      </c>
      <c r="C2">
        <v>100</v>
      </c>
      <c r="H2" s="15">
        <v>0.8</v>
      </c>
      <c r="I2">
        <f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f>
        <v>80</v>
      </c>
      <c r="J2">
        <f>宝箱表[[#This Row],[可购买个数]]+宝箱表[[#This Row],[任务获得个数]]</f>
        <v>92</v>
      </c>
      <c r="L2">
        <f>SUMIF(任务表[[#All],[礼包]],宝箱表[[#This Row],[名称]],任务表[[#All],[礼包期望/天]])*30</f>
        <v>92</v>
      </c>
      <c r="M2">
        <f>宝箱表[[#This Row],[可购买个数]]*(SUMIF(宝箱表[[#All],[名称]],宝箱表[[#This Row],[名称]],宝箱表[[#All],[价值]])-VLOOKUP(宝箱表[[#This Row],[名称]],物品表[[#All],[物品名称]:[价格]],3,FALSE))</f>
        <v>0</v>
      </c>
      <c r="N2" t="s">
        <v>124</v>
      </c>
      <c r="O2">
        <f>SUM(R:R)</f>
        <v>654.77500000000009</v>
      </c>
    </row>
    <row r="3" spans="1:18" x14ac:dyDescent="0.3">
      <c r="A3" t="s">
        <v>71</v>
      </c>
      <c r="B3" t="s">
        <v>60</v>
      </c>
      <c r="C3">
        <v>1000</v>
      </c>
      <c r="H3" s="15">
        <v>0.02</v>
      </c>
      <c r="I3">
        <f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f>
        <v>20</v>
      </c>
      <c r="J3">
        <f>宝箱表[[#This Row],[可购买个数]]+宝箱表[[#This Row],[任务获得个数]]</f>
        <v>92</v>
      </c>
      <c r="L3">
        <f>SUMIF(任务表[[#All],[礼包]],宝箱表[[#This Row],[名称]],任务表[[#All],[礼包期望/天]])*30</f>
        <v>92</v>
      </c>
      <c r="M3">
        <f>宝箱表[[#This Row],[可购买个数]]*(SUMIF(宝箱表[[#All],[名称]],宝箱表[[#This Row],[名称]],宝箱表[[#All],[价值]])-VLOOKUP(宝箱表[[#This Row],[名称]],物品表[[#All],[物品名称]:[价格]],3,FALSE))</f>
        <v>0</v>
      </c>
      <c r="N3" t="s">
        <v>123</v>
      </c>
      <c r="O3" s="6" t="s">
        <v>73</v>
      </c>
      <c r="P3" t="s">
        <v>72</v>
      </c>
      <c r="Q3" t="s">
        <v>92</v>
      </c>
      <c r="R3" t="s">
        <v>108</v>
      </c>
    </row>
    <row r="4" spans="1:18" x14ac:dyDescent="0.3">
      <c r="A4" t="s">
        <v>71</v>
      </c>
      <c r="B4" t="s">
        <v>60</v>
      </c>
      <c r="C4">
        <v>500</v>
      </c>
      <c r="H4" s="15">
        <v>0.08</v>
      </c>
      <c r="I4">
        <f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f>
        <v>40</v>
      </c>
      <c r="J4">
        <f>宝箱表[[#This Row],[可购买个数]]+宝箱表[[#This Row],[任务获得个数]]</f>
        <v>92</v>
      </c>
      <c r="L4">
        <f>SUMIF(任务表[[#All],[礼包]],宝箱表[[#This Row],[名称]],任务表[[#All],[礼包期望/天]])*30</f>
        <v>92</v>
      </c>
      <c r="M4">
        <f>宝箱表[[#This Row],[可购买个数]]*(SUMIF(宝箱表[[#All],[名称]],宝箱表[[#This Row],[名称]],宝箱表[[#All],[价值]])-VLOOKUP(宝箱表[[#This Row],[名称]],物品表[[#All],[物品名称]:[价格]],3,FALSE))</f>
        <v>0</v>
      </c>
      <c r="N4" t="s">
        <v>123</v>
      </c>
      <c r="O4" s="14" t="s">
        <v>70</v>
      </c>
      <c r="P4" s="34">
        <v>165</v>
      </c>
      <c r="Q4" s="34">
        <v>92</v>
      </c>
      <c r="R4" s="34">
        <v>0</v>
      </c>
    </row>
    <row r="5" spans="1:18" x14ac:dyDescent="0.3">
      <c r="A5" t="s">
        <v>71</v>
      </c>
      <c r="B5" t="s">
        <v>60</v>
      </c>
      <c r="C5">
        <v>250</v>
      </c>
      <c r="H5" s="15">
        <v>0.1</v>
      </c>
      <c r="I5">
        <f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f>
        <v>25</v>
      </c>
      <c r="J5">
        <f>宝箱表[[#This Row],[可购买个数]]+宝箱表[[#This Row],[任务获得个数]]</f>
        <v>92</v>
      </c>
      <c r="L5">
        <f>SUMIF(任务表[[#All],[礼包]],宝箱表[[#This Row],[名称]],任务表[[#All],[礼包期望/天]])*30</f>
        <v>92</v>
      </c>
      <c r="M5">
        <f>宝箱表[[#This Row],[可购买个数]]*(SUMIF(宝箱表[[#All],[名称]],宝箱表[[#This Row],[名称]],宝箱表[[#All],[价值]])-VLOOKUP(宝箱表[[#This Row],[名称]],物品表[[#All],[物品名称]:[价格]],3,FALSE))</f>
        <v>0</v>
      </c>
      <c r="N5" t="s">
        <v>123</v>
      </c>
      <c r="O5" s="14" t="s">
        <v>74</v>
      </c>
      <c r="P5" s="34">
        <v>19.175000000000001</v>
      </c>
      <c r="Q5" s="34">
        <v>30</v>
      </c>
      <c r="R5" s="34">
        <v>275.25</v>
      </c>
    </row>
    <row r="6" spans="1:18" x14ac:dyDescent="0.3">
      <c r="A6" t="s">
        <v>75</v>
      </c>
      <c r="B6" t="s">
        <v>61</v>
      </c>
      <c r="D6" t="s">
        <v>80</v>
      </c>
      <c r="E6">
        <v>1</v>
      </c>
      <c r="H6" s="15">
        <v>1</v>
      </c>
      <c r="I6">
        <f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f>
        <v>9.5</v>
      </c>
      <c r="J6">
        <f>宝箱表[[#This Row],[可购买个数]]+宝箱表[[#This Row],[任务获得个数]]</f>
        <v>30</v>
      </c>
      <c r="K6">
        <v>30</v>
      </c>
      <c r="L6">
        <f>SUMIF(任务表[[#All],[礼包]],宝箱表[[#This Row],[名称]],任务表[[#All],[礼包期望/天]])*30</f>
        <v>0</v>
      </c>
      <c r="M6">
        <f>宝箱表[[#This Row],[可购买个数]]*(SUMIF(宝箱表[[#All],[名称]],宝箱表[[#This Row],[名称]],宝箱表[[#All],[价值]])-VLOOKUP(宝箱表[[#This Row],[名称]],物品表[[#All],[物品名称]:[价格]],3,FALSE))</f>
        <v>275.25</v>
      </c>
      <c r="N6" t="s">
        <v>123</v>
      </c>
      <c r="O6" s="14" t="s">
        <v>76</v>
      </c>
      <c r="P6" s="34">
        <v>181.50000000000003</v>
      </c>
      <c r="Q6" s="34">
        <v>4.3499999999999996</v>
      </c>
      <c r="R6" s="34">
        <v>137.02500000000012</v>
      </c>
    </row>
    <row r="7" spans="1:18" x14ac:dyDescent="0.3">
      <c r="A7" t="s">
        <v>75</v>
      </c>
      <c r="B7" t="s">
        <v>61</v>
      </c>
      <c r="F7" t="s">
        <v>71</v>
      </c>
      <c r="G7">
        <v>1</v>
      </c>
      <c r="H7" s="15">
        <v>0.05</v>
      </c>
      <c r="I7">
        <f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f>
        <v>8.25</v>
      </c>
      <c r="J7">
        <f>宝箱表[[#This Row],[可购买个数]]+宝箱表[[#This Row],[任务获得个数]]</f>
        <v>30</v>
      </c>
      <c r="K7">
        <v>30</v>
      </c>
      <c r="L7">
        <f>SUMIF(任务表[[#All],[礼包]],宝箱表[[#This Row],[名称]],任务表[[#All],[礼包期望/天]])*30</f>
        <v>0</v>
      </c>
      <c r="M7">
        <f>宝箱表[[#This Row],[可购买个数]]*(SUMIF(宝箱表[[#All],[名称]],宝箱表[[#This Row],[名称]],宝箱表[[#All],[价值]])-VLOOKUP(宝箱表[[#This Row],[名称]],物品表[[#All],[物品名称]:[价格]],3,FALSE))</f>
        <v>275.25</v>
      </c>
      <c r="N7" t="s">
        <v>123</v>
      </c>
      <c r="O7" s="14" t="s">
        <v>78</v>
      </c>
      <c r="P7" s="34">
        <v>742.5</v>
      </c>
      <c r="Q7" s="34">
        <v>1</v>
      </c>
      <c r="R7" s="34">
        <v>242.5</v>
      </c>
    </row>
    <row r="8" spans="1:18" x14ac:dyDescent="0.3">
      <c r="A8" t="s">
        <v>74</v>
      </c>
      <c r="B8" t="s">
        <v>61</v>
      </c>
      <c r="D8" t="s">
        <v>129</v>
      </c>
      <c r="E8">
        <v>1</v>
      </c>
      <c r="H8" s="15">
        <v>0.95</v>
      </c>
      <c r="I8">
        <f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f>
        <v>1.4249999999999998</v>
      </c>
      <c r="J8">
        <f>宝箱表[[#This Row],[可购买个数]]+宝箱表[[#This Row],[任务获得个数]]</f>
        <v>30</v>
      </c>
      <c r="K8">
        <v>30</v>
      </c>
      <c r="L8">
        <f>SUMIF(任务表[[#All],[礼包]],宝箱表[[#This Row],[名称]],任务表[[#All],[礼包期望/天]])*30</f>
        <v>0</v>
      </c>
      <c r="M8">
        <f>宝箱表[[#This Row],[可购买个数]]*(SUMIF(宝箱表[[#All],[名称]],宝箱表[[#This Row],[名称]],宝箱表[[#All],[价值]])-VLOOKUP(宝箱表[[#This Row],[名称]],物品表[[#All],[物品名称]:[价格]],3,FALSE))</f>
        <v>275.25</v>
      </c>
      <c r="N8" t="s">
        <v>123</v>
      </c>
      <c r="O8" s="14"/>
      <c r="P8" s="14"/>
      <c r="Q8" s="14"/>
      <c r="R8" s="14"/>
    </row>
    <row r="9" spans="1:18" x14ac:dyDescent="0.3">
      <c r="A9" t="s">
        <v>77</v>
      </c>
      <c r="B9" t="s">
        <v>61</v>
      </c>
      <c r="F9" t="s">
        <v>71</v>
      </c>
      <c r="G9">
        <v>1.1000000000000001</v>
      </c>
      <c r="H9" s="15">
        <v>1</v>
      </c>
      <c r="I9">
        <f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f>
        <v>181.50000000000003</v>
      </c>
      <c r="J9">
        <f>宝箱表[[#This Row],[可购买个数]]+宝箱表[[#This Row],[任务获得个数]]</f>
        <v>4.3499999999999996</v>
      </c>
      <c r="K9">
        <v>4.3499999999999996</v>
      </c>
      <c r="L9">
        <f>SUMIF(任务表[[#All],[礼包]],宝箱表[[#This Row],[名称]],任务表[[#All],[礼包期望/天]])*30</f>
        <v>0</v>
      </c>
      <c r="M9">
        <f>宝箱表[[#This Row],[可购买个数]]*(SUMIF(宝箱表[[#All],[名称]],宝箱表[[#This Row],[名称]],宝箱表[[#All],[价值]])-VLOOKUP(宝箱表[[#This Row],[名称]],物品表[[#All],[物品名称]:[价格]],3,FALSE))</f>
        <v>137.02500000000012</v>
      </c>
      <c r="N9" t="s">
        <v>123</v>
      </c>
    </row>
    <row r="10" spans="1:18" x14ac:dyDescent="0.3">
      <c r="A10" t="s">
        <v>79</v>
      </c>
      <c r="B10" t="s">
        <v>61</v>
      </c>
      <c r="F10" t="s">
        <v>71</v>
      </c>
      <c r="G10">
        <v>4.5</v>
      </c>
      <c r="H10" s="15">
        <v>1</v>
      </c>
      <c r="I10">
        <f>(宝箱表[[#This Row],[金币]]+IFERROR((VLOOKUP(宝箱表[[#This Row],[碎片]],碎片表[[#All],[名称]:[价值]],4,FALSE)*宝箱表[[#This Row],[碎片数量]]),0)+IFERROR((VLOOKUP(宝箱表[[#This Row],[物品]],物品表[[#All],[物品名称]:[价格]],2,FALSE)*宝箱表[[#This Row],[物品数量]]),0))*宝箱表[[#This Row],[概率]]</f>
        <v>742.5</v>
      </c>
      <c r="J10">
        <f>宝箱表[[#This Row],[可购买个数]]+宝箱表[[#This Row],[任务获得个数]]</f>
        <v>1</v>
      </c>
      <c r="K10">
        <v>1</v>
      </c>
      <c r="L10">
        <f>SUMIF(任务表[[#All],[礼包]],宝箱表[[#This Row],[名称]],任务表[[#All],[礼包期望/天]])*30</f>
        <v>0</v>
      </c>
      <c r="M10">
        <f>宝箱表[[#This Row],[可购买个数]]*(SUMIF(宝箱表[[#All],[名称]],宝箱表[[#This Row],[名称]],宝箱表[[#All],[价值]])-VLOOKUP(宝箱表[[#This Row],[名称]],物品表[[#All],[物品名称]:[价格]],3,FALSE))</f>
        <v>242.5</v>
      </c>
      <c r="N10" t="s">
        <v>123</v>
      </c>
    </row>
  </sheetData>
  <phoneticPr fontId="2" type="noConversion"/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E553-0D4E-4467-9518-4A90D538C637}">
  <dimension ref="A1:M5"/>
  <sheetViews>
    <sheetView zoomScale="145" zoomScaleNormal="145" workbookViewId="0">
      <selection activeCell="K4" sqref="K4"/>
    </sheetView>
  </sheetViews>
  <sheetFormatPr defaultRowHeight="14" x14ac:dyDescent="0.3"/>
  <cols>
    <col min="1" max="1" width="13" bestFit="1" customWidth="1"/>
    <col min="2" max="2" width="14" customWidth="1"/>
    <col min="3" max="3" width="11.5" bestFit="1" customWidth="1"/>
    <col min="4" max="7" width="19" customWidth="1"/>
    <col min="8" max="8" width="17.33203125" customWidth="1"/>
    <col min="10" max="10" width="9" bestFit="1" customWidth="1"/>
    <col min="11" max="11" width="11" bestFit="1" customWidth="1"/>
    <col min="12" max="12" width="13" bestFit="1" customWidth="1"/>
    <col min="13" max="13" width="9" bestFit="1" customWidth="1"/>
    <col min="14" max="14" width="13" bestFit="1" customWidth="1"/>
  </cols>
  <sheetData>
    <row r="1" spans="1:13" x14ac:dyDescent="0.3">
      <c r="A1" t="s">
        <v>58</v>
      </c>
      <c r="B1" t="s">
        <v>65</v>
      </c>
      <c r="C1" t="s">
        <v>111</v>
      </c>
      <c r="D1" t="s">
        <v>64</v>
      </c>
      <c r="E1" t="s">
        <v>93</v>
      </c>
      <c r="F1" t="s">
        <v>115</v>
      </c>
      <c r="G1" t="s">
        <v>119</v>
      </c>
      <c r="H1" s="17" t="s">
        <v>114</v>
      </c>
      <c r="I1" t="s">
        <v>116</v>
      </c>
      <c r="J1" t="s">
        <v>113</v>
      </c>
    </row>
    <row r="2" spans="1:13" x14ac:dyDescent="0.3">
      <c r="A2" s="7" t="s">
        <v>81</v>
      </c>
      <c r="B2" s="7" t="s">
        <v>84</v>
      </c>
      <c r="C2" s="23">
        <v>25</v>
      </c>
      <c r="D2" s="24">
        <v>9.5</v>
      </c>
      <c r="E2" s="23" cm="1">
        <f t="array" ref="E2">SUMIF(任务表[[#All],[碎片]],碎片表[[#This Row],[名称]],任务表[[#All],[碎片期望/天]])+SUMPRODUCT((宝箱表[碎片]=碎片表[[#This Row],[名称]])*宝箱表[每月个数]/30*宝箱表[概率],宝箱表[碎片数量])</f>
        <v>1.2761904761904761</v>
      </c>
      <c r="F2" s="23">
        <f>碎片表[[#This Row],[价值]]/碎片表[[#This Row],[实际价值]]</f>
        <v>0.79166666666666663</v>
      </c>
      <c r="G2" s="24">
        <f>碎片表[[#This Row],[实际价值]]-碎片表[[#This Row],[价值]]</f>
        <v>2.5</v>
      </c>
      <c r="H2" s="24">
        <f>VLOOKUP(碎片表[[#This Row],[合成物品]],物品表[[#All],[物品名称]:[价格]],2,FALSE)/碎片表[[#This Row],[所需数量]]</f>
        <v>12</v>
      </c>
      <c r="I2" s="20" t="s">
        <v>124</v>
      </c>
      <c r="J2">
        <f>SUMPRODUCT(L:L,M:M)*30</f>
        <v>87.227380952380969</v>
      </c>
    </row>
    <row r="3" spans="1:13" x14ac:dyDescent="0.3">
      <c r="A3" s="7" t="s">
        <v>81</v>
      </c>
      <c r="B3" s="7" t="s">
        <v>109</v>
      </c>
      <c r="C3" s="23">
        <v>60</v>
      </c>
      <c r="D3" s="24">
        <v>9.5</v>
      </c>
      <c r="E3" s="23" cm="1">
        <f t="array" ref="E3">SUMIF(任务表[[#All],[碎片]],碎片表[[#This Row],[名称]],任务表[[#All],[碎片期望/天]])+SUMPRODUCT((宝箱表[碎片]=碎片表[[#This Row],[名称]])*宝箱表[每月个数]/30*宝箱表[概率],宝箱表[碎片数量])</f>
        <v>1.2761904761904761</v>
      </c>
      <c r="F3" s="23">
        <f>碎片表[[#This Row],[价值]]/碎片表[[#This Row],[实际价值]]</f>
        <v>0.83823529411764697</v>
      </c>
      <c r="G3" s="24">
        <f>碎片表[[#This Row],[实际价值]]-碎片表[[#This Row],[价值]]</f>
        <v>1.8333333333333339</v>
      </c>
      <c r="H3" s="24">
        <f>VLOOKUP(碎片表[[#This Row],[合成物品]],物品表[[#All],[物品名称]:[价格]],2,FALSE)/碎片表[[#This Row],[所需数量]]</f>
        <v>11.333333333333334</v>
      </c>
      <c r="I3" s="20" t="s">
        <v>124</v>
      </c>
      <c r="J3" s="6" t="s">
        <v>85</v>
      </c>
      <c r="K3" t="s">
        <v>118</v>
      </c>
      <c r="L3" t="s">
        <v>120</v>
      </c>
      <c r="M3" t="s">
        <v>112</v>
      </c>
    </row>
    <row r="4" spans="1:13" x14ac:dyDescent="0.3">
      <c r="A4" s="7" t="s">
        <v>129</v>
      </c>
      <c r="B4" s="7" t="s">
        <v>71</v>
      </c>
      <c r="C4" s="23">
        <v>100</v>
      </c>
      <c r="D4" s="24">
        <v>1.5</v>
      </c>
      <c r="E4" s="23" cm="1">
        <f t="array" ref="E4">SUMIF(任务表[[#All],[碎片]],碎片表[[#This Row],[名称]],任务表[[#All],[碎片期望/天]])+SUMPRODUCT((宝箱表[碎片]=碎片表[[#This Row],[名称]])*宝箱表[每月个数]/30*宝箱表[概率],宝箱表[碎片数量])</f>
        <v>0.95</v>
      </c>
      <c r="F4" s="23">
        <f>碎片表[[#This Row],[价值]]/碎片表[[#This Row],[实际价值]]</f>
        <v>0.90909090909090917</v>
      </c>
      <c r="G4" s="24">
        <f>碎片表[[#This Row],[实际价值]]-碎片表[[#This Row],[价值]]</f>
        <v>0.14999999999999991</v>
      </c>
      <c r="H4" s="24">
        <f>VLOOKUP(碎片表[[#This Row],[合成物品]],物品表[[#All],[物品名称]:[价格]],2,FALSE)/碎片表[[#This Row],[所需数量]]</f>
        <v>1.65</v>
      </c>
      <c r="I4" s="20" t="s">
        <v>124</v>
      </c>
      <c r="J4" s="7" t="s">
        <v>80</v>
      </c>
      <c r="K4" s="17">
        <v>0.81495098039215685</v>
      </c>
      <c r="L4" s="17">
        <v>2.166666666666667</v>
      </c>
      <c r="M4" s="33">
        <v>1.2761904761904761</v>
      </c>
    </row>
    <row r="5" spans="1:13" x14ac:dyDescent="0.3">
      <c r="J5" s="7" t="s">
        <v>128</v>
      </c>
      <c r="K5" s="17">
        <v>0.90909090909090917</v>
      </c>
      <c r="L5" s="17">
        <v>0.14999999999999991</v>
      </c>
      <c r="M5" s="33">
        <v>0.95</v>
      </c>
    </row>
  </sheetData>
  <phoneticPr fontId="2" type="noConversion"/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59E0-E6D1-4BCB-8724-466AF44F5B1A}">
  <sheetPr codeName="Sheet4"/>
  <dimension ref="A1:F8"/>
  <sheetViews>
    <sheetView topLeftCell="B1" zoomScale="145" zoomScaleNormal="145" workbookViewId="0">
      <selection activeCell="D15" sqref="D15"/>
    </sheetView>
  </sheetViews>
  <sheetFormatPr defaultRowHeight="14" x14ac:dyDescent="0.3"/>
  <cols>
    <col min="2" max="3" width="18.83203125" customWidth="1"/>
    <col min="4" max="4" width="20.08203125" customWidth="1"/>
    <col min="5" max="5" width="15" customWidth="1"/>
  </cols>
  <sheetData>
    <row r="1" spans="1:6" x14ac:dyDescent="0.3">
      <c r="A1" s="14" t="s">
        <v>3</v>
      </c>
      <c r="B1" s="14" t="s">
        <v>21</v>
      </c>
      <c r="C1" s="14" t="s">
        <v>96</v>
      </c>
      <c r="D1" s="14" t="s">
        <v>22</v>
      </c>
      <c r="E1" s="14" t="s">
        <v>23</v>
      </c>
      <c r="F1" t="s">
        <v>117</v>
      </c>
    </row>
    <row r="2" spans="1:6" x14ac:dyDescent="0.3">
      <c r="A2" s="20">
        <f t="shared" ref="A2" si="0">ROW()-1</f>
        <v>1</v>
      </c>
      <c r="B2" s="21"/>
      <c r="C2" s="20"/>
      <c r="D2" s="20"/>
      <c r="E2" s="22"/>
      <c r="F2" s="20"/>
    </row>
    <row r="3" spans="1:6" x14ac:dyDescent="0.3">
      <c r="A3" s="20">
        <f t="shared" ref="A3" si="1">ROW()-1</f>
        <v>2</v>
      </c>
      <c r="B3" s="21" t="s">
        <v>84</v>
      </c>
      <c r="C3" s="20">
        <v>300</v>
      </c>
      <c r="D3" s="20">
        <v>300</v>
      </c>
      <c r="E3" s="22">
        <f>$D3/SUM(任务表[期望/天])</f>
        <v>1.0502319262170394</v>
      </c>
      <c r="F3" s="20" t="s">
        <v>124</v>
      </c>
    </row>
    <row r="4" spans="1:6" x14ac:dyDescent="0.3">
      <c r="A4" s="20">
        <f t="shared" ref="A4:A7" si="2">ROW()-1</f>
        <v>3</v>
      </c>
      <c r="B4" s="21" t="s">
        <v>91</v>
      </c>
      <c r="C4" s="20">
        <f>SUMIF(宝箱表[[#All],[名称]],物品表[[#This Row],[物品名称]],宝箱表[[#All],[价值]])</f>
        <v>19.175000000000001</v>
      </c>
      <c r="D4" s="20">
        <v>10</v>
      </c>
      <c r="E4" s="22">
        <f>$D4/SUM(任务表[期望/天])</f>
        <v>3.500773087390132E-2</v>
      </c>
      <c r="F4" s="20" t="s">
        <v>124</v>
      </c>
    </row>
    <row r="5" spans="1:6" x14ac:dyDescent="0.3">
      <c r="A5" s="20">
        <f t="shared" si="2"/>
        <v>4</v>
      </c>
      <c r="B5" s="21" t="s">
        <v>94</v>
      </c>
      <c r="C5" s="20">
        <f>SUMIF(宝箱表[[#All],[名称]],物品表[[#This Row],[物品名称]],宝箱表[[#All],[价值]])</f>
        <v>181.50000000000003</v>
      </c>
      <c r="D5" s="20">
        <v>150</v>
      </c>
      <c r="E5" s="22">
        <f>$D5/SUM(任务表[期望/天])</f>
        <v>0.52511596310851971</v>
      </c>
      <c r="F5" s="20" t="s">
        <v>124</v>
      </c>
    </row>
    <row r="6" spans="1:6" x14ac:dyDescent="0.3">
      <c r="A6" s="20">
        <f t="shared" si="2"/>
        <v>5</v>
      </c>
      <c r="B6" s="21" t="s">
        <v>95</v>
      </c>
      <c r="C6" s="20">
        <f>SUMIF(宝箱表[[#All],[名称]],物品表[[#This Row],[物品名称]],宝箱表[[#All],[价值]])</f>
        <v>742.5</v>
      </c>
      <c r="D6" s="20">
        <v>500</v>
      </c>
      <c r="E6" s="22">
        <f>$D6/SUM(任务表[期望/天])</f>
        <v>1.7503865436950659</v>
      </c>
      <c r="F6" s="20" t="s">
        <v>124</v>
      </c>
    </row>
    <row r="7" spans="1:6" x14ac:dyDescent="0.3">
      <c r="A7" s="20">
        <f t="shared" si="2"/>
        <v>6</v>
      </c>
      <c r="B7" s="21" t="s">
        <v>97</v>
      </c>
      <c r="C7" s="20">
        <f>SUMIF(宝箱表[[#All],[名称]],物品表[[#This Row],[物品名称]],宝箱表[[#All],[价值]])</f>
        <v>165</v>
      </c>
      <c r="D7" s="20">
        <v>0</v>
      </c>
      <c r="E7" s="22">
        <f>$D7/SUM(任务表[期望/天])</f>
        <v>0</v>
      </c>
      <c r="F7" s="20" t="s">
        <v>124</v>
      </c>
    </row>
    <row r="8" spans="1:6" x14ac:dyDescent="0.3">
      <c r="A8" s="20">
        <f>ROW()-1</f>
        <v>7</v>
      </c>
      <c r="B8" s="21" t="s">
        <v>110</v>
      </c>
      <c r="C8" s="20">
        <v>680</v>
      </c>
      <c r="D8" s="20">
        <v>680</v>
      </c>
      <c r="E8" s="22">
        <f>$D8/SUM(任务表[期望/天])</f>
        <v>2.3805256994252897</v>
      </c>
      <c r="F8" s="20" t="s">
        <v>124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94C7-EF9C-4435-A7E8-A83039268AB4}">
  <dimension ref="A1:G200"/>
  <sheetViews>
    <sheetView workbookViewId="0">
      <selection activeCell="U10" sqref="U10"/>
    </sheetView>
  </sheetViews>
  <sheetFormatPr defaultRowHeight="14" x14ac:dyDescent="0.3"/>
  <sheetData>
    <row r="1" spans="1:7" x14ac:dyDescent="0.3">
      <c r="A1" t="s">
        <v>146</v>
      </c>
      <c r="B1" t="s">
        <v>144</v>
      </c>
      <c r="C1" t="s">
        <v>145</v>
      </c>
      <c r="D1" t="s">
        <v>147</v>
      </c>
      <c r="F1" t="s">
        <v>142</v>
      </c>
      <c r="G1" t="s">
        <v>143</v>
      </c>
    </row>
    <row r="2" spans="1:7" x14ac:dyDescent="0.3">
      <c r="A2">
        <v>1</v>
      </c>
      <c r="B2">
        <v>38977</v>
      </c>
      <c r="C2">
        <f>B2*$F$2</f>
        <v>31.181600000000003</v>
      </c>
      <c r="D2">
        <f>B2+C2</f>
        <v>39008.181600000004</v>
      </c>
      <c r="F2" s="15">
        <v>8.0000000000000004E-4</v>
      </c>
      <c r="G2">
        <v>330</v>
      </c>
    </row>
    <row r="3" spans="1:7" x14ac:dyDescent="0.3">
      <c r="A3">
        <v>2</v>
      </c>
      <c r="B3">
        <f>B2-$G$2+C2</f>
        <v>38678.181600000004</v>
      </c>
      <c r="C3">
        <f t="shared" ref="C3:C35" si="0">B3*$F$2</f>
        <v>30.942545280000004</v>
      </c>
      <c r="D3">
        <f>D2+C3</f>
        <v>39039.124145280002</v>
      </c>
    </row>
    <row r="4" spans="1:7" x14ac:dyDescent="0.3">
      <c r="A4">
        <v>3</v>
      </c>
      <c r="B4">
        <f>B3-$G$2+C3</f>
        <v>38379.124145280002</v>
      </c>
      <c r="C4">
        <f t="shared" si="0"/>
        <v>30.703299316224005</v>
      </c>
      <c r="D4">
        <f>D3+C4</f>
        <v>39069.827444596223</v>
      </c>
    </row>
    <row r="5" spans="1:7" x14ac:dyDescent="0.3">
      <c r="A5">
        <v>4</v>
      </c>
      <c r="B5">
        <f t="shared" ref="B5:B21" si="1">B4-$G$2+C4</f>
        <v>38079.827444596223</v>
      </c>
      <c r="C5">
        <f t="shared" si="0"/>
        <v>30.463861955676979</v>
      </c>
      <c r="D5">
        <f t="shared" ref="D5:D21" si="2">D4+C5</f>
        <v>39100.291306551902</v>
      </c>
    </row>
    <row r="6" spans="1:7" x14ac:dyDescent="0.3">
      <c r="A6">
        <v>5</v>
      </c>
      <c r="B6">
        <f t="shared" si="1"/>
        <v>37780.291306551902</v>
      </c>
      <c r="C6">
        <f t="shared" si="0"/>
        <v>30.224233045241522</v>
      </c>
      <c r="D6">
        <f t="shared" si="2"/>
        <v>39130.515539597145</v>
      </c>
    </row>
    <row r="7" spans="1:7" x14ac:dyDescent="0.3">
      <c r="A7">
        <v>6</v>
      </c>
      <c r="B7">
        <f t="shared" si="1"/>
        <v>37480.515539597145</v>
      </c>
      <c r="C7">
        <f t="shared" si="0"/>
        <v>29.984412431677718</v>
      </c>
      <c r="D7">
        <f t="shared" si="2"/>
        <v>39160.499952028826</v>
      </c>
    </row>
    <row r="8" spans="1:7" x14ac:dyDescent="0.3">
      <c r="A8">
        <v>7</v>
      </c>
      <c r="B8">
        <f t="shared" si="1"/>
        <v>37180.499952028826</v>
      </c>
      <c r="C8">
        <f t="shared" si="0"/>
        <v>29.744399961623063</v>
      </c>
      <c r="D8">
        <f t="shared" si="2"/>
        <v>39190.244351990448</v>
      </c>
    </row>
    <row r="9" spans="1:7" x14ac:dyDescent="0.3">
      <c r="A9">
        <v>8</v>
      </c>
      <c r="B9">
        <f t="shared" si="1"/>
        <v>36880.244351990448</v>
      </c>
      <c r="C9">
        <f t="shared" si="0"/>
        <v>29.504195481592362</v>
      </c>
      <c r="D9">
        <f t="shared" si="2"/>
        <v>39219.748547472038</v>
      </c>
    </row>
    <row r="10" spans="1:7" x14ac:dyDescent="0.3">
      <c r="A10">
        <v>9</v>
      </c>
      <c r="B10">
        <f t="shared" si="1"/>
        <v>36579.748547472038</v>
      </c>
      <c r="C10">
        <f t="shared" si="0"/>
        <v>29.263798837977632</v>
      </c>
      <c r="D10">
        <f t="shared" si="2"/>
        <v>39249.012346310017</v>
      </c>
    </row>
    <row r="11" spans="1:7" x14ac:dyDescent="0.3">
      <c r="A11">
        <v>10</v>
      </c>
      <c r="B11">
        <f t="shared" si="1"/>
        <v>36279.012346310017</v>
      </c>
      <c r="C11">
        <f t="shared" si="0"/>
        <v>29.023209877048014</v>
      </c>
      <c r="D11">
        <f t="shared" si="2"/>
        <v>39278.035556187067</v>
      </c>
    </row>
    <row r="12" spans="1:7" x14ac:dyDescent="0.3">
      <c r="A12">
        <v>11</v>
      </c>
      <c r="B12">
        <f t="shared" si="1"/>
        <v>35978.035556187067</v>
      </c>
      <c r="C12">
        <f t="shared" si="0"/>
        <v>28.782428444949655</v>
      </c>
      <c r="D12">
        <f t="shared" si="2"/>
        <v>39306.81798463202</v>
      </c>
    </row>
    <row r="13" spans="1:7" x14ac:dyDescent="0.3">
      <c r="A13">
        <v>12</v>
      </c>
      <c r="B13">
        <f t="shared" si="1"/>
        <v>35676.81798463202</v>
      </c>
      <c r="C13">
        <f t="shared" si="0"/>
        <v>28.541454387705617</v>
      </c>
      <c r="D13">
        <f t="shared" si="2"/>
        <v>39335.359439019725</v>
      </c>
    </row>
    <row r="14" spans="1:7" x14ac:dyDescent="0.3">
      <c r="A14">
        <v>13</v>
      </c>
      <c r="B14">
        <f t="shared" si="1"/>
        <v>35375.359439019725</v>
      </c>
      <c r="C14">
        <f t="shared" si="0"/>
        <v>28.300287551215781</v>
      </c>
      <c r="D14">
        <f t="shared" si="2"/>
        <v>39363.659726570942</v>
      </c>
    </row>
    <row r="15" spans="1:7" x14ac:dyDescent="0.3">
      <c r="A15">
        <v>14</v>
      </c>
      <c r="B15">
        <f t="shared" si="1"/>
        <v>35073.659726570942</v>
      </c>
      <c r="C15">
        <f t="shared" si="0"/>
        <v>28.058927781256756</v>
      </c>
      <c r="D15">
        <f t="shared" si="2"/>
        <v>39391.718654352197</v>
      </c>
    </row>
    <row r="16" spans="1:7" x14ac:dyDescent="0.3">
      <c r="A16">
        <v>15</v>
      </c>
      <c r="B16">
        <f t="shared" si="1"/>
        <v>34771.718654352197</v>
      </c>
      <c r="C16">
        <f t="shared" si="0"/>
        <v>27.817374923481758</v>
      </c>
      <c r="D16">
        <f t="shared" si="2"/>
        <v>39419.536029275681</v>
      </c>
    </row>
    <row r="17" spans="1:4" x14ac:dyDescent="0.3">
      <c r="A17">
        <v>16</v>
      </c>
      <c r="B17">
        <f t="shared" si="1"/>
        <v>34469.536029275681</v>
      </c>
      <c r="C17">
        <f t="shared" si="0"/>
        <v>27.575628823420548</v>
      </c>
      <c r="D17">
        <f t="shared" si="2"/>
        <v>39447.1116580991</v>
      </c>
    </row>
    <row r="18" spans="1:4" x14ac:dyDescent="0.3">
      <c r="A18">
        <v>17</v>
      </c>
      <c r="B18">
        <f t="shared" si="1"/>
        <v>34167.1116580991</v>
      </c>
      <c r="C18">
        <f t="shared" si="0"/>
        <v>27.333689326479281</v>
      </c>
      <c r="D18">
        <f t="shared" si="2"/>
        <v>39474.445347425579</v>
      </c>
    </row>
    <row r="19" spans="1:4" x14ac:dyDescent="0.3">
      <c r="A19">
        <v>18</v>
      </c>
      <c r="B19">
        <f t="shared" si="1"/>
        <v>33864.445347425579</v>
      </c>
      <c r="C19">
        <f t="shared" si="0"/>
        <v>27.091556277940466</v>
      </c>
      <c r="D19">
        <f t="shared" si="2"/>
        <v>39501.53690370352</v>
      </c>
    </row>
    <row r="20" spans="1:4" x14ac:dyDescent="0.3">
      <c r="A20">
        <v>19</v>
      </c>
      <c r="B20">
        <f t="shared" si="1"/>
        <v>33561.53690370352</v>
      </c>
      <c r="C20">
        <f t="shared" si="0"/>
        <v>26.849229522962816</v>
      </c>
      <c r="D20">
        <f t="shared" si="2"/>
        <v>39528.386133226486</v>
      </c>
    </row>
    <row r="21" spans="1:4" x14ac:dyDescent="0.3">
      <c r="A21">
        <v>20</v>
      </c>
      <c r="B21">
        <f t="shared" si="1"/>
        <v>33258.386133226486</v>
      </c>
      <c r="C21">
        <f t="shared" si="0"/>
        <v>26.60670890658119</v>
      </c>
      <c r="D21">
        <f t="shared" si="2"/>
        <v>39554.99284213307</v>
      </c>
    </row>
    <row r="22" spans="1:4" x14ac:dyDescent="0.3">
      <c r="A22">
        <v>21</v>
      </c>
      <c r="B22">
        <f>B21-$G$2+C21</f>
        <v>32954.99284213307</v>
      </c>
      <c r="C22">
        <f t="shared" si="0"/>
        <v>26.363994273706457</v>
      </c>
      <c r="D22">
        <f>D21+C22</f>
        <v>39581.356836406776</v>
      </c>
    </row>
    <row r="23" spans="1:4" x14ac:dyDescent="0.3">
      <c r="A23">
        <v>22</v>
      </c>
      <c r="B23">
        <f t="shared" ref="B23:B31" si="3">B22-$G$2+C22</f>
        <v>32651.356836406776</v>
      </c>
      <c r="C23">
        <f t="shared" si="0"/>
        <v>26.121085469125422</v>
      </c>
      <c r="D23">
        <f t="shared" ref="D23:D31" si="4">D22+C23</f>
        <v>39607.477921875899</v>
      </c>
    </row>
    <row r="24" spans="1:4" x14ac:dyDescent="0.3">
      <c r="A24">
        <v>23</v>
      </c>
      <c r="B24">
        <f t="shared" si="3"/>
        <v>32347.477921875903</v>
      </c>
      <c r="C24">
        <f t="shared" si="0"/>
        <v>25.877982337500725</v>
      </c>
      <c r="D24">
        <f t="shared" si="4"/>
        <v>39633.3559042134</v>
      </c>
    </row>
    <row r="25" spans="1:4" x14ac:dyDescent="0.3">
      <c r="A25">
        <v>24</v>
      </c>
      <c r="B25">
        <f t="shared" si="3"/>
        <v>32043.355904213404</v>
      </c>
      <c r="C25">
        <f t="shared" si="0"/>
        <v>25.634684723370725</v>
      </c>
      <c r="D25">
        <f t="shared" si="4"/>
        <v>39658.990588936773</v>
      </c>
    </row>
    <row r="26" spans="1:4" x14ac:dyDescent="0.3">
      <c r="A26">
        <v>25</v>
      </c>
      <c r="B26">
        <f t="shared" si="3"/>
        <v>31738.990588936773</v>
      </c>
      <c r="C26">
        <f t="shared" si="0"/>
        <v>25.39119247114942</v>
      </c>
      <c r="D26">
        <f t="shared" si="4"/>
        <v>39684.381781407923</v>
      </c>
    </row>
    <row r="27" spans="1:4" x14ac:dyDescent="0.3">
      <c r="A27">
        <v>26</v>
      </c>
      <c r="B27">
        <f t="shared" si="3"/>
        <v>31434.381781407923</v>
      </c>
      <c r="C27">
        <f t="shared" si="0"/>
        <v>25.14750542512634</v>
      </c>
      <c r="D27">
        <f t="shared" si="4"/>
        <v>39709.529286833051</v>
      </c>
    </row>
    <row r="28" spans="1:4" x14ac:dyDescent="0.3">
      <c r="A28">
        <v>27</v>
      </c>
      <c r="B28">
        <f t="shared" si="3"/>
        <v>31129.529286833051</v>
      </c>
      <c r="C28">
        <f t="shared" si="0"/>
        <v>24.903623429466442</v>
      </c>
      <c r="D28">
        <f t="shared" si="4"/>
        <v>39734.43291026252</v>
      </c>
    </row>
    <row r="29" spans="1:4" x14ac:dyDescent="0.3">
      <c r="A29">
        <v>28</v>
      </c>
      <c r="B29">
        <f t="shared" si="3"/>
        <v>30824.432910262516</v>
      </c>
      <c r="C29">
        <f t="shared" si="0"/>
        <v>24.659546328210013</v>
      </c>
      <c r="D29">
        <f t="shared" si="4"/>
        <v>39759.092456590726</v>
      </c>
    </row>
    <row r="30" spans="1:4" x14ac:dyDescent="0.3">
      <c r="A30">
        <v>29</v>
      </c>
      <c r="B30">
        <f t="shared" si="3"/>
        <v>30519.092456590726</v>
      </c>
      <c r="C30">
        <f t="shared" si="0"/>
        <v>24.415273965272583</v>
      </c>
      <c r="D30">
        <f t="shared" si="4"/>
        <v>39783.507730555997</v>
      </c>
    </row>
    <row r="31" spans="1:4" x14ac:dyDescent="0.3">
      <c r="A31">
        <v>30</v>
      </c>
      <c r="B31">
        <f t="shared" si="3"/>
        <v>30213.507730555997</v>
      </c>
      <c r="C31">
        <f t="shared" si="0"/>
        <v>24.1708061844448</v>
      </c>
      <c r="D31">
        <f t="shared" si="4"/>
        <v>39807.678536740445</v>
      </c>
    </row>
    <row r="32" spans="1:4" x14ac:dyDescent="0.3">
      <c r="A32">
        <v>31</v>
      </c>
      <c r="B32">
        <f>B31-$G$2+C31</f>
        <v>29907.678536740441</v>
      </c>
      <c r="C32">
        <f t="shared" si="0"/>
        <v>23.926142829392354</v>
      </c>
      <c r="D32">
        <f>D31+C32</f>
        <v>39831.604679569835</v>
      </c>
    </row>
    <row r="33" spans="1:4" x14ac:dyDescent="0.3">
      <c r="A33">
        <v>32</v>
      </c>
      <c r="B33">
        <f t="shared" ref="B33:B40" si="5">B32-$G$2+C32</f>
        <v>29601.604679569835</v>
      </c>
      <c r="C33">
        <f t="shared" si="0"/>
        <v>23.681283743655868</v>
      </c>
      <c r="D33">
        <f t="shared" ref="D33:D40" si="6">D32+C33</f>
        <v>39855.285963313494</v>
      </c>
    </row>
    <row r="34" spans="1:4" x14ac:dyDescent="0.3">
      <c r="A34">
        <v>33</v>
      </c>
      <c r="B34">
        <f t="shared" si="5"/>
        <v>29295.28596331349</v>
      </c>
      <c r="C34">
        <f t="shared" si="0"/>
        <v>23.436228770650793</v>
      </c>
      <c r="D34">
        <f t="shared" si="6"/>
        <v>39878.722192084148</v>
      </c>
    </row>
    <row r="35" spans="1:4" x14ac:dyDescent="0.3">
      <c r="A35">
        <v>34</v>
      </c>
      <c r="B35">
        <f t="shared" si="5"/>
        <v>28988.72219208414</v>
      </c>
      <c r="C35">
        <f t="shared" si="0"/>
        <v>23.190977753667312</v>
      </c>
      <c r="D35">
        <f t="shared" si="6"/>
        <v>39901.913169837811</v>
      </c>
    </row>
    <row r="36" spans="1:4" x14ac:dyDescent="0.3">
      <c r="A36">
        <v>35</v>
      </c>
      <c r="B36">
        <f t="shared" si="5"/>
        <v>28681.913169837808</v>
      </c>
      <c r="C36">
        <f t="shared" ref="C36:C58" si="7">B36*$F$2</f>
        <v>22.945530535870247</v>
      </c>
      <c r="D36">
        <f t="shared" si="6"/>
        <v>39924.858700373683</v>
      </c>
    </row>
    <row r="37" spans="1:4" x14ac:dyDescent="0.3">
      <c r="A37">
        <v>36</v>
      </c>
      <c r="B37">
        <f t="shared" si="5"/>
        <v>28374.858700373679</v>
      </c>
      <c r="C37">
        <f t="shared" si="7"/>
        <v>22.699886960298944</v>
      </c>
      <c r="D37">
        <f t="shared" si="6"/>
        <v>39947.558587333981</v>
      </c>
    </row>
    <row r="38" spans="1:4" x14ac:dyDescent="0.3">
      <c r="A38">
        <v>37</v>
      </c>
      <c r="B38">
        <f t="shared" si="5"/>
        <v>28067.558587333977</v>
      </c>
      <c r="C38">
        <f t="shared" si="7"/>
        <v>22.454046869867181</v>
      </c>
      <c r="D38">
        <f t="shared" si="6"/>
        <v>39970.012634203849</v>
      </c>
    </row>
    <row r="39" spans="1:4" x14ac:dyDescent="0.3">
      <c r="A39">
        <v>38</v>
      </c>
      <c r="B39">
        <f t="shared" si="5"/>
        <v>27760.012634203846</v>
      </c>
      <c r="C39">
        <f t="shared" si="7"/>
        <v>22.208010107363076</v>
      </c>
      <c r="D39">
        <f t="shared" si="6"/>
        <v>39992.220644311215</v>
      </c>
    </row>
    <row r="40" spans="1:4" x14ac:dyDescent="0.3">
      <c r="A40">
        <v>39</v>
      </c>
      <c r="B40">
        <f t="shared" si="5"/>
        <v>27452.220644311208</v>
      </c>
      <c r="C40">
        <f t="shared" si="7"/>
        <v>21.961776515448967</v>
      </c>
      <c r="D40">
        <f t="shared" si="6"/>
        <v>40014.182420826663</v>
      </c>
    </row>
    <row r="41" spans="1:4" x14ac:dyDescent="0.3">
      <c r="A41">
        <v>40</v>
      </c>
      <c r="B41">
        <f t="shared" ref="B41:B63" si="8">B40-$G$2+C40</f>
        <v>27144.182420826659</v>
      </c>
      <c r="C41">
        <f t="shared" si="7"/>
        <v>21.715345936661329</v>
      </c>
      <c r="D41">
        <f t="shared" ref="D41:D63" si="9">D40+C41</f>
        <v>40035.897766763323</v>
      </c>
    </row>
    <row r="42" spans="1:4" x14ac:dyDescent="0.3">
      <c r="A42">
        <v>41</v>
      </c>
      <c r="B42">
        <f t="shared" si="8"/>
        <v>26835.897766763319</v>
      </c>
      <c r="C42">
        <f t="shared" si="7"/>
        <v>21.468718213410657</v>
      </c>
      <c r="D42">
        <f t="shared" si="9"/>
        <v>40057.36648497673</v>
      </c>
    </row>
    <row r="43" spans="1:4" x14ac:dyDescent="0.3">
      <c r="A43">
        <v>42</v>
      </c>
      <c r="B43">
        <f t="shared" si="8"/>
        <v>26527.36648497673</v>
      </c>
      <c r="C43">
        <f t="shared" si="7"/>
        <v>21.221893187981387</v>
      </c>
      <c r="D43">
        <f t="shared" si="9"/>
        <v>40078.588378164714</v>
      </c>
    </row>
    <row r="44" spans="1:4" x14ac:dyDescent="0.3">
      <c r="A44">
        <v>43</v>
      </c>
      <c r="B44">
        <f t="shared" si="8"/>
        <v>26218.58837816471</v>
      </c>
      <c r="C44">
        <f t="shared" si="7"/>
        <v>20.974870702531771</v>
      </c>
      <c r="D44">
        <f t="shared" si="9"/>
        <v>40099.563248867242</v>
      </c>
    </row>
    <row r="45" spans="1:4" x14ac:dyDescent="0.3">
      <c r="A45">
        <v>44</v>
      </c>
      <c r="B45">
        <f t="shared" si="8"/>
        <v>25909.563248867242</v>
      </c>
      <c r="C45">
        <f t="shared" si="7"/>
        <v>20.727650599093796</v>
      </c>
      <c r="D45">
        <f t="shared" si="9"/>
        <v>40120.290899466338</v>
      </c>
    </row>
    <row r="46" spans="1:4" x14ac:dyDescent="0.3">
      <c r="A46">
        <v>45</v>
      </c>
      <c r="B46">
        <f t="shared" si="8"/>
        <v>25600.290899466334</v>
      </c>
      <c r="C46">
        <f t="shared" si="7"/>
        <v>20.480232719573067</v>
      </c>
      <c r="D46">
        <f t="shared" si="9"/>
        <v>40140.77113218591</v>
      </c>
    </row>
    <row r="47" spans="1:4" x14ac:dyDescent="0.3">
      <c r="A47">
        <v>46</v>
      </c>
      <c r="B47">
        <f t="shared" si="8"/>
        <v>25290.771132185906</v>
      </c>
      <c r="C47">
        <f t="shared" si="7"/>
        <v>20.232616905748724</v>
      </c>
      <c r="D47">
        <f t="shared" si="9"/>
        <v>40161.003749091658</v>
      </c>
    </row>
    <row r="48" spans="1:4" x14ac:dyDescent="0.3">
      <c r="A48">
        <v>47</v>
      </c>
      <c r="B48">
        <f t="shared" si="8"/>
        <v>24981.003749091655</v>
      </c>
      <c r="C48">
        <f t="shared" si="7"/>
        <v>19.984802999273324</v>
      </c>
      <c r="D48">
        <f t="shared" si="9"/>
        <v>40180.98855209093</v>
      </c>
    </row>
    <row r="49" spans="1:4" x14ac:dyDescent="0.3">
      <c r="A49">
        <v>48</v>
      </c>
      <c r="B49">
        <f t="shared" si="8"/>
        <v>24670.988552090927</v>
      </c>
      <c r="C49">
        <f t="shared" si="7"/>
        <v>19.736790841672743</v>
      </c>
      <c r="D49">
        <f t="shared" si="9"/>
        <v>40200.725342932601</v>
      </c>
    </row>
    <row r="50" spans="1:4" x14ac:dyDescent="0.3">
      <c r="A50">
        <v>49</v>
      </c>
      <c r="B50">
        <f t="shared" si="8"/>
        <v>24360.725342932601</v>
      </c>
      <c r="C50">
        <f t="shared" si="7"/>
        <v>19.488580274346081</v>
      </c>
      <c r="D50">
        <f t="shared" si="9"/>
        <v>40220.213923206946</v>
      </c>
    </row>
    <row r="51" spans="1:4" x14ac:dyDescent="0.3">
      <c r="A51">
        <v>50</v>
      </c>
      <c r="B51">
        <f t="shared" si="8"/>
        <v>24050.213923206946</v>
      </c>
      <c r="C51">
        <f t="shared" si="7"/>
        <v>19.240171138565557</v>
      </c>
      <c r="D51">
        <f t="shared" si="9"/>
        <v>40239.454094345514</v>
      </c>
    </row>
    <row r="52" spans="1:4" x14ac:dyDescent="0.3">
      <c r="A52">
        <v>51</v>
      </c>
      <c r="B52">
        <f t="shared" si="8"/>
        <v>23739.45409434551</v>
      </c>
      <c r="C52">
        <f t="shared" si="7"/>
        <v>18.991563275476409</v>
      </c>
      <c r="D52">
        <f t="shared" si="9"/>
        <v>40258.445657620992</v>
      </c>
    </row>
    <row r="53" spans="1:4" x14ac:dyDescent="0.3">
      <c r="A53">
        <v>52</v>
      </c>
      <c r="B53">
        <f t="shared" si="8"/>
        <v>23428.445657620985</v>
      </c>
      <c r="C53">
        <f t="shared" si="7"/>
        <v>18.742756526096787</v>
      </c>
      <c r="D53">
        <f t="shared" si="9"/>
        <v>40277.188414147087</v>
      </c>
    </row>
    <row r="54" spans="1:4" x14ac:dyDescent="0.3">
      <c r="A54">
        <v>53</v>
      </c>
      <c r="B54">
        <f t="shared" si="8"/>
        <v>23117.18841414708</v>
      </c>
      <c r="C54">
        <f t="shared" si="7"/>
        <v>18.493750731317665</v>
      </c>
      <c r="D54">
        <f t="shared" si="9"/>
        <v>40295.682164878403</v>
      </c>
    </row>
    <row r="55" spans="1:4" x14ac:dyDescent="0.3">
      <c r="A55">
        <v>54</v>
      </c>
      <c r="B55">
        <f t="shared" si="8"/>
        <v>22805.682164878399</v>
      </c>
      <c r="C55">
        <f t="shared" si="7"/>
        <v>18.244545731902718</v>
      </c>
      <c r="D55">
        <f t="shared" si="9"/>
        <v>40313.926710610307</v>
      </c>
    </row>
    <row r="56" spans="1:4" x14ac:dyDescent="0.3">
      <c r="A56">
        <v>55</v>
      </c>
      <c r="B56">
        <f t="shared" si="8"/>
        <v>22493.926710610303</v>
      </c>
      <c r="C56">
        <f t="shared" si="7"/>
        <v>17.995141368488245</v>
      </c>
      <c r="D56">
        <f t="shared" si="9"/>
        <v>40331.921851978797</v>
      </c>
    </row>
    <row r="57" spans="1:4" x14ac:dyDescent="0.3">
      <c r="A57">
        <v>56</v>
      </c>
      <c r="B57">
        <f t="shared" si="8"/>
        <v>22181.92185197879</v>
      </c>
      <c r="C57">
        <f t="shared" si="7"/>
        <v>17.745537481583032</v>
      </c>
      <c r="D57">
        <f t="shared" si="9"/>
        <v>40349.667389460381</v>
      </c>
    </row>
    <row r="58" spans="1:4" x14ac:dyDescent="0.3">
      <c r="A58">
        <v>57</v>
      </c>
      <c r="B58">
        <f t="shared" si="8"/>
        <v>21869.667389460374</v>
      </c>
      <c r="C58">
        <f t="shared" si="7"/>
        <v>17.495733911568301</v>
      </c>
      <c r="D58">
        <f t="shared" si="9"/>
        <v>40367.163123371953</v>
      </c>
    </row>
    <row r="59" spans="1:4" x14ac:dyDescent="0.3">
      <c r="A59">
        <v>58</v>
      </c>
      <c r="B59">
        <f t="shared" si="8"/>
        <v>21557.163123371942</v>
      </c>
      <c r="C59">
        <f t="shared" ref="C59:C80" si="10">B59*$F$2</f>
        <v>17.245730498697554</v>
      </c>
      <c r="D59">
        <f t="shared" si="9"/>
        <v>40384.408853870649</v>
      </c>
    </row>
    <row r="60" spans="1:4" x14ac:dyDescent="0.3">
      <c r="A60">
        <v>59</v>
      </c>
      <c r="B60">
        <f t="shared" si="8"/>
        <v>21244.408853870638</v>
      </c>
      <c r="C60">
        <f t="shared" si="10"/>
        <v>16.995527083096512</v>
      </c>
      <c r="D60">
        <f t="shared" si="9"/>
        <v>40401.404380953747</v>
      </c>
    </row>
    <row r="61" spans="1:4" x14ac:dyDescent="0.3">
      <c r="A61">
        <v>60</v>
      </c>
      <c r="B61">
        <f t="shared" si="8"/>
        <v>20931.404380953736</v>
      </c>
      <c r="C61">
        <f t="shared" si="10"/>
        <v>16.74512350476299</v>
      </c>
      <c r="D61">
        <f t="shared" si="9"/>
        <v>40418.14950445851</v>
      </c>
    </row>
    <row r="62" spans="1:4" x14ac:dyDescent="0.3">
      <c r="A62">
        <v>61</v>
      </c>
      <c r="B62">
        <f t="shared" si="8"/>
        <v>20618.149504458499</v>
      </c>
      <c r="C62">
        <f t="shared" si="10"/>
        <v>16.4945196035668</v>
      </c>
      <c r="D62">
        <f t="shared" si="9"/>
        <v>40434.64402406208</v>
      </c>
    </row>
    <row r="63" spans="1:4" x14ac:dyDescent="0.3">
      <c r="A63">
        <v>62</v>
      </c>
      <c r="B63">
        <f t="shared" si="8"/>
        <v>20304.644024062065</v>
      </c>
      <c r="C63">
        <f t="shared" si="10"/>
        <v>16.243715219249651</v>
      </c>
      <c r="D63">
        <f t="shared" si="9"/>
        <v>40450.88773928133</v>
      </c>
    </row>
    <row r="64" spans="1:4" x14ac:dyDescent="0.3">
      <c r="A64">
        <v>63</v>
      </c>
      <c r="B64">
        <f t="shared" ref="B64:B80" si="11">B63-$G$2+C63</f>
        <v>19990.887739281316</v>
      </c>
      <c r="C64">
        <f t="shared" si="10"/>
        <v>15.992710191425052</v>
      </c>
      <c r="D64">
        <f t="shared" ref="D64:D80" si="12">D63+C64</f>
        <v>40466.880449472752</v>
      </c>
    </row>
    <row r="65" spans="1:4" x14ac:dyDescent="0.3">
      <c r="A65">
        <v>64</v>
      </c>
      <c r="B65">
        <f t="shared" si="11"/>
        <v>19676.880449472741</v>
      </c>
      <c r="C65">
        <f t="shared" si="10"/>
        <v>15.741504359578194</v>
      </c>
      <c r="D65">
        <f t="shared" si="12"/>
        <v>40482.621953832328</v>
      </c>
    </row>
    <row r="66" spans="1:4" x14ac:dyDescent="0.3">
      <c r="A66">
        <v>65</v>
      </c>
      <c r="B66">
        <f t="shared" si="11"/>
        <v>19362.62195383232</v>
      </c>
      <c r="C66">
        <f t="shared" si="10"/>
        <v>15.490097563065857</v>
      </c>
      <c r="D66">
        <f t="shared" si="12"/>
        <v>40498.112051395394</v>
      </c>
    </row>
    <row r="67" spans="1:4" x14ac:dyDescent="0.3">
      <c r="A67">
        <v>66</v>
      </c>
      <c r="B67">
        <f t="shared" si="11"/>
        <v>19048.112051395387</v>
      </c>
      <c r="C67">
        <f t="shared" si="10"/>
        <v>15.23848964111631</v>
      </c>
      <c r="D67">
        <f t="shared" si="12"/>
        <v>40513.350541036511</v>
      </c>
    </row>
    <row r="68" spans="1:4" x14ac:dyDescent="0.3">
      <c r="A68">
        <v>67</v>
      </c>
      <c r="B68">
        <f t="shared" si="11"/>
        <v>18733.350541036503</v>
      </c>
      <c r="C68">
        <f t="shared" si="10"/>
        <v>14.986680432829203</v>
      </c>
      <c r="D68">
        <f t="shared" si="12"/>
        <v>40528.337221469337</v>
      </c>
    </row>
    <row r="69" spans="1:4" x14ac:dyDescent="0.3">
      <c r="A69">
        <v>68</v>
      </c>
      <c r="B69">
        <f t="shared" si="11"/>
        <v>18418.337221469334</v>
      </c>
      <c r="C69">
        <f t="shared" si="10"/>
        <v>14.734669777175467</v>
      </c>
      <c r="D69">
        <f t="shared" si="12"/>
        <v>40543.071891246516</v>
      </c>
    </row>
    <row r="70" spans="1:4" x14ac:dyDescent="0.3">
      <c r="A70">
        <v>69</v>
      </c>
      <c r="B70">
        <f t="shared" si="11"/>
        <v>18103.071891246509</v>
      </c>
      <c r="C70">
        <f t="shared" si="10"/>
        <v>14.482457512997208</v>
      </c>
      <c r="D70">
        <f t="shared" si="12"/>
        <v>40557.554348759513</v>
      </c>
    </row>
    <row r="71" spans="1:4" x14ac:dyDescent="0.3">
      <c r="A71">
        <v>70</v>
      </c>
      <c r="B71">
        <f t="shared" si="11"/>
        <v>17787.554348759506</v>
      </c>
      <c r="C71">
        <f t="shared" si="10"/>
        <v>14.230043479007605</v>
      </c>
      <c r="D71">
        <f t="shared" si="12"/>
        <v>40571.784392238522</v>
      </c>
    </row>
    <row r="72" spans="1:4" x14ac:dyDescent="0.3">
      <c r="A72">
        <v>71</v>
      </c>
      <c r="B72">
        <f t="shared" si="11"/>
        <v>17471.784392238515</v>
      </c>
      <c r="C72">
        <f t="shared" si="10"/>
        <v>13.977427513790813</v>
      </c>
      <c r="D72">
        <f t="shared" si="12"/>
        <v>40585.761819752312</v>
      </c>
    </row>
    <row r="73" spans="1:4" x14ac:dyDescent="0.3">
      <c r="A73">
        <v>72</v>
      </c>
      <c r="B73">
        <f t="shared" si="11"/>
        <v>17155.761819752304</v>
      </c>
      <c r="C73">
        <f t="shared" si="10"/>
        <v>13.724609455801843</v>
      </c>
      <c r="D73">
        <f t="shared" si="12"/>
        <v>40599.486429208111</v>
      </c>
    </row>
    <row r="74" spans="1:4" x14ac:dyDescent="0.3">
      <c r="A74">
        <v>73</v>
      </c>
      <c r="B74">
        <f t="shared" si="11"/>
        <v>16839.486429208107</v>
      </c>
      <c r="C74">
        <f t="shared" si="10"/>
        <v>13.471589143366486</v>
      </c>
      <c r="D74">
        <f t="shared" si="12"/>
        <v>40612.958018351477</v>
      </c>
    </row>
    <row r="75" spans="1:4" x14ac:dyDescent="0.3">
      <c r="A75">
        <v>74</v>
      </c>
      <c r="B75">
        <f t="shared" si="11"/>
        <v>16522.958018351474</v>
      </c>
      <c r="C75">
        <f t="shared" si="10"/>
        <v>13.21836641468118</v>
      </c>
      <c r="D75">
        <f t="shared" si="12"/>
        <v>40626.176384766157</v>
      </c>
    </row>
    <row r="76" spans="1:4" x14ac:dyDescent="0.3">
      <c r="A76">
        <v>75</v>
      </c>
      <c r="B76">
        <f t="shared" si="11"/>
        <v>16206.176384766155</v>
      </c>
      <c r="C76">
        <f t="shared" si="10"/>
        <v>12.964941107812924</v>
      </c>
      <c r="D76">
        <f t="shared" si="12"/>
        <v>40639.14132587397</v>
      </c>
    </row>
    <row r="77" spans="1:4" x14ac:dyDescent="0.3">
      <c r="A77">
        <v>76</v>
      </c>
      <c r="B77">
        <f t="shared" si="11"/>
        <v>15889.141325873969</v>
      </c>
      <c r="C77">
        <f t="shared" si="10"/>
        <v>12.711313060699176</v>
      </c>
      <c r="D77">
        <f t="shared" si="12"/>
        <v>40651.852638934666</v>
      </c>
    </row>
    <row r="78" spans="1:4" x14ac:dyDescent="0.3">
      <c r="A78">
        <v>77</v>
      </c>
      <c r="B78">
        <f t="shared" si="11"/>
        <v>15571.852638934668</v>
      </c>
      <c r="C78">
        <f t="shared" si="10"/>
        <v>12.457482111147735</v>
      </c>
      <c r="D78">
        <f t="shared" si="12"/>
        <v>40664.310121045812</v>
      </c>
    </row>
    <row r="79" spans="1:4" x14ac:dyDescent="0.3">
      <c r="A79">
        <v>78</v>
      </c>
      <c r="B79">
        <f t="shared" si="11"/>
        <v>15254.310121045815</v>
      </c>
      <c r="C79">
        <f t="shared" si="10"/>
        <v>12.203448096836652</v>
      </c>
      <c r="D79">
        <f t="shared" si="12"/>
        <v>40676.513569142648</v>
      </c>
    </row>
    <row r="80" spans="1:4" x14ac:dyDescent="0.3">
      <c r="A80">
        <v>79</v>
      </c>
      <c r="B80">
        <f t="shared" si="11"/>
        <v>14936.513569142651</v>
      </c>
      <c r="C80">
        <f t="shared" si="10"/>
        <v>11.949210855314121</v>
      </c>
      <c r="D80">
        <f t="shared" si="12"/>
        <v>40688.462779997964</v>
      </c>
    </row>
    <row r="81" spans="1:4" x14ac:dyDescent="0.3">
      <c r="A81">
        <v>80</v>
      </c>
      <c r="B81">
        <f t="shared" ref="B81:B107" si="13">B80-$G$2+C80</f>
        <v>14618.462779997966</v>
      </c>
      <c r="C81">
        <f t="shared" ref="C81:C107" si="14">B81*$F$2</f>
        <v>11.694770223998374</v>
      </c>
      <c r="D81">
        <f t="shared" ref="D81:D107" si="15">D80+C81</f>
        <v>40700.157550221964</v>
      </c>
    </row>
    <row r="82" spans="1:4" x14ac:dyDescent="0.3">
      <c r="A82">
        <v>81</v>
      </c>
      <c r="B82">
        <f t="shared" si="13"/>
        <v>14300.157550221964</v>
      </c>
      <c r="C82">
        <f t="shared" si="14"/>
        <v>11.440126040177571</v>
      </c>
      <c r="D82">
        <f t="shared" si="15"/>
        <v>40711.597676262143</v>
      </c>
    </row>
    <row r="83" spans="1:4" x14ac:dyDescent="0.3">
      <c r="A83">
        <v>82</v>
      </c>
      <c r="B83">
        <f t="shared" si="13"/>
        <v>13981.597676262141</v>
      </c>
      <c r="C83">
        <f t="shared" si="14"/>
        <v>11.185278141009714</v>
      </c>
      <c r="D83">
        <f t="shared" si="15"/>
        <v>40722.782954403156</v>
      </c>
    </row>
    <row r="84" spans="1:4" x14ac:dyDescent="0.3">
      <c r="A84">
        <v>83</v>
      </c>
      <c r="B84">
        <f t="shared" si="13"/>
        <v>13662.78295440315</v>
      </c>
      <c r="C84">
        <f t="shared" si="14"/>
        <v>10.93022636352252</v>
      </c>
      <c r="D84">
        <f t="shared" si="15"/>
        <v>40733.713180766681</v>
      </c>
    </row>
    <row r="85" spans="1:4" x14ac:dyDescent="0.3">
      <c r="A85">
        <v>84</v>
      </c>
      <c r="B85">
        <f t="shared" si="13"/>
        <v>13343.713180766672</v>
      </c>
      <c r="C85">
        <f t="shared" si="14"/>
        <v>10.674970544613338</v>
      </c>
      <c r="D85">
        <f t="shared" si="15"/>
        <v>40744.388151311294</v>
      </c>
    </row>
    <row r="86" spans="1:4" x14ac:dyDescent="0.3">
      <c r="A86">
        <v>85</v>
      </c>
      <c r="B86">
        <f t="shared" si="13"/>
        <v>13024.388151311285</v>
      </c>
      <c r="C86">
        <f t="shared" si="14"/>
        <v>10.419510521049029</v>
      </c>
      <c r="D86">
        <f t="shared" si="15"/>
        <v>40754.807661832339</v>
      </c>
    </row>
    <row r="87" spans="1:4" x14ac:dyDescent="0.3">
      <c r="A87">
        <v>86</v>
      </c>
      <c r="B87">
        <f t="shared" si="13"/>
        <v>12704.807661832334</v>
      </c>
      <c r="C87">
        <f t="shared" si="14"/>
        <v>10.163846129465867</v>
      </c>
      <c r="D87">
        <f t="shared" si="15"/>
        <v>40764.971507961804</v>
      </c>
    </row>
    <row r="88" spans="1:4" x14ac:dyDescent="0.3">
      <c r="A88">
        <v>87</v>
      </c>
      <c r="B88">
        <f t="shared" si="13"/>
        <v>12384.9715079618</v>
      </c>
      <c r="C88">
        <f t="shared" si="14"/>
        <v>9.9079772063694396</v>
      </c>
      <c r="D88">
        <f t="shared" si="15"/>
        <v>40774.879485168174</v>
      </c>
    </row>
    <row r="89" spans="1:4" x14ac:dyDescent="0.3">
      <c r="A89">
        <v>88</v>
      </c>
      <c r="B89">
        <f t="shared" si="13"/>
        <v>12064.879485168169</v>
      </c>
      <c r="C89">
        <f t="shared" si="14"/>
        <v>9.6519035881345356</v>
      </c>
      <c r="D89">
        <f t="shared" si="15"/>
        <v>40784.53138875631</v>
      </c>
    </row>
    <row r="90" spans="1:4" x14ac:dyDescent="0.3">
      <c r="A90">
        <v>89</v>
      </c>
      <c r="B90">
        <f t="shared" si="13"/>
        <v>11744.531388756302</v>
      </c>
      <c r="C90">
        <f t="shared" si="14"/>
        <v>9.3956251110050424</v>
      </c>
      <c r="D90">
        <f t="shared" si="15"/>
        <v>40793.927013867316</v>
      </c>
    </row>
    <row r="91" spans="1:4" x14ac:dyDescent="0.3">
      <c r="A91">
        <v>90</v>
      </c>
      <c r="B91">
        <f t="shared" si="13"/>
        <v>11423.927013867307</v>
      </c>
      <c r="C91">
        <f t="shared" si="14"/>
        <v>9.1391416110938462</v>
      </c>
      <c r="D91">
        <f t="shared" si="15"/>
        <v>40803.066155478409</v>
      </c>
    </row>
    <row r="92" spans="1:4" x14ac:dyDescent="0.3">
      <c r="A92">
        <v>91</v>
      </c>
      <c r="B92">
        <f t="shared" si="13"/>
        <v>11103.066155478402</v>
      </c>
      <c r="C92">
        <f t="shared" si="14"/>
        <v>8.8824529243827222</v>
      </c>
      <c r="D92">
        <f t="shared" si="15"/>
        <v>40811.948608402789</v>
      </c>
    </row>
    <row r="93" spans="1:4" x14ac:dyDescent="0.3">
      <c r="A93">
        <v>92</v>
      </c>
      <c r="B93">
        <f t="shared" si="13"/>
        <v>10781.948608402785</v>
      </c>
      <c r="C93">
        <f t="shared" si="14"/>
        <v>8.6255588867222279</v>
      </c>
      <c r="D93">
        <f t="shared" si="15"/>
        <v>40820.574167289509</v>
      </c>
    </row>
    <row r="94" spans="1:4" x14ac:dyDescent="0.3">
      <c r="A94">
        <v>93</v>
      </c>
      <c r="B94">
        <f t="shared" si="13"/>
        <v>10460.574167289507</v>
      </c>
      <c r="C94">
        <f t="shared" si="14"/>
        <v>8.3684593338316056</v>
      </c>
      <c r="D94">
        <f t="shared" si="15"/>
        <v>40828.942626623342</v>
      </c>
    </row>
    <row r="95" spans="1:4" x14ac:dyDescent="0.3">
      <c r="A95">
        <v>94</v>
      </c>
      <c r="B95">
        <f t="shared" si="13"/>
        <v>10138.942626623339</v>
      </c>
      <c r="C95">
        <f t="shared" si="14"/>
        <v>8.1111541012986716</v>
      </c>
      <c r="D95">
        <f t="shared" si="15"/>
        <v>40837.053780724644</v>
      </c>
    </row>
    <row r="96" spans="1:4" x14ac:dyDescent="0.3">
      <c r="A96">
        <v>95</v>
      </c>
      <c r="B96">
        <f t="shared" si="13"/>
        <v>9817.0537807246365</v>
      </c>
      <c r="C96">
        <f t="shared" si="14"/>
        <v>7.8536430245797098</v>
      </c>
      <c r="D96">
        <f t="shared" si="15"/>
        <v>40844.907423749224</v>
      </c>
    </row>
    <row r="97" spans="1:4" x14ac:dyDescent="0.3">
      <c r="A97">
        <v>96</v>
      </c>
      <c r="B97">
        <f t="shared" si="13"/>
        <v>9494.9074237492168</v>
      </c>
      <c r="C97">
        <f t="shared" si="14"/>
        <v>7.5959259389993736</v>
      </c>
      <c r="D97">
        <f t="shared" si="15"/>
        <v>40852.503349688224</v>
      </c>
    </row>
    <row r="98" spans="1:4" x14ac:dyDescent="0.3">
      <c r="A98">
        <v>97</v>
      </c>
      <c r="B98">
        <f t="shared" si="13"/>
        <v>9172.503349688217</v>
      </c>
      <c r="C98">
        <f t="shared" si="14"/>
        <v>7.3380026797505735</v>
      </c>
      <c r="D98">
        <f t="shared" si="15"/>
        <v>40859.841352367977</v>
      </c>
    </row>
    <row r="99" spans="1:4" x14ac:dyDescent="0.3">
      <c r="A99">
        <v>98</v>
      </c>
      <c r="B99">
        <f t="shared" si="13"/>
        <v>8849.8413523679683</v>
      </c>
      <c r="C99">
        <f t="shared" si="14"/>
        <v>7.0798730818943749</v>
      </c>
      <c r="D99">
        <f t="shared" si="15"/>
        <v>40866.921225449871</v>
      </c>
    </row>
    <row r="100" spans="1:4" x14ac:dyDescent="0.3">
      <c r="A100">
        <v>99</v>
      </c>
      <c r="B100">
        <f t="shared" si="13"/>
        <v>8526.9212254498634</v>
      </c>
      <c r="C100">
        <f t="shared" si="14"/>
        <v>6.8215369803598911</v>
      </c>
      <c r="D100">
        <f t="shared" si="15"/>
        <v>40873.742762430229</v>
      </c>
    </row>
    <row r="101" spans="1:4" x14ac:dyDescent="0.3">
      <c r="A101">
        <v>100</v>
      </c>
      <c r="B101">
        <f t="shared" si="13"/>
        <v>8203.7427624302236</v>
      </c>
      <c r="C101">
        <f t="shared" si="14"/>
        <v>6.5629942099441791</v>
      </c>
      <c r="D101">
        <f t="shared" si="15"/>
        <v>40880.305756640177</v>
      </c>
    </row>
    <row r="102" spans="1:4" x14ac:dyDescent="0.3">
      <c r="A102">
        <v>101</v>
      </c>
      <c r="B102">
        <f t="shared" si="13"/>
        <v>7880.3057566401676</v>
      </c>
      <c r="C102">
        <f t="shared" si="14"/>
        <v>6.3042446053121344</v>
      </c>
      <c r="D102">
        <f t="shared" si="15"/>
        <v>40886.610001245492</v>
      </c>
    </row>
    <row r="103" spans="1:4" x14ac:dyDescent="0.3">
      <c r="A103">
        <v>102</v>
      </c>
      <c r="B103">
        <f t="shared" si="13"/>
        <v>7556.6100012454799</v>
      </c>
      <c r="C103">
        <f t="shared" si="14"/>
        <v>6.0452880009963845</v>
      </c>
      <c r="D103">
        <f t="shared" si="15"/>
        <v>40892.65528924649</v>
      </c>
    </row>
    <row r="104" spans="1:4" x14ac:dyDescent="0.3">
      <c r="A104">
        <v>103</v>
      </c>
      <c r="B104">
        <f t="shared" si="13"/>
        <v>7232.6552892464761</v>
      </c>
      <c r="C104">
        <f t="shared" si="14"/>
        <v>5.7861242313971815</v>
      </c>
      <c r="D104">
        <f t="shared" si="15"/>
        <v>40898.441413477885</v>
      </c>
    </row>
    <row r="105" spans="1:4" x14ac:dyDescent="0.3">
      <c r="A105">
        <v>104</v>
      </c>
      <c r="B105">
        <f t="shared" si="13"/>
        <v>6908.4414134778735</v>
      </c>
      <c r="C105">
        <f t="shared" si="14"/>
        <v>5.526753130782299</v>
      </c>
      <c r="D105">
        <f t="shared" si="15"/>
        <v>40903.968166608669</v>
      </c>
    </row>
    <row r="106" spans="1:4" x14ac:dyDescent="0.3">
      <c r="A106">
        <v>105</v>
      </c>
      <c r="B106">
        <f t="shared" si="13"/>
        <v>6583.9681666086562</v>
      </c>
      <c r="C106">
        <f t="shared" si="14"/>
        <v>5.2671745332869255</v>
      </c>
      <c r="D106">
        <f t="shared" si="15"/>
        <v>40909.235341141954</v>
      </c>
    </row>
    <row r="107" spans="1:4" x14ac:dyDescent="0.3">
      <c r="A107">
        <v>106</v>
      </c>
      <c r="B107">
        <f t="shared" si="13"/>
        <v>6259.2353411419435</v>
      </c>
      <c r="C107">
        <f t="shared" si="14"/>
        <v>5.0073882729135555</v>
      </c>
      <c r="D107">
        <f t="shared" si="15"/>
        <v>40914.242729414866</v>
      </c>
    </row>
    <row r="108" spans="1:4" x14ac:dyDescent="0.3">
      <c r="A108">
        <v>107</v>
      </c>
      <c r="B108">
        <f t="shared" ref="B108:B171" si="16">B107-$G$2+C107</f>
        <v>5934.2427294148574</v>
      </c>
      <c r="C108">
        <f t="shared" ref="C108:C171" si="17">B108*$F$2</f>
        <v>4.7473941835318865</v>
      </c>
      <c r="D108">
        <f t="shared" ref="D108:D171" si="18">D107+C108</f>
        <v>40918.9901235984</v>
      </c>
    </row>
    <row r="109" spans="1:4" x14ac:dyDescent="0.3">
      <c r="A109">
        <v>108</v>
      </c>
      <c r="B109">
        <f t="shared" si="16"/>
        <v>5608.9901235983889</v>
      </c>
      <c r="C109">
        <f t="shared" si="17"/>
        <v>4.4871920988787117</v>
      </c>
      <c r="D109">
        <f t="shared" si="18"/>
        <v>40923.477315697281</v>
      </c>
    </row>
    <row r="110" spans="1:4" x14ac:dyDescent="0.3">
      <c r="A110">
        <v>109</v>
      </c>
      <c r="B110">
        <f t="shared" si="16"/>
        <v>5283.4773156972678</v>
      </c>
      <c r="C110">
        <f t="shared" si="17"/>
        <v>4.2267818525578145</v>
      </c>
      <c r="D110">
        <f t="shared" si="18"/>
        <v>40927.704097549838</v>
      </c>
    </row>
    <row r="111" spans="1:4" x14ac:dyDescent="0.3">
      <c r="A111">
        <v>110</v>
      </c>
      <c r="B111">
        <f t="shared" si="16"/>
        <v>4957.7040975498257</v>
      </c>
      <c r="C111">
        <f t="shared" si="17"/>
        <v>3.9661632780398608</v>
      </c>
      <c r="D111">
        <f t="shared" si="18"/>
        <v>40931.670260827879</v>
      </c>
    </row>
    <row r="112" spans="1:4" x14ac:dyDescent="0.3">
      <c r="A112">
        <v>111</v>
      </c>
      <c r="B112">
        <f t="shared" si="16"/>
        <v>4631.6702608278656</v>
      </c>
      <c r="C112">
        <f t="shared" si="17"/>
        <v>3.7053362086622927</v>
      </c>
      <c r="D112">
        <f t="shared" si="18"/>
        <v>40935.375597036538</v>
      </c>
    </row>
    <row r="113" spans="1:4" x14ac:dyDescent="0.3">
      <c r="A113">
        <v>112</v>
      </c>
      <c r="B113">
        <f t="shared" si="16"/>
        <v>4305.3755970365282</v>
      </c>
      <c r="C113">
        <f t="shared" si="17"/>
        <v>3.4443004776292225</v>
      </c>
      <c r="D113">
        <f t="shared" si="18"/>
        <v>40938.819897514164</v>
      </c>
    </row>
    <row r="114" spans="1:4" x14ac:dyDescent="0.3">
      <c r="A114">
        <v>113</v>
      </c>
      <c r="B114">
        <f t="shared" si="16"/>
        <v>3978.8198975141577</v>
      </c>
      <c r="C114">
        <f t="shared" si="17"/>
        <v>3.1830559180113265</v>
      </c>
      <c r="D114">
        <f t="shared" si="18"/>
        <v>40942.002953432173</v>
      </c>
    </row>
    <row r="115" spans="1:4" x14ac:dyDescent="0.3">
      <c r="A115">
        <v>114</v>
      </c>
      <c r="B115">
        <f t="shared" si="16"/>
        <v>3652.0029534321689</v>
      </c>
      <c r="C115">
        <f t="shared" si="17"/>
        <v>2.9216023627457353</v>
      </c>
      <c r="D115">
        <f t="shared" si="18"/>
        <v>40944.924555794918</v>
      </c>
    </row>
    <row r="116" spans="1:4" x14ac:dyDescent="0.3">
      <c r="A116">
        <v>115</v>
      </c>
      <c r="B116">
        <f t="shared" si="16"/>
        <v>3324.9245557949148</v>
      </c>
      <c r="C116">
        <f t="shared" si="17"/>
        <v>2.6599396446359318</v>
      </c>
      <c r="D116">
        <f t="shared" si="18"/>
        <v>40947.584495439551</v>
      </c>
    </row>
    <row r="117" spans="1:4" x14ac:dyDescent="0.3">
      <c r="A117">
        <v>116</v>
      </c>
      <c r="B117">
        <f t="shared" si="16"/>
        <v>2997.5844954395507</v>
      </c>
      <c r="C117">
        <f t="shared" si="17"/>
        <v>2.3980675963516407</v>
      </c>
      <c r="D117">
        <f t="shared" si="18"/>
        <v>40949.982563035905</v>
      </c>
    </row>
    <row r="118" spans="1:4" x14ac:dyDescent="0.3">
      <c r="A118">
        <v>117</v>
      </c>
      <c r="B118">
        <f t="shared" si="16"/>
        <v>2669.9825630359023</v>
      </c>
      <c r="C118">
        <f t="shared" si="17"/>
        <v>2.135986050428722</v>
      </c>
      <c r="D118">
        <f t="shared" si="18"/>
        <v>40952.118549086335</v>
      </c>
    </row>
    <row r="119" spans="1:4" x14ac:dyDescent="0.3">
      <c r="A119">
        <v>118</v>
      </c>
      <c r="B119">
        <f t="shared" si="16"/>
        <v>2342.1185490863309</v>
      </c>
      <c r="C119">
        <f t="shared" si="17"/>
        <v>1.8736948392690649</v>
      </c>
      <c r="D119">
        <f t="shared" si="18"/>
        <v>40953.992243925604</v>
      </c>
    </row>
    <row r="120" spans="1:4" x14ac:dyDescent="0.3">
      <c r="A120">
        <v>119</v>
      </c>
      <c r="B120">
        <f t="shared" si="16"/>
        <v>2013.9922439256</v>
      </c>
      <c r="C120">
        <f t="shared" si="17"/>
        <v>1.61119379514048</v>
      </c>
      <c r="D120">
        <f t="shared" si="18"/>
        <v>40955.603437720747</v>
      </c>
    </row>
    <row r="121" spans="1:4" x14ac:dyDescent="0.3">
      <c r="A121">
        <v>120</v>
      </c>
      <c r="B121">
        <f t="shared" si="16"/>
        <v>1685.6034377207404</v>
      </c>
      <c r="C121">
        <f t="shared" si="17"/>
        <v>1.3484827501765924</v>
      </c>
      <c r="D121">
        <f t="shared" si="18"/>
        <v>40956.951920470921</v>
      </c>
    </row>
    <row r="122" spans="1:4" x14ac:dyDescent="0.3">
      <c r="A122">
        <v>121</v>
      </c>
      <c r="B122">
        <f t="shared" si="16"/>
        <v>1356.951920470917</v>
      </c>
      <c r="C122">
        <f t="shared" si="17"/>
        <v>1.0855615363767337</v>
      </c>
      <c r="D122">
        <f t="shared" si="18"/>
        <v>40958.037482007298</v>
      </c>
    </row>
    <row r="123" spans="1:4" x14ac:dyDescent="0.3">
      <c r="A123">
        <v>122</v>
      </c>
      <c r="B123">
        <f t="shared" si="16"/>
        <v>1028.0374820072936</v>
      </c>
      <c r="C123">
        <f t="shared" si="17"/>
        <v>0.82242998560583491</v>
      </c>
      <c r="D123">
        <f t="shared" si="18"/>
        <v>40958.859911992906</v>
      </c>
    </row>
    <row r="124" spans="1:4" x14ac:dyDescent="0.3">
      <c r="A124">
        <v>123</v>
      </c>
      <c r="B124">
        <f t="shared" si="16"/>
        <v>698.85991199289947</v>
      </c>
      <c r="C124">
        <f t="shared" si="17"/>
        <v>0.55908792959431963</v>
      </c>
      <c r="D124">
        <f t="shared" si="18"/>
        <v>40959.418999922498</v>
      </c>
    </row>
    <row r="125" spans="1:4" x14ac:dyDescent="0.3">
      <c r="A125">
        <v>124</v>
      </c>
      <c r="B125">
        <f t="shared" si="16"/>
        <v>369.41899992249381</v>
      </c>
      <c r="C125">
        <f t="shared" si="17"/>
        <v>0.29553519993799504</v>
      </c>
      <c r="D125">
        <f t="shared" si="18"/>
        <v>40959.714535122439</v>
      </c>
    </row>
    <row r="126" spans="1:4" x14ac:dyDescent="0.3">
      <c r="A126">
        <v>125</v>
      </c>
      <c r="B126">
        <f t="shared" si="16"/>
        <v>39.714535122431805</v>
      </c>
      <c r="C126">
        <f t="shared" si="17"/>
        <v>3.1771628097945447E-2</v>
      </c>
      <c r="D126">
        <f t="shared" si="18"/>
        <v>40959.746306750538</v>
      </c>
    </row>
    <row r="127" spans="1:4" x14ac:dyDescent="0.3">
      <c r="A127">
        <v>126</v>
      </c>
      <c r="B127">
        <f t="shared" si="16"/>
        <v>-290.25369324947025</v>
      </c>
      <c r="C127">
        <f t="shared" si="17"/>
        <v>-0.23220295459957621</v>
      </c>
      <c r="D127">
        <f t="shared" si="18"/>
        <v>40959.51410379594</v>
      </c>
    </row>
    <row r="128" spans="1:4" x14ac:dyDescent="0.3">
      <c r="A128">
        <v>127</v>
      </c>
      <c r="B128">
        <f t="shared" si="16"/>
        <v>-620.48589620406972</v>
      </c>
      <c r="C128">
        <f t="shared" si="17"/>
        <v>-0.49638871696325582</v>
      </c>
      <c r="D128">
        <f t="shared" si="18"/>
        <v>40959.017715078975</v>
      </c>
    </row>
    <row r="129" spans="1:4" x14ac:dyDescent="0.3">
      <c r="A129">
        <v>128</v>
      </c>
      <c r="B129">
        <f t="shared" si="16"/>
        <v>-950.98228492103294</v>
      </c>
      <c r="C129">
        <f t="shared" si="17"/>
        <v>-0.76078582793682636</v>
      </c>
      <c r="D129">
        <f t="shared" si="18"/>
        <v>40958.256929251038</v>
      </c>
    </row>
    <row r="130" spans="1:4" x14ac:dyDescent="0.3">
      <c r="A130">
        <v>129</v>
      </c>
      <c r="B130">
        <f t="shared" si="16"/>
        <v>-1281.7430707489698</v>
      </c>
      <c r="C130">
        <f t="shared" si="17"/>
        <v>-1.0253944565991759</v>
      </c>
      <c r="D130">
        <f>D129+C130</f>
        <v>40957.231534794439</v>
      </c>
    </row>
    <row r="131" spans="1:4" x14ac:dyDescent="0.3">
      <c r="A131">
        <v>130</v>
      </c>
      <c r="B131">
        <f t="shared" si="16"/>
        <v>-1612.7684652055689</v>
      </c>
      <c r="C131">
        <f t="shared" si="17"/>
        <v>-1.2902147721644552</v>
      </c>
      <c r="D131">
        <f t="shared" si="18"/>
        <v>40955.941320022277</v>
      </c>
    </row>
    <row r="132" spans="1:4" x14ac:dyDescent="0.3">
      <c r="A132">
        <v>131</v>
      </c>
      <c r="B132">
        <f t="shared" si="16"/>
        <v>-1944.0586799777334</v>
      </c>
      <c r="C132">
        <f t="shared" si="17"/>
        <v>-1.5552469439821868</v>
      </c>
      <c r="D132">
        <f t="shared" si="18"/>
        <v>40954.386073078298</v>
      </c>
    </row>
    <row r="133" spans="1:4" x14ac:dyDescent="0.3">
      <c r="A133">
        <v>132</v>
      </c>
      <c r="B133">
        <f t="shared" si="16"/>
        <v>-2275.6139269217156</v>
      </c>
      <c r="C133">
        <f t="shared" si="17"/>
        <v>-1.8204911415373726</v>
      </c>
      <c r="D133">
        <f t="shared" si="18"/>
        <v>40952.56558193676</v>
      </c>
    </row>
    <row r="134" spans="1:4" x14ac:dyDescent="0.3">
      <c r="A134">
        <v>133</v>
      </c>
      <c r="B134">
        <f t="shared" si="16"/>
        <v>-2607.4344180632529</v>
      </c>
      <c r="C134">
        <f t="shared" si="17"/>
        <v>-2.0859475344506024</v>
      </c>
      <c r="D134">
        <f t="shared" si="18"/>
        <v>40950.479634402313</v>
      </c>
    </row>
    <row r="135" spans="1:4" x14ac:dyDescent="0.3">
      <c r="A135">
        <v>134</v>
      </c>
      <c r="B135">
        <f t="shared" si="16"/>
        <v>-2939.5203655977034</v>
      </c>
      <c r="C135">
        <f t="shared" si="17"/>
        <v>-2.351616292478163</v>
      </c>
      <c r="D135">
        <f t="shared" si="18"/>
        <v>40948.128018109834</v>
      </c>
    </row>
    <row r="136" spans="1:4" x14ac:dyDescent="0.3">
      <c r="A136">
        <v>135</v>
      </c>
      <c r="B136">
        <f t="shared" si="16"/>
        <v>-3271.8719818901814</v>
      </c>
      <c r="C136">
        <f t="shared" si="17"/>
        <v>-2.6174975855121452</v>
      </c>
      <c r="D136">
        <f t="shared" si="18"/>
        <v>40945.510520524324</v>
      </c>
    </row>
    <row r="137" spans="1:4" x14ac:dyDescent="0.3">
      <c r="A137">
        <v>136</v>
      </c>
      <c r="B137">
        <f t="shared" si="16"/>
        <v>-3604.4894794756933</v>
      </c>
      <c r="C137">
        <f t="shared" si="17"/>
        <v>-2.883591583580555</v>
      </c>
      <c r="D137">
        <f t="shared" si="18"/>
        <v>40942.626928940743</v>
      </c>
    </row>
    <row r="138" spans="1:4" x14ac:dyDescent="0.3">
      <c r="A138">
        <v>137</v>
      </c>
      <c r="B138">
        <f t="shared" si="16"/>
        <v>-3937.373071059274</v>
      </c>
      <c r="C138">
        <f t="shared" si="17"/>
        <v>-3.1498984568474193</v>
      </c>
      <c r="D138">
        <f t="shared" si="18"/>
        <v>40939.477030483897</v>
      </c>
    </row>
    <row r="139" spans="1:4" x14ac:dyDescent="0.3">
      <c r="A139">
        <v>138</v>
      </c>
      <c r="B139">
        <f t="shared" si="16"/>
        <v>-4270.5229695161206</v>
      </c>
      <c r="C139">
        <f t="shared" si="17"/>
        <v>-3.4164183756128965</v>
      </c>
      <c r="D139">
        <f t="shared" si="18"/>
        <v>40936.060612108282</v>
      </c>
    </row>
    <row r="140" spans="1:4" x14ac:dyDescent="0.3">
      <c r="A140">
        <v>139</v>
      </c>
      <c r="B140">
        <f t="shared" si="16"/>
        <v>-4603.9393878917335</v>
      </c>
      <c r="C140">
        <f t="shared" si="17"/>
        <v>-3.6831515103133872</v>
      </c>
      <c r="D140">
        <f t="shared" si="18"/>
        <v>40932.377460597971</v>
      </c>
    </row>
    <row r="141" spans="1:4" x14ac:dyDescent="0.3">
      <c r="A141">
        <v>140</v>
      </c>
      <c r="B141">
        <f t="shared" si="16"/>
        <v>-4937.6225394020466</v>
      </c>
      <c r="C141">
        <f t="shared" si="17"/>
        <v>-3.9500980315216374</v>
      </c>
      <c r="D141">
        <f t="shared" si="18"/>
        <v>40928.42736256645</v>
      </c>
    </row>
    <row r="142" spans="1:4" x14ac:dyDescent="0.3">
      <c r="A142">
        <v>141</v>
      </c>
      <c r="B142">
        <f t="shared" si="16"/>
        <v>-5271.5726374335682</v>
      </c>
      <c r="C142">
        <f t="shared" si="17"/>
        <v>-4.2172581099468545</v>
      </c>
      <c r="D142">
        <f t="shared" si="18"/>
        <v>40924.210104456506</v>
      </c>
    </row>
    <row r="143" spans="1:4" x14ac:dyDescent="0.3">
      <c r="A143">
        <v>142</v>
      </c>
      <c r="B143">
        <f t="shared" si="16"/>
        <v>-5605.7898955435148</v>
      </c>
      <c r="C143">
        <f t="shared" si="17"/>
        <v>-4.4846319164348118</v>
      </c>
      <c r="D143">
        <f t="shared" si="18"/>
        <v>40919.725472540071</v>
      </c>
    </row>
    <row r="144" spans="1:4" x14ac:dyDescent="0.3">
      <c r="A144">
        <v>143</v>
      </c>
      <c r="B144">
        <f t="shared" si="16"/>
        <v>-5940.2745274599492</v>
      </c>
      <c r="C144">
        <f t="shared" si="17"/>
        <v>-4.75221962196796</v>
      </c>
      <c r="D144">
        <f t="shared" si="18"/>
        <v>40914.973252918106</v>
      </c>
    </row>
    <row r="145" spans="1:4" x14ac:dyDescent="0.3">
      <c r="A145">
        <v>144</v>
      </c>
      <c r="B145">
        <f t="shared" si="16"/>
        <v>-6275.0267470819172</v>
      </c>
      <c r="C145">
        <f t="shared" si="17"/>
        <v>-5.0200213976655341</v>
      </c>
      <c r="D145">
        <f t="shared" si="18"/>
        <v>40909.953231520441</v>
      </c>
    </row>
    <row r="146" spans="1:4" x14ac:dyDescent="0.3">
      <c r="A146">
        <v>145</v>
      </c>
      <c r="B146">
        <f t="shared" si="16"/>
        <v>-6610.0467684795831</v>
      </c>
      <c r="C146">
        <f t="shared" si="17"/>
        <v>-5.2880374147836671</v>
      </c>
      <c r="D146">
        <f t="shared" si="18"/>
        <v>40904.665194105655</v>
      </c>
    </row>
    <row r="147" spans="1:4" x14ac:dyDescent="0.3">
      <c r="A147">
        <v>146</v>
      </c>
      <c r="B147">
        <f t="shared" si="16"/>
        <v>-6945.3348058943666</v>
      </c>
      <c r="C147">
        <f t="shared" si="17"/>
        <v>-5.5562678447154932</v>
      </c>
      <c r="D147">
        <f t="shared" si="18"/>
        <v>40899.108926260938</v>
      </c>
    </row>
    <row r="148" spans="1:4" x14ac:dyDescent="0.3">
      <c r="A148">
        <v>147</v>
      </c>
      <c r="B148">
        <f t="shared" si="16"/>
        <v>-7280.8910737390825</v>
      </c>
      <c r="C148">
        <f t="shared" si="17"/>
        <v>-5.8247128589912665</v>
      </c>
      <c r="D148">
        <f t="shared" si="18"/>
        <v>40893.284213401945</v>
      </c>
    </row>
    <row r="149" spans="1:4" x14ac:dyDescent="0.3">
      <c r="A149">
        <v>148</v>
      </c>
      <c r="B149">
        <f t="shared" si="16"/>
        <v>-7616.7157865980735</v>
      </c>
      <c r="C149">
        <f t="shared" si="17"/>
        <v>-6.0933726292784591</v>
      </c>
      <c r="D149">
        <f t="shared" si="18"/>
        <v>40887.190840772666</v>
      </c>
    </row>
    <row r="150" spans="1:4" x14ac:dyDescent="0.3">
      <c r="A150">
        <v>149</v>
      </c>
      <c r="B150">
        <f t="shared" si="16"/>
        <v>-7952.8091592273522</v>
      </c>
      <c r="C150">
        <f t="shared" si="17"/>
        <v>-6.3622473273818825</v>
      </c>
      <c r="D150">
        <f t="shared" si="18"/>
        <v>40880.828593445287</v>
      </c>
    </row>
    <row r="151" spans="1:4" x14ac:dyDescent="0.3">
      <c r="A151">
        <v>150</v>
      </c>
      <c r="B151">
        <f t="shared" si="16"/>
        <v>-8289.1714065547349</v>
      </c>
      <c r="C151">
        <f t="shared" si="17"/>
        <v>-6.631337125243788</v>
      </c>
      <c r="D151">
        <f t="shared" si="18"/>
        <v>40874.19725632004</v>
      </c>
    </row>
    <row r="152" spans="1:4" x14ac:dyDescent="0.3">
      <c r="A152">
        <v>151</v>
      </c>
      <c r="B152">
        <f t="shared" si="16"/>
        <v>-8625.8027436799784</v>
      </c>
      <c r="C152">
        <f t="shared" si="17"/>
        <v>-6.9006421949439831</v>
      </c>
      <c r="D152">
        <f t="shared" si="18"/>
        <v>40867.296614125094</v>
      </c>
    </row>
    <row r="153" spans="1:4" x14ac:dyDescent="0.3">
      <c r="A153">
        <v>152</v>
      </c>
      <c r="B153">
        <f t="shared" si="16"/>
        <v>-8962.7033858749219</v>
      </c>
      <c r="C153">
        <f t="shared" si="17"/>
        <v>-7.1701627086999382</v>
      </c>
      <c r="D153">
        <f t="shared" si="18"/>
        <v>40860.126451416392</v>
      </c>
    </row>
    <row r="154" spans="1:4" x14ac:dyDescent="0.3">
      <c r="A154">
        <v>153</v>
      </c>
      <c r="B154">
        <f t="shared" si="16"/>
        <v>-9299.8735485836223</v>
      </c>
      <c r="C154">
        <f t="shared" si="17"/>
        <v>-7.4398988388668981</v>
      </c>
      <c r="D154">
        <f t="shared" si="18"/>
        <v>40852.686552577528</v>
      </c>
    </row>
    <row r="155" spans="1:4" x14ac:dyDescent="0.3">
      <c r="A155">
        <v>154</v>
      </c>
      <c r="B155">
        <f t="shared" si="16"/>
        <v>-9637.3134474224898</v>
      </c>
      <c r="C155">
        <f t="shared" si="17"/>
        <v>-7.7098507579379927</v>
      </c>
      <c r="D155">
        <f t="shared" si="18"/>
        <v>40844.976701819593</v>
      </c>
    </row>
    <row r="156" spans="1:4" x14ac:dyDescent="0.3">
      <c r="A156">
        <v>155</v>
      </c>
      <c r="B156">
        <f t="shared" si="16"/>
        <v>-9975.0232981804274</v>
      </c>
      <c r="C156">
        <f t="shared" si="17"/>
        <v>-7.9800186385443421</v>
      </c>
      <c r="D156">
        <f t="shared" si="18"/>
        <v>40836.996683181045</v>
      </c>
    </row>
    <row r="157" spans="1:4" x14ac:dyDescent="0.3">
      <c r="A157">
        <v>156</v>
      </c>
      <c r="B157">
        <f t="shared" si="16"/>
        <v>-10313.003316818971</v>
      </c>
      <c r="C157">
        <f t="shared" si="17"/>
        <v>-8.2504026534551773</v>
      </c>
      <c r="D157">
        <f t="shared" si="18"/>
        <v>40828.746280527594</v>
      </c>
    </row>
    <row r="158" spans="1:4" x14ac:dyDescent="0.3">
      <c r="A158">
        <v>157</v>
      </c>
      <c r="B158">
        <f t="shared" si="16"/>
        <v>-10651.253719472426</v>
      </c>
      <c r="C158">
        <f t="shared" si="17"/>
        <v>-8.5210029755779413</v>
      </c>
      <c r="D158">
        <f t="shared" si="18"/>
        <v>40820.225277552017</v>
      </c>
    </row>
    <row r="159" spans="1:4" x14ac:dyDescent="0.3">
      <c r="A159">
        <v>158</v>
      </c>
      <c r="B159">
        <f t="shared" si="16"/>
        <v>-10989.774722448004</v>
      </c>
      <c r="C159">
        <f t="shared" si="17"/>
        <v>-8.7918197779584037</v>
      </c>
      <c r="D159">
        <f t="shared" si="18"/>
        <v>40811.433457774059</v>
      </c>
    </row>
    <row r="160" spans="1:4" x14ac:dyDescent="0.3">
      <c r="A160">
        <v>159</v>
      </c>
      <c r="B160">
        <f t="shared" si="16"/>
        <v>-11328.566542225963</v>
      </c>
      <c r="C160">
        <f t="shared" si="17"/>
        <v>-9.0628532337807712</v>
      </c>
      <c r="D160">
        <f t="shared" si="18"/>
        <v>40802.37060454028</v>
      </c>
    </row>
    <row r="161" spans="1:4" x14ac:dyDescent="0.3">
      <c r="A161">
        <v>160</v>
      </c>
      <c r="B161">
        <f t="shared" si="16"/>
        <v>-11667.629395459744</v>
      </c>
      <c r="C161">
        <f t="shared" si="17"/>
        <v>-9.3341035163677955</v>
      </c>
      <c r="D161">
        <f t="shared" si="18"/>
        <v>40793.036501023911</v>
      </c>
    </row>
    <row r="162" spans="1:4" x14ac:dyDescent="0.3">
      <c r="A162">
        <v>161</v>
      </c>
      <c r="B162">
        <f t="shared" si="16"/>
        <v>-12006.963498976113</v>
      </c>
      <c r="C162">
        <f t="shared" si="17"/>
        <v>-9.6055707991808905</v>
      </c>
      <c r="D162">
        <f t="shared" si="18"/>
        <v>40783.430930224727</v>
      </c>
    </row>
    <row r="163" spans="1:4" x14ac:dyDescent="0.3">
      <c r="A163">
        <v>162</v>
      </c>
      <c r="B163">
        <f t="shared" si="16"/>
        <v>-12346.569069775293</v>
      </c>
      <c r="C163">
        <f t="shared" si="17"/>
        <v>-9.8772552558202342</v>
      </c>
      <c r="D163">
        <f t="shared" si="18"/>
        <v>40773.553674968905</v>
      </c>
    </row>
    <row r="164" spans="1:4" x14ac:dyDescent="0.3">
      <c r="A164">
        <v>163</v>
      </c>
      <c r="B164">
        <f t="shared" si="16"/>
        <v>-12686.446325031113</v>
      </c>
      <c r="C164">
        <f t="shared" si="17"/>
        <v>-10.149157060024891</v>
      </c>
      <c r="D164">
        <f t="shared" si="18"/>
        <v>40763.404517908879</v>
      </c>
    </row>
    <row r="165" spans="1:4" x14ac:dyDescent="0.3">
      <c r="A165">
        <v>164</v>
      </c>
      <c r="B165">
        <f t="shared" si="16"/>
        <v>-13026.595482091137</v>
      </c>
      <c r="C165">
        <f t="shared" si="17"/>
        <v>-10.421276385672911</v>
      </c>
      <c r="D165">
        <f t="shared" si="18"/>
        <v>40752.983241523209</v>
      </c>
    </row>
    <row r="166" spans="1:4" x14ac:dyDescent="0.3">
      <c r="A166">
        <v>165</v>
      </c>
      <c r="B166">
        <f t="shared" si="16"/>
        <v>-13367.01675847681</v>
      </c>
      <c r="C166">
        <f t="shared" si="17"/>
        <v>-10.693613406781449</v>
      </c>
      <c r="D166">
        <f t="shared" si="18"/>
        <v>40742.289628116429</v>
      </c>
    </row>
    <row r="167" spans="1:4" x14ac:dyDescent="0.3">
      <c r="A167">
        <v>166</v>
      </c>
      <c r="B167">
        <f t="shared" si="16"/>
        <v>-13707.710371883592</v>
      </c>
      <c r="C167">
        <f t="shared" si="17"/>
        <v>-10.966168297506874</v>
      </c>
      <c r="D167">
        <f t="shared" si="18"/>
        <v>40731.323459818923</v>
      </c>
    </row>
    <row r="168" spans="1:4" x14ac:dyDescent="0.3">
      <c r="A168">
        <v>167</v>
      </c>
      <c r="B168">
        <f t="shared" si="16"/>
        <v>-14048.676540181099</v>
      </c>
      <c r="C168">
        <f t="shared" si="17"/>
        <v>-11.23894123214488</v>
      </c>
      <c r="D168">
        <f t="shared" si="18"/>
        <v>40720.08451858678</v>
      </c>
    </row>
    <row r="169" spans="1:4" x14ac:dyDescent="0.3">
      <c r="A169">
        <v>168</v>
      </c>
      <c r="B169">
        <f t="shared" si="16"/>
        <v>-14389.915481413243</v>
      </c>
      <c r="C169">
        <f t="shared" si="17"/>
        <v>-11.511932385130596</v>
      </c>
      <c r="D169">
        <f t="shared" si="18"/>
        <v>40708.572586201648</v>
      </c>
    </row>
    <row r="170" spans="1:4" x14ac:dyDescent="0.3">
      <c r="A170">
        <v>169</v>
      </c>
      <c r="B170">
        <f t="shared" si="16"/>
        <v>-14731.427413798374</v>
      </c>
      <c r="C170">
        <f t="shared" si="17"/>
        <v>-11.7851419310387</v>
      </c>
      <c r="D170">
        <f t="shared" si="18"/>
        <v>40696.787444270609</v>
      </c>
    </row>
    <row r="171" spans="1:4" x14ac:dyDescent="0.3">
      <c r="A171">
        <v>170</v>
      </c>
      <c r="B171">
        <f t="shared" si="16"/>
        <v>-15073.212555729413</v>
      </c>
      <c r="C171">
        <f t="shared" si="17"/>
        <v>-12.058570044583531</v>
      </c>
      <c r="D171">
        <f t="shared" si="18"/>
        <v>40684.728874226028</v>
      </c>
    </row>
    <row r="172" spans="1:4" x14ac:dyDescent="0.3">
      <c r="A172">
        <v>171</v>
      </c>
      <c r="B172">
        <f t="shared" ref="B172:B200" si="19">B171-$G$2+C171</f>
        <v>-15415.271125773996</v>
      </c>
      <c r="C172">
        <f t="shared" ref="C172:C200" si="20">B172*$F$2</f>
        <v>-12.332216900619198</v>
      </c>
      <c r="D172">
        <f t="shared" ref="D172:D200" si="21">D171+C172</f>
        <v>40672.396657325407</v>
      </c>
    </row>
    <row r="173" spans="1:4" x14ac:dyDescent="0.3">
      <c r="A173">
        <v>172</v>
      </c>
      <c r="B173">
        <f t="shared" si="19"/>
        <v>-15757.603342674614</v>
      </c>
      <c r="C173">
        <f t="shared" si="20"/>
        <v>-12.606082674139692</v>
      </c>
      <c r="D173">
        <f t="shared" si="21"/>
        <v>40659.79057465127</v>
      </c>
    </row>
    <row r="174" spans="1:4" x14ac:dyDescent="0.3">
      <c r="A174">
        <v>173</v>
      </c>
      <c r="B174">
        <f t="shared" si="19"/>
        <v>-16100.209425348754</v>
      </c>
      <c r="C174">
        <f t="shared" si="20"/>
        <v>-12.880167540279004</v>
      </c>
      <c r="D174">
        <f t="shared" si="21"/>
        <v>40646.91040711099</v>
      </c>
    </row>
    <row r="175" spans="1:4" x14ac:dyDescent="0.3">
      <c r="A175">
        <v>174</v>
      </c>
      <c r="B175">
        <f t="shared" si="19"/>
        <v>-16443.089592889031</v>
      </c>
      <c r="C175">
        <f t="shared" si="20"/>
        <v>-13.154471674311226</v>
      </c>
      <c r="D175">
        <f t="shared" si="21"/>
        <v>40633.755935436682</v>
      </c>
    </row>
    <row r="176" spans="1:4" x14ac:dyDescent="0.3">
      <c r="A176">
        <v>175</v>
      </c>
      <c r="B176">
        <f t="shared" si="19"/>
        <v>-16786.244064563343</v>
      </c>
      <c r="C176">
        <f t="shared" si="20"/>
        <v>-13.428995251650676</v>
      </c>
      <c r="D176">
        <f t="shared" si="21"/>
        <v>40620.326940185034</v>
      </c>
    </row>
    <row r="177" spans="1:4" x14ac:dyDescent="0.3">
      <c r="A177">
        <v>176</v>
      </c>
      <c r="B177">
        <f t="shared" si="19"/>
        <v>-17129.673059814995</v>
      </c>
      <c r="C177">
        <f t="shared" si="20"/>
        <v>-13.703738447851997</v>
      </c>
      <c r="D177">
        <f t="shared" si="21"/>
        <v>40606.62320173718</v>
      </c>
    </row>
    <row r="178" spans="1:4" x14ac:dyDescent="0.3">
      <c r="A178">
        <v>177</v>
      </c>
      <c r="B178">
        <f t="shared" si="19"/>
        <v>-17473.376798262849</v>
      </c>
      <c r="C178">
        <f t="shared" si="20"/>
        <v>-13.97870143861028</v>
      </c>
      <c r="D178">
        <f t="shared" si="21"/>
        <v>40592.644500298571</v>
      </c>
    </row>
    <row r="179" spans="1:4" x14ac:dyDescent="0.3">
      <c r="A179">
        <v>178</v>
      </c>
      <c r="B179">
        <f t="shared" si="19"/>
        <v>-17817.355499701458</v>
      </c>
      <c r="C179">
        <f t="shared" si="20"/>
        <v>-14.253884399761168</v>
      </c>
      <c r="D179">
        <f t="shared" si="21"/>
        <v>40578.39061589881</v>
      </c>
    </row>
    <row r="180" spans="1:4" x14ac:dyDescent="0.3">
      <c r="A180">
        <v>179</v>
      </c>
      <c r="B180">
        <f t="shared" si="19"/>
        <v>-18161.609384101219</v>
      </c>
      <c r="C180">
        <f t="shared" si="20"/>
        <v>-14.529287507280976</v>
      </c>
      <c r="D180">
        <f t="shared" si="21"/>
        <v>40563.861328391526</v>
      </c>
    </row>
    <row r="181" spans="1:4" x14ac:dyDescent="0.3">
      <c r="A181">
        <v>180</v>
      </c>
      <c r="B181">
        <f t="shared" si="19"/>
        <v>-18506.1386716085</v>
      </c>
      <c r="C181">
        <f t="shared" si="20"/>
        <v>-14.804910937286801</v>
      </c>
      <c r="D181">
        <f t="shared" si="21"/>
        <v>40549.056417454238</v>
      </c>
    </row>
    <row r="182" spans="1:4" x14ac:dyDescent="0.3">
      <c r="A182">
        <v>181</v>
      </c>
      <c r="B182">
        <f t="shared" si="19"/>
        <v>-18850.943582545788</v>
      </c>
      <c r="C182">
        <f t="shared" si="20"/>
        <v>-15.080754866036632</v>
      </c>
      <c r="D182">
        <f t="shared" si="21"/>
        <v>40533.9756625882</v>
      </c>
    </row>
    <row r="183" spans="1:4" x14ac:dyDescent="0.3">
      <c r="A183">
        <v>182</v>
      </c>
      <c r="B183">
        <f t="shared" si="19"/>
        <v>-19196.024337411825</v>
      </c>
      <c r="C183">
        <f t="shared" si="20"/>
        <v>-15.35681946992946</v>
      </c>
      <c r="D183">
        <f t="shared" si="21"/>
        <v>40518.618843118267</v>
      </c>
    </row>
    <row r="184" spans="1:4" x14ac:dyDescent="0.3">
      <c r="A184">
        <v>183</v>
      </c>
      <c r="B184">
        <f t="shared" si="19"/>
        <v>-19541.381156881755</v>
      </c>
      <c r="C184">
        <f t="shared" si="20"/>
        <v>-15.633104925505405</v>
      </c>
      <c r="D184">
        <f t="shared" si="21"/>
        <v>40502.985738192765</v>
      </c>
    </row>
    <row r="185" spans="1:4" x14ac:dyDescent="0.3">
      <c r="A185">
        <v>184</v>
      </c>
      <c r="B185">
        <f t="shared" si="19"/>
        <v>-19887.01426180726</v>
      </c>
      <c r="C185">
        <f t="shared" si="20"/>
        <v>-15.909611409445809</v>
      </c>
      <c r="D185">
        <f t="shared" si="21"/>
        <v>40487.076126783322</v>
      </c>
    </row>
    <row r="186" spans="1:4" x14ac:dyDescent="0.3">
      <c r="A186">
        <v>185</v>
      </c>
      <c r="B186">
        <f t="shared" si="19"/>
        <v>-20232.923873216707</v>
      </c>
      <c r="C186">
        <f t="shared" si="20"/>
        <v>-16.186339098573367</v>
      </c>
      <c r="D186">
        <f t="shared" si="21"/>
        <v>40470.889787684748</v>
      </c>
    </row>
    <row r="187" spans="1:4" x14ac:dyDescent="0.3">
      <c r="A187">
        <v>186</v>
      </c>
      <c r="B187">
        <f t="shared" si="19"/>
        <v>-20579.110212315281</v>
      </c>
      <c r="C187">
        <f t="shared" si="20"/>
        <v>-16.463288169852227</v>
      </c>
      <c r="D187">
        <f t="shared" si="21"/>
        <v>40454.426499514899</v>
      </c>
    </row>
    <row r="188" spans="1:4" x14ac:dyDescent="0.3">
      <c r="A188">
        <v>187</v>
      </c>
      <c r="B188">
        <f t="shared" si="19"/>
        <v>-20925.573500485134</v>
      </c>
      <c r="C188">
        <f t="shared" si="20"/>
        <v>-16.740458800388108</v>
      </c>
      <c r="D188">
        <f t="shared" si="21"/>
        <v>40437.686040714514</v>
      </c>
    </row>
    <row r="189" spans="1:4" x14ac:dyDescent="0.3">
      <c r="A189">
        <v>188</v>
      </c>
      <c r="B189">
        <f t="shared" si="19"/>
        <v>-21272.313959285522</v>
      </c>
      <c r="C189">
        <f t="shared" si="20"/>
        <v>-17.017851167428418</v>
      </c>
      <c r="D189">
        <f t="shared" si="21"/>
        <v>40420.668189547083</v>
      </c>
    </row>
    <row r="190" spans="1:4" x14ac:dyDescent="0.3">
      <c r="A190">
        <v>189</v>
      </c>
      <c r="B190">
        <f t="shared" si="19"/>
        <v>-21619.33181045295</v>
      </c>
      <c r="C190">
        <f t="shared" si="20"/>
        <v>-17.295465448362361</v>
      </c>
      <c r="D190">
        <f t="shared" si="21"/>
        <v>40403.372724098721</v>
      </c>
    </row>
    <row r="191" spans="1:4" x14ac:dyDescent="0.3">
      <c r="A191">
        <v>190</v>
      </c>
      <c r="B191">
        <f t="shared" si="19"/>
        <v>-21966.627275901312</v>
      </c>
      <c r="C191">
        <f t="shared" si="20"/>
        <v>-17.573301820721049</v>
      </c>
      <c r="D191">
        <f t="shared" si="21"/>
        <v>40385.799422278003</v>
      </c>
    </row>
    <row r="192" spans="1:4" x14ac:dyDescent="0.3">
      <c r="A192">
        <v>191</v>
      </c>
      <c r="B192">
        <f t="shared" si="19"/>
        <v>-22314.200577722033</v>
      </c>
      <c r="C192">
        <f t="shared" si="20"/>
        <v>-17.851360462177627</v>
      </c>
      <c r="D192">
        <f t="shared" si="21"/>
        <v>40367.948061815827</v>
      </c>
    </row>
    <row r="193" spans="1:4" x14ac:dyDescent="0.3">
      <c r="A193">
        <v>192</v>
      </c>
      <c r="B193">
        <f t="shared" si="19"/>
        <v>-22662.05193818421</v>
      </c>
      <c r="C193">
        <f t="shared" si="20"/>
        <v>-18.129641550547369</v>
      </c>
      <c r="D193">
        <f t="shared" si="21"/>
        <v>40349.818420265277</v>
      </c>
    </row>
    <row r="194" spans="1:4" x14ac:dyDescent="0.3">
      <c r="A194">
        <v>193</v>
      </c>
      <c r="B194">
        <f t="shared" si="19"/>
        <v>-23010.181579734755</v>
      </c>
      <c r="C194">
        <f t="shared" si="20"/>
        <v>-18.408145263787805</v>
      </c>
      <c r="D194">
        <f t="shared" si="21"/>
        <v>40331.410275001486</v>
      </c>
    </row>
    <row r="195" spans="1:4" x14ac:dyDescent="0.3">
      <c r="A195">
        <v>194</v>
      </c>
      <c r="B195">
        <f t="shared" si="19"/>
        <v>-23358.589724998543</v>
      </c>
      <c r="C195">
        <f t="shared" si="20"/>
        <v>-18.686871779998835</v>
      </c>
      <c r="D195">
        <f t="shared" si="21"/>
        <v>40312.723403221491</v>
      </c>
    </row>
    <row r="196" spans="1:4" x14ac:dyDescent="0.3">
      <c r="A196">
        <v>195</v>
      </c>
      <c r="B196">
        <f t="shared" si="19"/>
        <v>-23707.276596778542</v>
      </c>
      <c r="C196">
        <f t="shared" si="20"/>
        <v>-18.965821277422833</v>
      </c>
      <c r="D196">
        <f t="shared" si="21"/>
        <v>40293.757581944068</v>
      </c>
    </row>
    <row r="197" spans="1:4" x14ac:dyDescent="0.3">
      <c r="A197">
        <v>196</v>
      </c>
      <c r="B197">
        <f t="shared" si="19"/>
        <v>-24056.242418055965</v>
      </c>
      <c r="C197">
        <f t="shared" si="20"/>
        <v>-19.244993934444771</v>
      </c>
      <c r="D197">
        <f t="shared" si="21"/>
        <v>40274.512588009624</v>
      </c>
    </row>
    <row r="198" spans="1:4" x14ac:dyDescent="0.3">
      <c r="A198">
        <v>197</v>
      </c>
      <c r="B198">
        <f t="shared" si="19"/>
        <v>-24405.487411990409</v>
      </c>
      <c r="C198">
        <f t="shared" si="20"/>
        <v>-19.524389929592328</v>
      </c>
      <c r="D198">
        <f t="shared" si="21"/>
        <v>40254.988198080035</v>
      </c>
    </row>
    <row r="199" spans="1:4" x14ac:dyDescent="0.3">
      <c r="A199">
        <v>198</v>
      </c>
      <c r="B199">
        <f t="shared" si="19"/>
        <v>-24755.011801920002</v>
      </c>
      <c r="C199">
        <f t="shared" si="20"/>
        <v>-19.804009441536003</v>
      </c>
      <c r="D199">
        <f t="shared" si="21"/>
        <v>40235.184188638501</v>
      </c>
    </row>
    <row r="200" spans="1:4" x14ac:dyDescent="0.3">
      <c r="A200">
        <v>199</v>
      </c>
      <c r="B200">
        <f t="shared" si="19"/>
        <v>-25104.815811361539</v>
      </c>
      <c r="C200">
        <f t="shared" si="20"/>
        <v>-20.083852649089231</v>
      </c>
      <c r="D200">
        <f t="shared" si="21"/>
        <v>40215.100335989409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���xGrh�
</file>

<file path=customXml/item6.xml>��
</file>

<file path=customXml/item7.xml>��
</file>

<file path=customXml/item8.xml>���xGrh�
</file>

<file path=customXml/item9.xml>��
</file>

<file path=customXml/item10.xml>��
</file>

<file path=customXml/item11.xml>���xGrh��xGrh�T�yTbir�Tpeϑ�N<Pg�_���_�e��T�yTbir�Tpeϑ�N<Pg�_���_�e��
</file>

<file path=customXml/item12.xml>���xGrh��xGrh�T�yTbir�Tpeϑ�N<Pg�_���_�e��
</file>

<file path=customXml/item13.xml>��
</file>

<file path=customXml/item14.xml>���xGrh�T�yTbir�Tpeϑ�N<Pg�_���_�e��T�yTbir�Tpeϑ�N<Pg�_���_�e��
</file>

<file path=customXml/item15.xml>��
</file>

<file path=customXml/item16.xml>��
</file>

<file path=customXml/item17.xml>���xGrh�
</file>

<file path=customXml/itemProps1.xml><?xml version="1.0" encoding="utf-8"?>
<ds:datastoreItem xmlns:ds="http://schemas.openxmlformats.org/officeDocument/2006/customXml" ds:itemID="{1851002F-1F92-4E7A-908F-241EEAD6BCE0}">
  <ds:schemaRefs/>
</ds:datastoreItem>
</file>

<file path=customXml/itemProps2.xml><?xml version="1.0" encoding="utf-8"?>
<ds:datastoreItem xmlns:ds="http://schemas.openxmlformats.org/officeDocument/2006/customXml" ds:itemID="{EC661CA2-4068-467E-BCAE-560E48F91CCC}">
  <ds:schemaRefs/>
</ds:datastoreItem>
</file>

<file path=customXml/itemProps3.xml><?xml version="1.0" encoding="utf-8"?>
<ds:datastoreItem xmlns:ds="http://schemas.openxmlformats.org/officeDocument/2006/customXml" ds:itemID="{771FA822-A2A9-4209-86AC-0E4AB23EC78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C249BA7-527E-4154-8757-8BBADEF1A309}">
  <ds:schemaRefs/>
</ds:datastoreItem>
</file>

<file path=customXml/itemProps5.xml><?xml version="1.0" encoding="utf-8"?>
<ds:datastoreItem xmlns:ds="http://schemas.openxmlformats.org/officeDocument/2006/customXml" ds:itemID="{A1DF2EDC-FE43-4A14-A435-B9299080D6AD}">
  <ds:schemaRefs/>
</ds:datastoreItem>
</file>

<file path=customXml/itemProps6.xml><?xml version="1.0" encoding="utf-8"?>
<ds:datastoreItem xmlns:ds="http://schemas.openxmlformats.org/officeDocument/2006/customXml" ds:itemID="{AFD6EF8B-90A3-4461-B012-E5CA3B5C2FFC}">
  <ds:schemaRefs/>
</ds:datastoreItem>
</file>

<file path=customXml/itemProps7.xml><?xml version="1.0" encoding="utf-8"?>
<ds:datastoreItem xmlns:ds="http://schemas.openxmlformats.org/officeDocument/2006/customXml" ds:itemID="{AEA6096F-6B02-498E-B78F-49CF01D72FA5}">
  <ds:schemaRefs/>
</ds:datastoreItem>
</file>

<file path=customXml/itemProps8.xml><?xml version="1.0" encoding="utf-8"?>
<ds:datastoreItem xmlns:ds="http://schemas.openxmlformats.org/officeDocument/2006/customXml" ds:itemID="{F00C5CC7-DA6D-4F5E-911A-CC8A2CDE529B}">
  <ds:schemaRefs/>
</ds:datastoreItem>
</file>

<file path=customXml/itemProps9.xml><?xml version="1.0" encoding="utf-8"?>
<ds:datastoreItem xmlns:ds="http://schemas.openxmlformats.org/officeDocument/2006/customXml" ds:itemID="{9B8628DB-A6A8-42A3-BD29-A9541D327E0D}">
  <ds:schemaRefs/>
</ds:datastoreItem>
</file>

<file path=customXml/itemProps10.xml><?xml version="1.0" encoding="utf-8"?>
<ds:datastoreItem xmlns:ds="http://schemas.openxmlformats.org/officeDocument/2006/customXml" ds:itemID="{BCA479A8-25A5-4976-8C47-1020DC00C8FC}">
  <ds:schemaRefs/>
</ds:datastoreItem>
</file>

<file path=customXml/itemProps11.xml><?xml version="1.0" encoding="utf-8"?>
<ds:datastoreItem xmlns:ds="http://schemas.openxmlformats.org/officeDocument/2006/customXml" ds:itemID="{753708C7-16A0-4685-B594-5132244924C9}">
  <ds:schemaRefs/>
</ds:datastoreItem>
</file>

<file path=customXml/itemProps12.xml><?xml version="1.0" encoding="utf-8"?>
<ds:datastoreItem xmlns:ds="http://schemas.openxmlformats.org/officeDocument/2006/customXml" ds:itemID="{591A0C9C-6001-4CD7-8BED-1AFB514633B2}">
  <ds:schemaRefs/>
</ds:datastoreItem>
</file>

<file path=customXml/itemProps13.xml><?xml version="1.0" encoding="utf-8"?>
<ds:datastoreItem xmlns:ds="http://schemas.openxmlformats.org/officeDocument/2006/customXml" ds:itemID="{C89727A6-1343-4D1B-B5D5-2270E691CF14}">
  <ds:schemaRefs/>
</ds:datastoreItem>
</file>

<file path=customXml/itemProps14.xml><?xml version="1.0" encoding="utf-8"?>
<ds:datastoreItem xmlns:ds="http://schemas.openxmlformats.org/officeDocument/2006/customXml" ds:itemID="{7CAE2E06-B563-4CC5-A80E-FAD91CA622B1}">
  <ds:schemaRefs/>
</ds:datastoreItem>
</file>

<file path=customXml/itemProps15.xml><?xml version="1.0" encoding="utf-8"?>
<ds:datastoreItem xmlns:ds="http://schemas.openxmlformats.org/officeDocument/2006/customXml" ds:itemID="{8D29B748-D67C-43D6-A4D2-E9CB9287B471}">
  <ds:schemaRefs/>
</ds:datastoreItem>
</file>

<file path=customXml/itemProps16.xml><?xml version="1.0" encoding="utf-8"?>
<ds:datastoreItem xmlns:ds="http://schemas.openxmlformats.org/officeDocument/2006/customXml" ds:itemID="{A29F676E-3100-4976-8E2A-F6D42AE87175}">
  <ds:schemaRefs/>
</ds:datastoreItem>
</file>

<file path=customXml/itemProps17.xml><?xml version="1.0" encoding="utf-8"?>
<ds:datastoreItem xmlns:ds="http://schemas.openxmlformats.org/officeDocument/2006/customXml" ds:itemID="{B4B25C7B-1C9D-4227-A1BB-0419536A000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金额差</vt:lpstr>
      <vt:lpstr>玩法表</vt:lpstr>
      <vt:lpstr>任务表</vt:lpstr>
      <vt:lpstr>宝箱表</vt:lpstr>
      <vt:lpstr>碎片合成表</vt:lpstr>
      <vt:lpstr>物品表</vt:lpstr>
      <vt:lpstr>贷款计算器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2023-11-10T09:24:09Z</dcterms:created>
  <dcterms:modified xsi:type="dcterms:W3CDTF">2023-11-10T09:24:22Z</dcterms:modified>
</cp:coreProperties>
</file>