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an\Desktop\Misc_Projects\Twosaat\OSRS_Smithing_Calc\"/>
    </mc:Choice>
  </mc:AlternateContent>
  <xr:revisionPtr revIDLastSave="0" documentId="13_ncr:1_{457F2931-7ECE-4743-A17D-233E704062D5}" xr6:coauthVersionLast="47" xr6:coauthVersionMax="47" xr10:uidLastSave="{00000000-0000-0000-0000-000000000000}"/>
  <bookViews>
    <workbookView xWindow="-108" yWindow="-108" windowWidth="23256" windowHeight="13176" xr2:uid="{65BB746B-9412-4411-ADED-7007FDC7BFF1}"/>
  </bookViews>
  <sheets>
    <sheet name="Smithing Calcs" sheetId="1" r:id="rId1"/>
    <sheet name="Levels" sheetId="2" r:id="rId2"/>
    <sheet name="Static X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7" i="1" l="1"/>
  <c r="J108" i="1"/>
  <c r="J109" i="1"/>
  <c r="J111" i="1"/>
  <c r="J112" i="1"/>
  <c r="J110" i="1"/>
  <c r="K3" i="1"/>
  <c r="L89" i="1"/>
  <c r="H67" i="1"/>
  <c r="I3" i="1"/>
  <c r="I2" i="1"/>
  <c r="K112" i="1"/>
  <c r="H108" i="1"/>
  <c r="K108" i="1" s="1"/>
  <c r="H109" i="1"/>
  <c r="K109" i="1" s="1"/>
  <c r="H110" i="1"/>
  <c r="H111" i="1"/>
  <c r="H112" i="1"/>
  <c r="H107" i="1"/>
  <c r="K107" i="1" s="1"/>
  <c r="K89" i="1"/>
  <c r="G89" i="1"/>
  <c r="K88" i="1"/>
  <c r="G88" i="1"/>
  <c r="H89" i="1"/>
  <c r="H88" i="1"/>
  <c r="L88" i="1" s="1"/>
  <c r="H84" i="1"/>
  <c r="H85" i="1"/>
  <c r="H86" i="1"/>
  <c r="H87" i="1"/>
  <c r="H83" i="1"/>
  <c r="H82" i="1"/>
  <c r="L66" i="1"/>
  <c r="E5" i="1" s="1"/>
  <c r="K5" i="1" s="1"/>
  <c r="B20" i="1"/>
  <c r="D7" i="1"/>
  <c r="D6" i="1"/>
  <c r="D5" i="1"/>
  <c r="D4" i="1"/>
  <c r="D3" i="1"/>
  <c r="E3" i="1" s="1"/>
  <c r="D2" i="1"/>
  <c r="E2" i="1" s="1"/>
  <c r="K2" i="1" s="1"/>
  <c r="B53" i="1"/>
  <c r="B56" i="1"/>
  <c r="B59" i="1"/>
  <c r="A20" i="1"/>
  <c r="A18" i="1"/>
  <c r="B12" i="4"/>
  <c r="L11" i="4" s="1"/>
  <c r="B11" i="4"/>
  <c r="L10" i="4" s="1"/>
  <c r="B10" i="4"/>
  <c r="L9" i="4" s="1"/>
  <c r="B9" i="4"/>
  <c r="L8" i="4" s="1"/>
  <c r="B8" i="4"/>
  <c r="L7" i="4" s="1"/>
  <c r="D74" i="1"/>
  <c r="R66" i="1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C2" i="2"/>
  <c r="N106" i="1" l="1"/>
  <c r="I5" i="1"/>
  <c r="K111" i="1"/>
  <c r="K110" i="1"/>
  <c r="E8" i="1"/>
  <c r="E4" i="1"/>
  <c r="I82" i="1" a="1"/>
  <c r="I82" i="1" s="1"/>
  <c r="L82" i="1" s="1"/>
  <c r="E6" i="1"/>
  <c r="I83" i="1" a="1"/>
  <c r="I83" i="1" s="1"/>
  <c r="I84" i="1" a="1"/>
  <c r="I84" i="1" s="1"/>
  <c r="N83" i="1"/>
  <c r="E57" i="1"/>
  <c r="E9" i="1"/>
  <c r="E7" i="1"/>
  <c r="E60" i="1"/>
  <c r="K56" i="1"/>
  <c r="H53" i="1"/>
  <c r="N53" i="1" s="1"/>
  <c r="K53" i="1"/>
  <c r="H56" i="1"/>
  <c r="N56" i="1" s="1"/>
  <c r="I4" i="1" l="1"/>
  <c r="K4" i="1" s="1"/>
  <c r="E54" i="1" s="1"/>
  <c r="E56" i="1" s="1"/>
  <c r="I7" i="1"/>
  <c r="K7" i="1"/>
  <c r="I6" i="1"/>
  <c r="K6" i="1"/>
  <c r="I116" i="1"/>
  <c r="K84" i="1"/>
  <c r="L84" i="1"/>
  <c r="K83" i="1"/>
  <c r="L83" i="1"/>
  <c r="K82" i="1"/>
  <c r="H14" i="1" l="1"/>
  <c r="H59" i="1"/>
  <c r="N59" i="1" s="1"/>
  <c r="K59" i="1"/>
  <c r="E59" i="1"/>
  <c r="B47" i="1" l="1"/>
  <c r="E47" i="1" l="1"/>
  <c r="I87" i="1" a="1"/>
  <c r="I87" i="1" s="1"/>
  <c r="K47" i="1"/>
  <c r="H47" i="1"/>
  <c r="E48" i="1"/>
  <c r="K87" i="1" l="1"/>
  <c r="L87" i="1"/>
  <c r="B50" i="1"/>
  <c r="N47" i="1"/>
  <c r="I85" i="1" l="1" a="1"/>
  <c r="I85" i="1" s="1"/>
  <c r="I86" i="1" a="1"/>
  <c r="I86" i="1" s="1"/>
  <c r="H50" i="1"/>
  <c r="K50" i="1"/>
  <c r="E67" i="1" s="1"/>
  <c r="E51" i="1"/>
  <c r="E53" i="1" s="1"/>
  <c r="B67" i="1"/>
  <c r="B68" i="1" s="1"/>
  <c r="B66" i="1"/>
  <c r="E50" i="1"/>
  <c r="K86" i="1" l="1"/>
  <c r="L86" i="1"/>
  <c r="K85" i="1"/>
  <c r="L85" i="1"/>
  <c r="D75" i="1"/>
  <c r="O68" i="1" s="1"/>
  <c r="P68" i="1" s="1"/>
  <c r="D73" i="1"/>
  <c r="N50" i="1"/>
  <c r="E68" i="1" s="1"/>
  <c r="E66" i="1"/>
  <c r="I94" i="1" l="1"/>
  <c r="L67" i="1" s="1"/>
  <c r="L6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<sst xmlns="http://schemas.openxmlformats.org/spreadsheetml/2006/main" count="207" uniqueCount="114">
  <si>
    <t>EQUIPMENT WORTH</t>
  </si>
  <si>
    <t>Scimitar</t>
  </si>
  <si>
    <t>Longsword</t>
  </si>
  <si>
    <t>Full Helm</t>
  </si>
  <si>
    <t>Sq Shield</t>
  </si>
  <si>
    <t>Warhammer</t>
  </si>
  <si>
    <t>Battleaxe</t>
  </si>
  <si>
    <t>Chainbody</t>
  </si>
  <si>
    <t>Kiteshield</t>
  </si>
  <si>
    <t>2H sword</t>
  </si>
  <si>
    <t>Platelegs</t>
  </si>
  <si>
    <t>Plateskirt</t>
  </si>
  <si>
    <t>Platebody</t>
  </si>
  <si>
    <t>METAL TIER</t>
  </si>
  <si>
    <t>Sword Quality</t>
  </si>
  <si>
    <t>Alloy Quality Score</t>
  </si>
  <si>
    <t>Bronze</t>
  </si>
  <si>
    <t>Defaults</t>
  </si>
  <si>
    <t>All</t>
  </si>
  <si>
    <t>Bronze-Iron</t>
  </si>
  <si>
    <t>Iron</t>
  </si>
  <si>
    <t>Average Mould Score</t>
  </si>
  <si>
    <t>Iron-Steel</t>
  </si>
  <si>
    <t>Steel</t>
  </si>
  <si>
    <t>Steel-Mithril</t>
  </si>
  <si>
    <t>Mithril</t>
  </si>
  <si>
    <t>Mithril-Addy</t>
  </si>
  <si>
    <t>Adamantite</t>
  </si>
  <si>
    <t>Addy-Rune</t>
  </si>
  <si>
    <t>Runite</t>
  </si>
  <si>
    <t>Ore XP Values</t>
  </si>
  <si>
    <t>Addy</t>
  </si>
  <si>
    <t>LEVEL</t>
  </si>
  <si>
    <t>XP NEEDED</t>
  </si>
  <si>
    <t>Ores</t>
  </si>
  <si>
    <t>Pre-Made Bars</t>
  </si>
  <si>
    <t>Equipment</t>
  </si>
  <si>
    <t>Total</t>
  </si>
  <si>
    <t>Distributions</t>
  </si>
  <si>
    <t>Current XP?</t>
  </si>
  <si>
    <t>TIER</t>
  </si>
  <si>
    <t>Rune-Addy Distribution</t>
  </si>
  <si>
    <t>Adamant</t>
  </si>
  <si>
    <t>Rune</t>
  </si>
  <si>
    <t>All Moulds Unlocked?</t>
  </si>
  <si>
    <t>Addy-Mith Distribution</t>
  </si>
  <si>
    <t>Mith-Steel Distribution</t>
  </si>
  <si>
    <t>Steel-Iron Distribution</t>
  </si>
  <si>
    <t>Iron-Bronze Distribution</t>
  </si>
  <si>
    <t>Runite Leftover</t>
  </si>
  <si>
    <t>XP Gained</t>
  </si>
  <si>
    <t>Foundry Rep Earned</t>
  </si>
  <si>
    <t>GP Earned</t>
  </si>
  <si>
    <t>Addy Leftover</t>
  </si>
  <si>
    <t>Mithril Leftover</t>
  </si>
  <si>
    <t>Steel Leftover</t>
  </si>
  <si>
    <t>Iron Leftover</t>
  </si>
  <si>
    <t>Bronze Leftover</t>
  </si>
  <si>
    <t>Swords Created</t>
  </si>
  <si>
    <t>Total XP Gained</t>
  </si>
  <si>
    <t>Desired Level?</t>
  </si>
  <si>
    <t>Current Level</t>
  </si>
  <si>
    <t>Coal</t>
  </si>
  <si>
    <t>Needed -&gt;</t>
  </si>
  <si>
    <t>Time Estimate (MIN)</t>
  </si>
  <si>
    <t>XP Required:</t>
  </si>
  <si>
    <t>Final XP</t>
  </si>
  <si>
    <t>BANKED</t>
  </si>
  <si>
    <t>ORE PACKS</t>
  </si>
  <si>
    <t>TO BUY</t>
  </si>
  <si>
    <t>Time Estimate (HRS)</t>
  </si>
  <si>
    <t>Final Level</t>
  </si>
  <si>
    <t>Max Possible Packs</t>
  </si>
  <si>
    <t>Top</t>
  </si>
  <si>
    <t>Bottoms</t>
  </si>
  <si>
    <t>Gloves</t>
  </si>
  <si>
    <t>Boots</t>
  </si>
  <si>
    <t>Col. Sword</t>
  </si>
  <si>
    <t>Kovac Grog</t>
  </si>
  <si>
    <t>Double Ammo</t>
  </si>
  <si>
    <t>Rep Req For Non-Packs</t>
  </si>
  <si>
    <t>GIANTS FOUNDRY</t>
  </si>
  <si>
    <t>Foundry Rewards To Purchase</t>
  </si>
  <si>
    <t>TOTAL VALUES AT GIANTS FOUNDRY</t>
  </si>
  <si>
    <t>Level Goals? (Foundry + Anvil + Blast Furnace)</t>
  </si>
  <si>
    <t>Ore Packs Info</t>
  </si>
  <si>
    <t>Bars Used On Anvil</t>
  </si>
  <si>
    <t>Available Bars For Anvil</t>
  </si>
  <si>
    <t>Steel Bars to Cannonballs?</t>
  </si>
  <si>
    <t>Bars Available for Foundry</t>
  </si>
  <si>
    <t>BLAST FURNACE</t>
  </si>
  <si>
    <t>N/A</t>
  </si>
  <si>
    <t>Silver</t>
  </si>
  <si>
    <t>Gold</t>
  </si>
  <si>
    <t>Ores Available</t>
  </si>
  <si>
    <t>Bars to Create</t>
  </si>
  <si>
    <t>Smithing Gold Bars?</t>
  </si>
  <si>
    <t>Smithing Silver Bars?</t>
  </si>
  <si>
    <t>Goldsmith Gauntlets?</t>
  </si>
  <si>
    <t>Gold (no GG)</t>
  </si>
  <si>
    <t>Gold (gauntlets)</t>
  </si>
  <si>
    <t>Bar Anvil XP Values</t>
  </si>
  <si>
    <t>Cannonballs</t>
  </si>
  <si>
    <t>TOTAL XP GAINED</t>
  </si>
  <si>
    <t>Smith Bars Needed For:</t>
  </si>
  <si>
    <t>Foundry and Anvil</t>
  </si>
  <si>
    <t>All Bars</t>
  </si>
  <si>
    <t>Adjusted Packs Available</t>
  </si>
  <si>
    <t>Leftover Ores</t>
  </si>
  <si>
    <t>ANVIL SMITHING</t>
  </si>
  <si>
    <t>How to Use Bars</t>
  </si>
  <si>
    <t>Anvil Possibilities</t>
  </si>
  <si>
    <t>Bars per Item</t>
  </si>
  <si>
    <t>Items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</si>
</sst>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4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1"/>
      <name val="Berlin Sans FB Demi"/>
      <family val="2"/>
    </font>
    <font>
      <sz val="22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0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0" borderId="2" applyNumberFormat="0" applyFill="0" applyAlignment="0" applyProtection="0"/>
  </cellStyleXfs>
  <cellXfs count="164">
    <xf numFmtId="0" fontId="0" fillId="0" borderId="0" xfId="0"/>
    <xf numFmtId="0" fontId="0" fillId="3" borderId="0" xfId="0" applyFill="1"/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5" fillId="0" borderId="3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0" fillId="0" borderId="0" xfId="1" applyNumberFormat="1" applyFont="1"/>
    <xf numFmtId="0" fontId="0" fillId="4" borderId="3" xfId="0" applyFill="1" applyBorder="1"/>
    <xf numFmtId="0" fontId="5" fillId="4" borderId="3" xfId="0" applyFont="1" applyFill="1" applyBorder="1" applyAlignment="1">
      <alignment horizontal="center"/>
    </xf>
    <xf numFmtId="0" fontId="0" fillId="6" borderId="0" xfId="0" applyFill="1"/>
    <xf numFmtId="0" fontId="5" fillId="4" borderId="3" xfId="0" applyFont="1" applyFill="1" applyBorder="1"/>
    <xf numFmtId="1" fontId="0" fillId="7" borderId="3" xfId="0" applyNumberFormat="1" applyFill="1" applyBorder="1" applyAlignment="1">
      <alignment horizontal="center"/>
    </xf>
    <xf numFmtId="1" fontId="0" fillId="8" borderId="3" xfId="0" applyNumberForma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164" fontId="0" fillId="7" borderId="14" xfId="1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6" fillId="14" borderId="11" xfId="0" applyFont="1" applyFill="1" applyBorder="1" applyAlignment="1">
      <alignment horizontal="center"/>
    </xf>
    <xf numFmtId="0" fontId="6" fillId="14" borderId="12" xfId="0" applyFont="1" applyFill="1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/>
    <xf numFmtId="0" fontId="6" fillId="14" borderId="11" xfId="0" applyFont="1" applyFill="1" applyBorder="1" applyAlignment="1">
      <alignment horizontal="center" vertical="center"/>
    </xf>
    <xf numFmtId="0" fontId="6" fillId="14" borderId="12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0" fillId="15" borderId="0" xfId="0" applyFill="1"/>
    <xf numFmtId="0" fontId="0" fillId="3" borderId="0" xfId="0" applyFill="1" applyAlignment="1">
      <alignment horizontal="center"/>
    </xf>
    <xf numFmtId="0" fontId="5" fillId="0" borderId="3" xfId="4" applyBorder="1" applyAlignment="1">
      <alignment horizontal="center" vertical="center"/>
    </xf>
    <xf numFmtId="0" fontId="5" fillId="0" borderId="3" xfId="4" applyFill="1" applyBorder="1" applyAlignment="1">
      <alignment horizontal="center"/>
    </xf>
    <xf numFmtId="164" fontId="5" fillId="0" borderId="3" xfId="4" applyNumberForma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164" fontId="5" fillId="0" borderId="6" xfId="4" applyNumberFormat="1" applyFill="1" applyBorder="1"/>
    <xf numFmtId="0" fontId="5" fillId="16" borderId="3" xfId="0" applyFont="1" applyFill="1" applyBorder="1"/>
    <xf numFmtId="164" fontId="5" fillId="16" borderId="3" xfId="1" applyNumberFormat="1" applyFont="1" applyFill="1" applyBorder="1" applyAlignment="1">
      <alignment horizontal="center"/>
    </xf>
    <xf numFmtId="164" fontId="5" fillId="17" borderId="3" xfId="4" applyNumberFormat="1" applyFill="1" applyBorder="1"/>
    <xf numFmtId="0" fontId="5" fillId="0" borderId="3" xfId="4" applyBorder="1" applyAlignment="1">
      <alignment horizontal="center"/>
    </xf>
    <xf numFmtId="2" fontId="5" fillId="0" borderId="3" xfId="4" applyNumberFormat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right"/>
    </xf>
    <xf numFmtId="164" fontId="5" fillId="0" borderId="3" xfId="1" applyNumberFormat="1" applyFont="1" applyFill="1" applyBorder="1" applyAlignment="1">
      <alignment horizontal="right" vertical="center"/>
    </xf>
    <xf numFmtId="0" fontId="0" fillId="7" borderId="3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11" fillId="3" borderId="12" xfId="0" applyFont="1" applyFill="1" applyBorder="1" applyAlignment="1">
      <alignment vertical="center" wrapText="1"/>
    </xf>
    <xf numFmtId="0" fontId="0" fillId="15" borderId="3" xfId="0" applyFill="1" applyBorder="1"/>
    <xf numFmtId="0" fontId="0" fillId="13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5" borderId="3" xfId="0" applyFill="1" applyBorder="1" applyAlignment="1">
      <alignment vertical="center"/>
    </xf>
    <xf numFmtId="0" fontId="0" fillId="15" borderId="3" xfId="0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 wrapText="1"/>
    </xf>
    <xf numFmtId="0" fontId="5" fillId="3" borderId="0" xfId="0" applyFont="1" applyFill="1"/>
    <xf numFmtId="1" fontId="0" fillId="3" borderId="0" xfId="0" applyNumberFormat="1" applyFill="1" applyAlignment="1">
      <alignment horizontal="center"/>
    </xf>
    <xf numFmtId="1" fontId="0" fillId="3" borderId="24" xfId="0" applyNumberFormat="1" applyFill="1" applyBorder="1" applyAlignment="1">
      <alignment horizontal="center"/>
    </xf>
    <xf numFmtId="0" fontId="0" fillId="7" borderId="3" xfId="0" applyFill="1" applyBorder="1"/>
    <xf numFmtId="0" fontId="5" fillId="3" borderId="2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15" fillId="3" borderId="0" xfId="0" applyFont="1" applyFill="1"/>
    <xf numFmtId="0" fontId="5" fillId="2" borderId="3" xfId="0" applyFont="1" applyFill="1" applyBorder="1" applyAlignment="1">
      <alignment horizontal="center"/>
    </xf>
    <xf numFmtId="0" fontId="0" fillId="3" borderId="25" xfId="0" applyFill="1" applyBorder="1"/>
    <xf numFmtId="0" fontId="0" fillId="3" borderId="29" xfId="0" applyFill="1" applyBorder="1"/>
    <xf numFmtId="0" fontId="0" fillId="3" borderId="30" xfId="0" applyFill="1" applyBorder="1"/>
    <xf numFmtId="0" fontId="5" fillId="0" borderId="31" xfId="0" applyFont="1" applyBorder="1" applyAlignment="1">
      <alignment horizontal="center"/>
    </xf>
    <xf numFmtId="164" fontId="0" fillId="16" borderId="32" xfId="1" applyNumberFormat="1" applyFont="1" applyFill="1" applyBorder="1"/>
    <xf numFmtId="0" fontId="5" fillId="0" borderId="33" xfId="0" applyFont="1" applyBorder="1" applyAlignment="1">
      <alignment horizontal="center"/>
    </xf>
    <xf numFmtId="0" fontId="0" fillId="3" borderId="34" xfId="0" applyFill="1" applyBorder="1"/>
    <xf numFmtId="0" fontId="0" fillId="3" borderId="35" xfId="0" applyFill="1" applyBorder="1"/>
    <xf numFmtId="0" fontId="5" fillId="0" borderId="38" xfId="4" applyFill="1" applyBorder="1"/>
    <xf numFmtId="164" fontId="5" fillId="0" borderId="38" xfId="4" applyNumberFormat="1" applyFill="1" applyBorder="1" applyAlignment="1">
      <alignment horizontal="center"/>
    </xf>
    <xf numFmtId="164" fontId="5" fillId="0" borderId="38" xfId="4" applyNumberFormat="1" applyFill="1" applyBorder="1"/>
    <xf numFmtId="0" fontId="0" fillId="3" borderId="39" xfId="0" applyFill="1" applyBorder="1"/>
    <xf numFmtId="0" fontId="14" fillId="3" borderId="0" xfId="0" applyFont="1" applyFill="1" applyAlignment="1">
      <alignment horizontal="center" vertical="center"/>
    </xf>
    <xf numFmtId="0" fontId="18" fillId="3" borderId="0" xfId="0" applyFont="1" applyFill="1"/>
    <xf numFmtId="0" fontId="14" fillId="3" borderId="0" xfId="0" applyFont="1" applyFill="1"/>
    <xf numFmtId="1" fontId="14" fillId="3" borderId="0" xfId="0" applyNumberFormat="1" applyFont="1" applyFill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5" fillId="0" borderId="21" xfId="4" applyFill="1" applyBorder="1" applyAlignment="1">
      <alignment horizontal="center"/>
    </xf>
    <xf numFmtId="0" fontId="5" fillId="0" borderId="23" xfId="4" applyFill="1" applyBorder="1" applyAlignment="1">
      <alignment horizontal="center"/>
    </xf>
    <xf numFmtId="0" fontId="5" fillId="0" borderId="36" xfId="4" applyFill="1" applyBorder="1" applyAlignment="1">
      <alignment horizontal="center"/>
    </xf>
    <xf numFmtId="0" fontId="5" fillId="0" borderId="37" xfId="4" applyFill="1" applyBorder="1" applyAlignment="1">
      <alignment horizontal="center"/>
    </xf>
    <xf numFmtId="0" fontId="3" fillId="0" borderId="21" xfId="3" applyFill="1" applyBorder="1" applyAlignment="1">
      <alignment horizontal="center"/>
    </xf>
    <xf numFmtId="0" fontId="3" fillId="0" borderId="22" xfId="3" applyFill="1" applyBorder="1" applyAlignment="1">
      <alignment horizontal="center"/>
    </xf>
    <xf numFmtId="0" fontId="3" fillId="0" borderId="23" xfId="3" applyFill="1" applyBorder="1" applyAlignment="1">
      <alignment horizontal="center"/>
    </xf>
    <xf numFmtId="0" fontId="2" fillId="0" borderId="26" xfId="2" applyFill="1" applyBorder="1" applyAlignment="1">
      <alignment horizontal="center"/>
    </xf>
    <xf numFmtId="0" fontId="2" fillId="0" borderId="27" xfId="2" applyFill="1" applyBorder="1" applyAlignment="1">
      <alignment horizontal="center"/>
    </xf>
    <xf numFmtId="0" fontId="2" fillId="0" borderId="28" xfId="2" applyFill="1" applyBorder="1" applyAlignment="1">
      <alignment horizontal="center"/>
    </xf>
    <xf numFmtId="0" fontId="2" fillId="0" borderId="21" xfId="2" applyFill="1" applyBorder="1" applyAlignment="1">
      <alignment horizontal="center"/>
    </xf>
    <xf numFmtId="0" fontId="2" fillId="0" borderId="23" xfId="2" applyFill="1" applyBorder="1" applyAlignment="1">
      <alignment horizontal="center"/>
    </xf>
    <xf numFmtId="0" fontId="2" fillId="0" borderId="3" xfId="2" applyFill="1" applyBorder="1" applyAlignment="1">
      <alignment horizontal="center"/>
    </xf>
    <xf numFmtId="1" fontId="0" fillId="8" borderId="3" xfId="0" applyNumberFormat="1" applyFill="1" applyBorder="1" applyAlignment="1">
      <alignment horizontal="center"/>
    </xf>
    <xf numFmtId="0" fontId="14" fillId="3" borderId="24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5" fillId="6" borderId="10" xfId="0" applyFont="1" applyFill="1" applyBorder="1" applyAlignment="1">
      <alignment horizontal="center"/>
    </xf>
    <xf numFmtId="0" fontId="11" fillId="18" borderId="0" xfId="0" applyFont="1" applyFill="1" applyAlignment="1">
      <alignment horizontal="center" vertical="center" wrapText="1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0" fontId="8" fillId="0" borderId="13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wrapText="1"/>
    </xf>
    <xf numFmtId="0" fontId="8" fillId="0" borderId="13" xfId="2" applyFont="1" applyBorder="1" applyAlignment="1">
      <alignment horizontal="center" wrapText="1"/>
    </xf>
    <xf numFmtId="0" fontId="10" fillId="3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wrapText="1"/>
    </xf>
    <xf numFmtId="0" fontId="13" fillId="3" borderId="0" xfId="0" applyFont="1" applyFill="1" applyAlignment="1">
      <alignment horizontal="center" wrapText="1"/>
    </xf>
    <xf numFmtId="0" fontId="12" fillId="5" borderId="7" xfId="2" applyFont="1" applyFill="1" applyBorder="1" applyAlignment="1">
      <alignment horizontal="center"/>
    </xf>
    <xf numFmtId="0" fontId="12" fillId="5" borderId="8" xfId="2" applyFont="1" applyFill="1" applyBorder="1" applyAlignment="1">
      <alignment horizontal="center"/>
    </xf>
    <xf numFmtId="0" fontId="2" fillId="0" borderId="22" xfId="2" applyFill="1" applyBorder="1" applyAlignment="1">
      <alignment horizontal="center"/>
    </xf>
    <xf numFmtId="0" fontId="16" fillId="3" borderId="0" xfId="0" applyFont="1" applyFill="1" applyAlignment="1">
      <alignment horizontal="center" vertical="center" wrapText="1"/>
    </xf>
    <xf numFmtId="0" fontId="2" fillId="0" borderId="0" xfId="2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4" fillId="3" borderId="24" xfId="0" applyFont="1" applyFill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0" xfId="0" applyFill="1" applyAlignment="1"/>
  </cellXfs>
  <cellStyles count="5">
    <cellStyle name="Comma" xfId="1" builtinId="3"/>
    <cellStyle name="Heading 3" xfId="3" builtinId="18"/>
    <cellStyle name="Normal" xfId="0" builtinId="0"/>
    <cellStyle name="Title" xfId="2" builtinId="15"/>
    <cellStyle name="Total" xfId="4" builtinId="25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0.59996337778862885"/>
      </font>
      <fill>
        <patternFill>
          <bgColor theme="6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A$47" lockText="1" noThreeD="1"/>
</file>

<file path=xl/ctrlProps/ctrlProp2.xml><?xml version="1.0" encoding="utf-8"?>
<formControlPr xmlns="http://schemas.microsoft.com/office/spreadsheetml/2009/9/main" objectType="CheckBox" checked="Checked" fmlaLink="$A$50" lockText="1" noThreeD="1"/>
</file>

<file path=xl/ctrlProps/ctrlProp3.xml><?xml version="1.0" encoding="utf-8"?>
<formControlPr xmlns="http://schemas.microsoft.com/office/spreadsheetml/2009/9/main" objectType="CheckBox" fmlaLink="$A$53" lockText="1" noThreeD="1"/>
</file>

<file path=xl/ctrlProps/ctrlProp4.xml><?xml version="1.0" encoding="utf-8"?>
<formControlPr xmlns="http://schemas.microsoft.com/office/spreadsheetml/2009/9/main" objectType="CheckBox" fmlaLink="$A$56" lockText="1" noThreeD="1"/>
</file>

<file path=xl/ctrlProps/ctrlProp5.xml><?xml version="1.0" encoding="utf-8"?>
<formControlPr xmlns="http://schemas.microsoft.com/office/spreadsheetml/2009/9/main" objectType="CheckBox" fmlaLink="$A$59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75570</xdr:colOff>
      <xdr:row>29</xdr:row>
      <xdr:rowOff>180397</xdr:rowOff>
    </xdr:from>
    <xdr:to>
      <xdr:col>10</xdr:col>
      <xdr:colOff>326785</xdr:colOff>
      <xdr:row>36</xdr:row>
      <xdr:rowOff>51129</xdr:rowOff>
    </xdr:to>
    <xdr:sp macro="" textlink="">
      <xdr:nvSpPr>
        <xdr:cNvPr id="2" name="Callout: Lef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124679">
          <a:off x="9469941" y="7201683"/>
          <a:ext cx="3288330" cy="1470932"/>
        </a:xfrm>
        <a:prstGeom prst="leftArrowCallout">
          <a:avLst>
            <a:gd name="adj1" fmla="val 26770"/>
            <a:gd name="adj2" fmla="val 25000"/>
            <a:gd name="adj3" fmla="val 25000"/>
            <a:gd name="adj4" fmla="val 64977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Adjust these values to</a:t>
          </a:r>
          <a:r>
            <a:rPr lang="en-US" sz="1400" b="1" baseline="0"/>
            <a:t> individual use.</a:t>
          </a:r>
        </a:p>
        <a:p>
          <a:pPr algn="ctr"/>
          <a:endParaRPr lang="en-US" sz="1400" b="1" baseline="0"/>
        </a:p>
        <a:p>
          <a:pPr algn="ctr"/>
          <a:r>
            <a:rPr lang="en-US" sz="1400" b="1" baseline="0"/>
            <a:t>9-19 and 10-18 are optimal XP per Bar</a:t>
          </a:r>
          <a:endParaRPr lang="en-US" sz="1400" b="1"/>
        </a:p>
      </xdr:txBody>
    </xdr:sp>
    <xdr:clientData/>
  </xdr:twoCellAnchor>
  <xdr:twoCellAnchor>
    <xdr:from>
      <xdr:col>0</xdr:col>
      <xdr:colOff>640896</xdr:colOff>
      <xdr:row>37</xdr:row>
      <xdr:rowOff>272142</xdr:rowOff>
    </xdr:from>
    <xdr:to>
      <xdr:col>4</xdr:col>
      <xdr:colOff>1012371</xdr:colOff>
      <xdr:row>44</xdr:row>
      <xdr:rowOff>5441</xdr:rowOff>
    </xdr:to>
    <xdr:sp macro="" textlink="">
      <xdr:nvSpPr>
        <xdr:cNvPr id="3" name="Callout: Down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40896" y="9829799"/>
          <a:ext cx="5563961" cy="1583871"/>
        </a:xfrm>
        <a:prstGeom prst="downArrowCallou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These values assume you do all possible Rune-Addy,</a:t>
          </a:r>
          <a:r>
            <a:rPr lang="en-US" sz="1400" b="1" baseline="0"/>
            <a:t> then move on to Addy-Mith, then move on to Mith-Steel, etc.</a:t>
          </a:r>
          <a:endParaRPr lang="en-US" sz="1400" b="1"/>
        </a:p>
      </xdr:txBody>
    </xdr:sp>
    <xdr:clientData/>
  </xdr:twoCellAnchor>
  <xdr:twoCellAnchor>
    <xdr:from>
      <xdr:col>1</xdr:col>
      <xdr:colOff>466725</xdr:colOff>
      <xdr:row>9</xdr:row>
      <xdr:rowOff>53340</xdr:rowOff>
    </xdr:from>
    <xdr:to>
      <xdr:col>1</xdr:col>
      <xdr:colOff>847725</xdr:colOff>
      <xdr:row>13</xdr:row>
      <xdr:rowOff>76200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05668" y="2241369"/>
          <a:ext cx="381000" cy="1024345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INPUT</a:t>
          </a:r>
        </a:p>
      </xdr:txBody>
    </xdr:sp>
    <xdr:clientData/>
  </xdr:twoCellAnchor>
  <xdr:twoCellAnchor>
    <xdr:from>
      <xdr:col>2</xdr:col>
      <xdr:colOff>542925</xdr:colOff>
      <xdr:row>9</xdr:row>
      <xdr:rowOff>62865</xdr:rowOff>
    </xdr:from>
    <xdr:to>
      <xdr:col>2</xdr:col>
      <xdr:colOff>923925</xdr:colOff>
      <xdr:row>13</xdr:row>
      <xdr:rowOff>85725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44611" y="2250894"/>
          <a:ext cx="381000" cy="1024345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INPUT</a:t>
          </a:r>
        </a:p>
      </xdr:txBody>
    </xdr:sp>
    <xdr:clientData/>
  </xdr:twoCellAnchor>
  <xdr:twoCellAnchor>
    <xdr:from>
      <xdr:col>3</xdr:col>
      <xdr:colOff>523875</xdr:colOff>
      <xdr:row>9</xdr:row>
      <xdr:rowOff>53340</xdr:rowOff>
    </xdr:from>
    <xdr:to>
      <xdr:col>3</xdr:col>
      <xdr:colOff>904875</xdr:colOff>
      <xdr:row>13</xdr:row>
      <xdr:rowOff>76200</xdr:rowOff>
    </xdr:to>
    <xdr:sp macro="" textlink="">
      <xdr:nvSpPr>
        <xdr:cNvPr id="6" name="Arrow: 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80189" y="2241369"/>
          <a:ext cx="381000" cy="1024345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AUTO</a:t>
          </a:r>
        </a:p>
      </xdr:txBody>
    </xdr:sp>
    <xdr:clientData/>
  </xdr:twoCellAnchor>
  <xdr:twoCellAnchor>
    <xdr:from>
      <xdr:col>14</xdr:col>
      <xdr:colOff>190500</xdr:colOff>
      <xdr:row>14</xdr:row>
      <xdr:rowOff>114301</xdr:rowOff>
    </xdr:from>
    <xdr:to>
      <xdr:col>14</xdr:col>
      <xdr:colOff>571500</xdr:colOff>
      <xdr:row>18</xdr:row>
      <xdr:rowOff>163287</xdr:rowOff>
    </xdr:to>
    <xdr:sp macro="" textlink="">
      <xdr:nvSpPr>
        <xdr:cNvPr id="7" name="Arrow: Up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195471" y="3532415"/>
          <a:ext cx="381000" cy="963386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INPUT</a:t>
          </a:r>
        </a:p>
      </xdr:txBody>
    </xdr:sp>
    <xdr:clientData/>
  </xdr:twoCellAnchor>
  <xdr:twoCellAnchor>
    <xdr:from>
      <xdr:col>15</xdr:col>
      <xdr:colOff>190500</xdr:colOff>
      <xdr:row>14</xdr:row>
      <xdr:rowOff>123826</xdr:rowOff>
    </xdr:from>
    <xdr:to>
      <xdr:col>15</xdr:col>
      <xdr:colOff>571500</xdr:colOff>
      <xdr:row>18</xdr:row>
      <xdr:rowOff>172812</xdr:rowOff>
    </xdr:to>
    <xdr:sp macro="" textlink="">
      <xdr:nvSpPr>
        <xdr:cNvPr id="8" name="Arrow: 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968357" y="3541940"/>
          <a:ext cx="381000" cy="963386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INPUT</a:t>
          </a:r>
        </a:p>
      </xdr:txBody>
    </xdr:sp>
    <xdr:clientData/>
  </xdr:twoCellAnchor>
  <xdr:twoCellAnchor>
    <xdr:from>
      <xdr:col>16</xdr:col>
      <xdr:colOff>190500</xdr:colOff>
      <xdr:row>14</xdr:row>
      <xdr:rowOff>114301</xdr:rowOff>
    </xdr:from>
    <xdr:to>
      <xdr:col>16</xdr:col>
      <xdr:colOff>571500</xdr:colOff>
      <xdr:row>18</xdr:row>
      <xdr:rowOff>163287</xdr:rowOff>
    </xdr:to>
    <xdr:sp macro="" textlink="">
      <xdr:nvSpPr>
        <xdr:cNvPr id="9" name="Arrow: 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741243" y="3532415"/>
          <a:ext cx="381000" cy="963386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INPUT</a:t>
          </a:r>
        </a:p>
      </xdr:txBody>
    </xdr:sp>
    <xdr:clientData/>
  </xdr:twoCellAnchor>
  <xdr:twoCellAnchor>
    <xdr:from>
      <xdr:col>17</xdr:col>
      <xdr:colOff>228600</xdr:colOff>
      <xdr:row>14</xdr:row>
      <xdr:rowOff>123826</xdr:rowOff>
    </xdr:from>
    <xdr:to>
      <xdr:col>17</xdr:col>
      <xdr:colOff>609600</xdr:colOff>
      <xdr:row>18</xdr:row>
      <xdr:rowOff>172812</xdr:rowOff>
    </xdr:to>
    <xdr:sp macro="" textlink="">
      <xdr:nvSpPr>
        <xdr:cNvPr id="10" name="Arrow: 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0552229" y="3541940"/>
          <a:ext cx="381000" cy="963386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INPUT</a:t>
          </a:r>
        </a:p>
      </xdr:txBody>
    </xdr:sp>
    <xdr:clientData/>
  </xdr:twoCellAnchor>
  <xdr:twoCellAnchor>
    <xdr:from>
      <xdr:col>18</xdr:col>
      <xdr:colOff>200025</xdr:colOff>
      <xdr:row>14</xdr:row>
      <xdr:rowOff>142876</xdr:rowOff>
    </xdr:from>
    <xdr:to>
      <xdr:col>18</xdr:col>
      <xdr:colOff>581025</xdr:colOff>
      <xdr:row>18</xdr:row>
      <xdr:rowOff>191862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296539" y="3560990"/>
          <a:ext cx="381000" cy="963386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INPUT</a:t>
          </a:r>
        </a:p>
      </xdr:txBody>
    </xdr:sp>
    <xdr:clientData/>
  </xdr:twoCellAnchor>
  <xdr:twoCellAnchor>
    <xdr:from>
      <xdr:col>19</xdr:col>
      <xdr:colOff>200025</xdr:colOff>
      <xdr:row>14</xdr:row>
      <xdr:rowOff>152401</xdr:rowOff>
    </xdr:from>
    <xdr:to>
      <xdr:col>19</xdr:col>
      <xdr:colOff>581025</xdr:colOff>
      <xdr:row>18</xdr:row>
      <xdr:rowOff>201387</xdr:rowOff>
    </xdr:to>
    <xdr:sp macro="" textlink="">
      <xdr:nvSpPr>
        <xdr:cNvPr id="12" name="Arrow: 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2069425" y="3570515"/>
          <a:ext cx="381000" cy="963386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INPUT</a:t>
          </a:r>
        </a:p>
      </xdr:txBody>
    </xdr:sp>
    <xdr:clientData/>
  </xdr:twoCellAnchor>
  <xdr:twoCellAnchor>
    <xdr:from>
      <xdr:col>4</xdr:col>
      <xdr:colOff>590550</xdr:colOff>
      <xdr:row>9</xdr:row>
      <xdr:rowOff>53340</xdr:rowOff>
    </xdr:from>
    <xdr:to>
      <xdr:col>4</xdr:col>
      <xdr:colOff>971550</xdr:colOff>
      <xdr:row>13</xdr:row>
      <xdr:rowOff>76200</xdr:rowOff>
    </xdr:to>
    <xdr:sp macro="" textlink="">
      <xdr:nvSpPr>
        <xdr:cNvPr id="13" name="Arrow: 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327321" y="2241369"/>
          <a:ext cx="381000" cy="1024345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AUTO</a:t>
          </a:r>
        </a:p>
      </xdr:txBody>
    </xdr:sp>
    <xdr:clientData/>
  </xdr:twoCellAnchor>
  <xdr:twoCellAnchor>
    <xdr:from>
      <xdr:col>10</xdr:col>
      <xdr:colOff>422500</xdr:colOff>
      <xdr:row>26</xdr:row>
      <xdr:rowOff>116342</xdr:rowOff>
    </xdr:from>
    <xdr:to>
      <xdr:col>10</xdr:col>
      <xdr:colOff>1536925</xdr:colOff>
      <xdr:row>28</xdr:row>
      <xdr:rowOff>40142</xdr:rowOff>
    </xdr:to>
    <xdr:sp macro="" textlink="">
      <xdr:nvSpPr>
        <xdr:cNvPr id="14" name="Arrow: Up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5400000">
          <a:off x="13220699" y="6085115"/>
          <a:ext cx="381000" cy="1114425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INPUTS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259080</xdr:colOff>
          <xdr:row>46</xdr:row>
          <xdr:rowOff>152400</xdr:rowOff>
        </xdr:from>
        <xdr:to>
          <xdr:col>0</xdr:col>
          <xdr:colOff>1150620</xdr:colOff>
          <xdr:row>47</xdr:row>
          <xdr:rowOff>7620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Rune-Addy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259080</xdr:colOff>
          <xdr:row>49</xdr:row>
          <xdr:rowOff>160020</xdr:rowOff>
        </xdr:from>
        <xdr:to>
          <xdr:col>0</xdr:col>
          <xdr:colOff>1097280</xdr:colOff>
          <xdr:row>50</xdr:row>
          <xdr:rowOff>7620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Addy-Mithril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259080</xdr:colOff>
          <xdr:row>52</xdr:row>
          <xdr:rowOff>182880</xdr:rowOff>
        </xdr:from>
        <xdr:to>
          <xdr:col>0</xdr:col>
          <xdr:colOff>1097280</xdr:colOff>
          <xdr:row>53</xdr:row>
          <xdr:rowOff>30480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Mithril-Steel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281940</xdr:colOff>
          <xdr:row>55</xdr:row>
          <xdr:rowOff>160020</xdr:rowOff>
        </xdr:from>
        <xdr:to>
          <xdr:col>0</xdr:col>
          <xdr:colOff>1120140</xdr:colOff>
          <xdr:row>56</xdr:row>
          <xdr:rowOff>7620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Steel-Iron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58</xdr:row>
          <xdr:rowOff>175260</xdr:rowOff>
        </xdr:from>
        <xdr:to>
          <xdr:col>0</xdr:col>
          <xdr:colOff>1112520</xdr:colOff>
          <xdr:row>59</xdr:row>
          <xdr:rowOff>7620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Iron-Bronze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521156</xdr:colOff>
      <xdr:row>7</xdr:row>
      <xdr:rowOff>68307</xdr:rowOff>
    </xdr:from>
    <xdr:to>
      <xdr:col>9</xdr:col>
      <xdr:colOff>902156</xdr:colOff>
      <xdr:row>11</xdr:row>
      <xdr:rowOff>124312</xdr:rowOff>
    </xdr:to>
    <xdr:sp macro="" textlink="">
      <xdr:nvSpPr>
        <xdr:cNvPr id="15" name="Arrow: 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2266842" y="1755593"/>
          <a:ext cx="381000" cy="1057490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INPUT</a:t>
          </a:r>
        </a:p>
      </xdr:txBody>
    </xdr:sp>
    <xdr:clientData/>
  </xdr:twoCellAnchor>
  <xdr:twoCellAnchor>
    <xdr:from>
      <xdr:col>8</xdr:col>
      <xdr:colOff>577489</xdr:colOff>
      <xdr:row>7</xdr:row>
      <xdr:rowOff>80554</xdr:rowOff>
    </xdr:from>
    <xdr:to>
      <xdr:col>8</xdr:col>
      <xdr:colOff>958489</xdr:colOff>
      <xdr:row>11</xdr:row>
      <xdr:rowOff>136559</xdr:rowOff>
    </xdr:to>
    <xdr:sp macro="" textlink="">
      <xdr:nvSpPr>
        <xdr:cNvPr id="16" name="Arrow: 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0744746" y="1767840"/>
          <a:ext cx="381000" cy="105749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AUTO</a:t>
          </a:r>
        </a:p>
      </xdr:txBody>
    </xdr:sp>
    <xdr:clientData/>
  </xdr:twoCellAnchor>
  <xdr:twoCellAnchor>
    <xdr:from>
      <xdr:col>2</xdr:col>
      <xdr:colOff>268742</xdr:colOff>
      <xdr:row>15</xdr:row>
      <xdr:rowOff>77154</xdr:rowOff>
    </xdr:from>
    <xdr:to>
      <xdr:col>2</xdr:col>
      <xdr:colOff>1502232</xdr:colOff>
      <xdr:row>17</xdr:row>
      <xdr:rowOff>954</xdr:rowOff>
    </xdr:to>
    <xdr:sp macro="" textlink="">
      <xdr:nvSpPr>
        <xdr:cNvPr id="17" name="Arrow: Up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3296673" y="3297623"/>
          <a:ext cx="381000" cy="1233490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en-US" sz="1600" b="1"/>
            <a:t>INPUT</a:t>
          </a:r>
        </a:p>
      </xdr:txBody>
    </xdr:sp>
    <xdr:clientData/>
  </xdr:twoCellAnchor>
  <xdr:twoCellAnchor>
    <xdr:from>
      <xdr:col>10</xdr:col>
      <xdr:colOff>675460</xdr:colOff>
      <xdr:row>7</xdr:row>
      <xdr:rowOff>80554</xdr:rowOff>
    </xdr:from>
    <xdr:to>
      <xdr:col>10</xdr:col>
      <xdr:colOff>1056460</xdr:colOff>
      <xdr:row>11</xdr:row>
      <xdr:rowOff>136559</xdr:rowOff>
    </xdr:to>
    <xdr:sp macro="" textlink="">
      <xdr:nvSpPr>
        <xdr:cNvPr id="19" name="Arrow: Up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3879831" y="1767840"/>
          <a:ext cx="381000" cy="105749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600" b="1"/>
            <a:t>AUTO</a:t>
          </a:r>
        </a:p>
      </xdr:txBody>
    </xdr:sp>
    <xdr:clientData/>
  </xdr:twoCellAnchor>
  <xdr:twoCellAnchor>
    <xdr:from>
      <xdr:col>2</xdr:col>
      <xdr:colOff>181653</xdr:colOff>
      <xdr:row>93</xdr:row>
      <xdr:rowOff>153354</xdr:rowOff>
    </xdr:from>
    <xdr:to>
      <xdr:col>2</xdr:col>
      <xdr:colOff>1404935</xdr:colOff>
      <xdr:row>95</xdr:row>
      <xdr:rowOff>164239</xdr:rowOff>
    </xdr:to>
    <xdr:sp macro="" textlink="">
      <xdr:nvSpPr>
        <xdr:cNvPr id="20" name="Arrow: Up-Down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6200000">
          <a:off x="3204480" y="20752527"/>
          <a:ext cx="381000" cy="1223282"/>
        </a:xfrm>
        <a:prstGeom prst="up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en-US" sz="1600" b="1"/>
            <a:t>INPUTS</a:t>
          </a:r>
        </a:p>
      </xdr:txBody>
    </xdr:sp>
    <xdr:clientData/>
  </xdr:twoCellAnchor>
  <xdr:twoCellAnchor>
    <xdr:from>
      <xdr:col>8</xdr:col>
      <xdr:colOff>108858</xdr:colOff>
      <xdr:row>65</xdr:row>
      <xdr:rowOff>76200</xdr:rowOff>
    </xdr:from>
    <xdr:to>
      <xdr:col>8</xdr:col>
      <xdr:colOff>1332140</xdr:colOff>
      <xdr:row>67</xdr:row>
      <xdr:rowOff>87086</xdr:rowOff>
    </xdr:to>
    <xdr:sp macro="" textlink="">
      <xdr:nvSpPr>
        <xdr:cNvPr id="21" name="Arrow: Up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16970527">
          <a:off x="9924370" y="15232516"/>
          <a:ext cx="381000" cy="1223282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en-US" sz="1600" b="1"/>
            <a:t>INPUT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624840</xdr:colOff>
      <xdr:row>26</xdr:row>
      <xdr:rowOff>30483</xdr:rowOff>
    </xdr:from>
    <xdr:to>
      <xdr:col>8</xdr:col>
      <xdr:colOff>0</xdr:colOff>
      <xdr:row>33</xdr:row>
      <xdr:rowOff>117569</xdr:rowOff>
    </xdr:to>
    <xdr:sp macro="" textlink="">
      <xdr:nvSpPr>
        <xdr:cNvPr id="2" name="Callout: Up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3286720" y="5433063"/>
          <a:ext cx="3147060" cy="1367246"/>
        </a:xfrm>
        <a:prstGeom prst="upArrowCallou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Jagex values - DO NOT TOUCH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2AF-061D-49A2-B7E2-A964424B38D6}">
  <dimension ref="A1:T119"/>
  <sheetViews>
    <sheetView tabSelected="1" topLeftCell="A38" zoomScale="70" zoomScaleNormal="70" workbookViewId="0">
      <selection activeCell="L28" sqref="L28"/>
    </sheetView>
  </sheetViews>
  <sheetFormatPr defaultRowHeight="14.4" x14ac:dyDescent="0.3"/>
  <cols>
    <col min="1" max="1" width="20.88671875" customWidth="1"/>
    <col min="2" max="2" width="18.44140625" customWidth="1"/>
    <col min="3" max="3" width="24.109375" customWidth="1"/>
    <col min="4" max="4" width="21.5546875" customWidth="1"/>
    <col min="5" max="5" width="19.77734375" customWidth="1"/>
    <col min="7" max="7" width="16" customWidth="1"/>
    <col min="8" max="8" width="19.77734375" customWidth="1"/>
    <col min="9" max="9" width="23" customWidth="1"/>
    <col min="10" max="10" width="21.33203125" customWidth="1"/>
    <col min="11" max="11" width="25.33203125" customWidth="1"/>
    <col min="12" max="12" width="16.21875" customWidth="1"/>
    <col min="13" max="13" width="11.33203125" customWidth="1"/>
    <col min="14" max="14" width="17.109375" customWidth="1"/>
    <col min="15" max="20" width="11.33203125" customWidth="1"/>
  </cols>
  <sheetData>
    <row r="1" spans="1:20" x14ac:dyDescent="0.3">
      <c r="A1" s="14"/>
      <c r="B1" s="15" t="s">
        <v>34</v>
      </c>
      <c r="C1" s="15" t="s">
        <v>35</v>
      </c>
      <c r="D1" s="15" t="s">
        <v>36</v>
      </c>
      <c r="E1" s="15" t="s">
        <v>37</v>
      </c>
      <c r="F1" s="1"/>
      <c r="G1" s="1"/>
      <c r="H1" s="14"/>
      <c r="I1" s="15" t="s">
        <v>87</v>
      </c>
      <c r="J1" s="15" t="s">
        <v>86</v>
      </c>
      <c r="K1" s="15" t="s">
        <v>89</v>
      </c>
      <c r="L1" s="1"/>
      <c r="M1" s="1"/>
      <c r="N1" s="16"/>
      <c r="O1" s="127" t="s">
        <v>40</v>
      </c>
      <c r="P1" s="127"/>
      <c r="Q1" s="127"/>
      <c r="R1" s="127"/>
      <c r="S1" s="127"/>
      <c r="T1" s="127"/>
    </row>
    <row r="2" spans="1:20" ht="19.8" customHeight="1" x14ac:dyDescent="0.3">
      <c r="A2" s="15" t="s">
        <v>16</v>
      </c>
      <c r="B2" s="18">
        <v>144</v>
      </c>
      <c r="C2" s="18">
        <v>10</v>
      </c>
      <c r="D2" s="19">
        <f>(O3*'Static XP'!$A$3)+(O4*'Static XP'!$B$3)+(O5*'Static XP'!$C$3)+(O6*'Static XP'!$D$3)+(O7*'Static XP'!$E$3)+(O8*'Static XP'!$F$3)+(O9*'Static XP'!$G$3)+(O10*'Static XP'!$H$3)+(O11*'Static XP'!$I$3)+(O12*'Static XP'!$J$3)+(O13*'Static XP'!$K$3)+(O14*'Static XP'!L3)</f>
        <v>0</v>
      </c>
      <c r="E2" s="19">
        <f>SUM(B2:D2)</f>
        <v>154</v>
      </c>
      <c r="F2" s="1"/>
      <c r="G2" s="1"/>
      <c r="H2" s="15" t="s">
        <v>16</v>
      </c>
      <c r="I2" s="19">
        <f>MAX(0,E2-D2)</f>
        <v>154</v>
      </c>
      <c r="J2" s="18">
        <v>0</v>
      </c>
      <c r="K2" s="19">
        <f>E2-J2</f>
        <v>154</v>
      </c>
      <c r="L2" s="1"/>
      <c r="M2" s="1"/>
      <c r="N2" s="16"/>
      <c r="O2" s="20" t="s">
        <v>16</v>
      </c>
      <c r="P2" s="21" t="s">
        <v>20</v>
      </c>
      <c r="Q2" s="22" t="s">
        <v>23</v>
      </c>
      <c r="R2" s="23" t="s">
        <v>25</v>
      </c>
      <c r="S2" s="24" t="s">
        <v>42</v>
      </c>
      <c r="T2" s="25" t="s">
        <v>43</v>
      </c>
    </row>
    <row r="3" spans="1:20" ht="19.8" customHeight="1" x14ac:dyDescent="0.3">
      <c r="A3" s="15" t="s">
        <v>20</v>
      </c>
      <c r="B3" s="18">
        <v>0</v>
      </c>
      <c r="C3" s="18">
        <v>308</v>
      </c>
      <c r="D3" s="19">
        <f>(P3*'Static XP'!$A$3)+(P4*'Static XP'!$B$3)+(P5*'Static XP'!$C$3)+(P6*'Static XP'!$D$3)+(P7*'Static XP'!$E$3)+(P8*'Static XP'!$F$3)+(P9*'Static XP'!$G$3)+(P10*'Static XP'!$H$3)+(P11*'Static XP'!$I$3)+(P12*'Static XP'!$J$3)+(P13*'Static XP'!$K$3)+(P14*'Static XP'!L3)</f>
        <v>0</v>
      </c>
      <c r="E3" s="19">
        <f t="shared" ref="E3" si="0">SUM(B3:D3)</f>
        <v>308</v>
      </c>
      <c r="F3" s="1"/>
      <c r="G3" s="1"/>
      <c r="H3" s="15" t="s">
        <v>20</v>
      </c>
      <c r="I3" s="19">
        <f>MAX(0,E3-D3)</f>
        <v>308</v>
      </c>
      <c r="J3" s="18">
        <v>250</v>
      </c>
      <c r="K3" s="19">
        <f>E3-J3</f>
        <v>58</v>
      </c>
      <c r="L3" s="1"/>
      <c r="M3" s="1"/>
      <c r="N3" s="29" t="s">
        <v>1</v>
      </c>
      <c r="O3" s="20"/>
      <c r="P3" s="21"/>
      <c r="Q3" s="22"/>
      <c r="R3" s="23"/>
      <c r="S3" s="24">
        <v>23</v>
      </c>
      <c r="T3" s="25"/>
    </row>
    <row r="4" spans="1:20" ht="19.8" customHeight="1" x14ac:dyDescent="0.3">
      <c r="A4" s="15" t="s">
        <v>23</v>
      </c>
      <c r="B4" s="18">
        <v>4051</v>
      </c>
      <c r="C4" s="18">
        <v>959</v>
      </c>
      <c r="D4" s="19">
        <f>(Q3*'Static XP'!$A$3)+(Q4*'Static XP'!$B$3)+(Q5*'Static XP'!$C$3)+(Q6*'Static XP'!$D$3)+(Q7*'Static XP'!$E$3)+(Q8*'Static XP'!$F$3)+(Q9*'Static XP'!$G$3)+(Q10*'Static XP'!$H$3)+(Q11*'Static XP'!$I$3)+(Q12*'Static XP'!$J$3)+(Q13*'Static XP'!$K$3)+(Q14*'Static XP'!L3)</f>
        <v>12</v>
      </c>
      <c r="E4" s="19">
        <f>IF(L66&gt;=30,SUM(B4:D4),0)</f>
        <v>5022</v>
      </c>
      <c r="F4" s="1"/>
      <c r="G4" s="1"/>
      <c r="H4" s="15" t="s">
        <v>23</v>
      </c>
      <c r="I4" s="19">
        <f>IF(B16=0,MAX(0,E4-D4),B20-B18)</f>
        <v>0</v>
      </c>
      <c r="J4" s="18">
        <v>0</v>
      </c>
      <c r="K4" s="19">
        <f>IF(B16=0,E4-J4,D4+I4-J4)</f>
        <v>12</v>
      </c>
      <c r="L4" s="1"/>
      <c r="M4" s="1"/>
      <c r="N4" s="29" t="s">
        <v>2</v>
      </c>
      <c r="O4" s="20"/>
      <c r="P4" s="21"/>
      <c r="Q4" s="22"/>
      <c r="R4" s="23"/>
      <c r="S4" s="24"/>
      <c r="T4" s="25"/>
    </row>
    <row r="5" spans="1:20" ht="19.8" customHeight="1" x14ac:dyDescent="0.3">
      <c r="A5" s="15" t="s">
        <v>25</v>
      </c>
      <c r="B5" s="18">
        <v>6750</v>
      </c>
      <c r="C5" s="18">
        <v>5010</v>
      </c>
      <c r="D5" s="19">
        <f>(R3*'Static XP'!$A$3)+(R4*'Static XP'!$B$3)+(R5*'Static XP'!$C$3)+(R6*'Static XP'!$D$3)+(R7*'Static XP'!$E$3)+(R8*'Static XP'!$F$3)+(R9*'Static XP'!$G$3)+(R10*'Static XP'!$H$3)+(R11*'Static XP'!$I$3)+(R12*'Static XP'!$J$3)+(R13*'Static XP'!$K$3)+(R14*'Static XP'!L3)</f>
        <v>275</v>
      </c>
      <c r="E5" s="19">
        <f>IF(L66&gt;=55,SUM(B5:D5),0)</f>
        <v>12035</v>
      </c>
      <c r="F5" s="1"/>
      <c r="G5" s="1"/>
      <c r="H5" s="15" t="s">
        <v>25</v>
      </c>
      <c r="I5" s="19">
        <f>MAX(0,E5-D5)</f>
        <v>11760</v>
      </c>
      <c r="J5" s="18">
        <v>7967</v>
      </c>
      <c r="K5" s="19">
        <f>E5-J5</f>
        <v>4068</v>
      </c>
      <c r="L5" s="1"/>
      <c r="M5" s="1"/>
      <c r="N5" s="29" t="s">
        <v>3</v>
      </c>
      <c r="O5" s="20"/>
      <c r="P5" s="21"/>
      <c r="Q5" s="22"/>
      <c r="R5" s="23">
        <v>58</v>
      </c>
      <c r="S5" s="24">
        <v>19</v>
      </c>
      <c r="T5" s="25"/>
    </row>
    <row r="6" spans="1:20" ht="19.8" customHeight="1" x14ac:dyDescent="0.3">
      <c r="A6" s="15" t="s">
        <v>27</v>
      </c>
      <c r="B6" s="18">
        <v>4732</v>
      </c>
      <c r="C6" s="18">
        <v>3054</v>
      </c>
      <c r="D6" s="19">
        <f>(S3*'Static XP'!$A$3)+(S4*'Static XP'!$B$3)+(S5*'Static XP'!$C$3)+(S6*'Static XP'!$D$3)+(S7*'Static XP'!$E$3)+(S8*'Static XP'!$F$3)+(S9*'Static XP'!$G$3)+(S10*'Static XP'!$H$3)+(S11*'Static XP'!$I$3)+(S12*'Static XP'!$J$3)+(S13*'Static XP'!$K$3)+(S14*'Static XP'!L3)</f>
        <v>1106</v>
      </c>
      <c r="E6" s="19">
        <f>IF(L66&gt;=70,SUM(B6:D6),0)</f>
        <v>8892</v>
      </c>
      <c r="F6" s="1"/>
      <c r="G6" s="1"/>
      <c r="H6" s="15" t="s">
        <v>27</v>
      </c>
      <c r="I6" s="19">
        <f t="shared" ref="I6:I7" si="1">MAX(0,E6-D6)</f>
        <v>7786</v>
      </c>
      <c r="J6" s="18">
        <v>4124</v>
      </c>
      <c r="K6" s="19">
        <f>E6-J6</f>
        <v>4768</v>
      </c>
      <c r="L6" s="1"/>
      <c r="M6" s="1"/>
      <c r="N6" s="29" t="s">
        <v>4</v>
      </c>
      <c r="O6" s="20"/>
      <c r="P6" s="21"/>
      <c r="Q6" s="22"/>
      <c r="R6" s="23">
        <v>1</v>
      </c>
      <c r="S6" s="24">
        <v>24</v>
      </c>
      <c r="T6" s="25"/>
    </row>
    <row r="7" spans="1:20" ht="19.8" customHeight="1" x14ac:dyDescent="0.3">
      <c r="A7" s="15" t="s">
        <v>29</v>
      </c>
      <c r="B7" s="18">
        <v>842</v>
      </c>
      <c r="C7" s="18">
        <v>351</v>
      </c>
      <c r="D7" s="19">
        <f>(T3*'Static XP'!$A$3)+(T4*'Static XP'!$B$3)+(T5*'Static XP'!$C$3)+(T6*'Static XP'!$D$3)+(T7*'Static XP'!$E$3)+(T8*'Static XP'!$F$3)+(T9*'Static XP'!$G$3)+(T10*'Static XP'!$H$3)+(T11*'Static XP'!$I$3)+(T12*'Static XP'!$J$3)+(T13*'Static XP'!$K$3)+(T14*'Static XP'!L3)</f>
        <v>0</v>
      </c>
      <c r="E7" s="19">
        <f>IF(L66&gt;=85,SUM(B7:D7),0)</f>
        <v>1193</v>
      </c>
      <c r="F7" s="1"/>
      <c r="G7" s="1"/>
      <c r="H7" s="15" t="s">
        <v>29</v>
      </c>
      <c r="I7" s="19">
        <f t="shared" si="1"/>
        <v>1193</v>
      </c>
      <c r="J7" s="18">
        <v>0</v>
      </c>
      <c r="K7" s="19">
        <f>E7-J7</f>
        <v>1193</v>
      </c>
      <c r="L7" s="1"/>
      <c r="M7" s="1"/>
      <c r="N7" s="29" t="s">
        <v>5</v>
      </c>
      <c r="O7" s="20"/>
      <c r="P7" s="21"/>
      <c r="Q7" s="22"/>
      <c r="R7" s="23">
        <v>8</v>
      </c>
      <c r="S7" s="24"/>
      <c r="T7" s="25"/>
    </row>
    <row r="8" spans="1:20" ht="19.8" customHeight="1" x14ac:dyDescent="0.3">
      <c r="A8" s="15" t="s">
        <v>92</v>
      </c>
      <c r="B8" s="18">
        <v>345</v>
      </c>
      <c r="C8" s="19" t="s">
        <v>91</v>
      </c>
      <c r="D8" s="19" t="s">
        <v>91</v>
      </c>
      <c r="E8" s="19">
        <f>IF(L66&gt;=40,SUM(B8:D8),F8)</f>
        <v>345</v>
      </c>
      <c r="F8" s="1"/>
      <c r="G8" s="1"/>
      <c r="H8" s="1"/>
      <c r="I8" s="1"/>
      <c r="J8" s="1"/>
      <c r="K8" s="1"/>
      <c r="L8" s="1"/>
      <c r="M8" s="1"/>
      <c r="N8" s="29" t="s">
        <v>6</v>
      </c>
      <c r="O8" s="20"/>
      <c r="P8" s="21"/>
      <c r="Q8" s="22"/>
      <c r="R8" s="23">
        <v>39</v>
      </c>
      <c r="S8" s="24">
        <v>71</v>
      </c>
      <c r="T8" s="25"/>
    </row>
    <row r="9" spans="1:20" ht="19.8" customHeight="1" x14ac:dyDescent="0.3">
      <c r="A9" s="15" t="s">
        <v>93</v>
      </c>
      <c r="B9" s="18">
        <v>7627</v>
      </c>
      <c r="C9" s="19" t="s">
        <v>91</v>
      </c>
      <c r="D9" s="19" t="s">
        <v>91</v>
      </c>
      <c r="E9" s="19">
        <f>IF(L66&gt;=25,SUM(B9:D9),0)</f>
        <v>7627</v>
      </c>
      <c r="F9" s="1"/>
      <c r="G9" s="1"/>
      <c r="H9" s="1"/>
      <c r="I9" s="1"/>
      <c r="J9" s="1"/>
      <c r="K9" s="1"/>
      <c r="L9" s="1"/>
      <c r="M9" s="1"/>
      <c r="N9" s="29" t="s">
        <v>7</v>
      </c>
      <c r="O9" s="20"/>
      <c r="P9" s="21"/>
      <c r="Q9" s="22"/>
      <c r="R9" s="23"/>
      <c r="S9" s="24">
        <v>26</v>
      </c>
      <c r="T9" s="25"/>
    </row>
    <row r="10" spans="1:20" ht="19.8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9" t="s">
        <v>8</v>
      </c>
      <c r="O10" s="20"/>
      <c r="P10" s="21"/>
      <c r="Q10" s="22"/>
      <c r="R10" s="23">
        <v>27</v>
      </c>
      <c r="S10" s="24">
        <v>65</v>
      </c>
      <c r="T10" s="25"/>
    </row>
    <row r="11" spans="1:20" ht="19.8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9" t="s">
        <v>9</v>
      </c>
      <c r="O11" s="20"/>
      <c r="P11" s="21"/>
      <c r="Q11" s="22"/>
      <c r="R11" s="23"/>
      <c r="S11" s="24">
        <v>51</v>
      </c>
      <c r="T11" s="25"/>
    </row>
    <row r="12" spans="1:20" ht="19.8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9" t="s">
        <v>10</v>
      </c>
      <c r="O12" s="20"/>
      <c r="P12" s="21"/>
      <c r="Q12" s="22"/>
      <c r="R12" s="23"/>
      <c r="S12" s="24">
        <v>133</v>
      </c>
      <c r="T12" s="25"/>
    </row>
    <row r="13" spans="1:20" ht="19.8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9" t="s">
        <v>11</v>
      </c>
      <c r="O13" s="20"/>
      <c r="P13" s="21"/>
      <c r="Q13" s="22"/>
      <c r="R13" s="23"/>
      <c r="S13" s="24"/>
      <c r="T13" s="25"/>
    </row>
    <row r="14" spans="1:20" ht="18" customHeight="1" x14ac:dyDescent="0.3">
      <c r="A14" s="1"/>
      <c r="B14" s="1"/>
      <c r="C14" s="1"/>
      <c r="D14" s="1"/>
      <c r="E14" s="1"/>
      <c r="F14" s="1"/>
      <c r="G14" s="1"/>
      <c r="H14" s="137" t="str">
        <f>IF(OR(J2&gt;I2,J3&gt;I3,J4&gt;I4,J5&gt;I5,J6&gt;I6,J7&gt;I7),"FIX ANVIL BARS","")</f>
        <v/>
      </c>
      <c r="I14" s="137"/>
      <c r="J14" s="137"/>
      <c r="K14" s="137"/>
      <c r="L14" s="163"/>
      <c r="M14" s="1"/>
      <c r="N14" s="29" t="s">
        <v>12</v>
      </c>
      <c r="O14" s="20"/>
      <c r="P14" s="21"/>
      <c r="Q14" s="22">
        <v>3</v>
      </c>
      <c r="R14" s="23">
        <v>17</v>
      </c>
      <c r="S14" s="24">
        <v>87</v>
      </c>
      <c r="T14" s="25"/>
    </row>
    <row r="15" spans="1:20" ht="18" customHeight="1" x14ac:dyDescent="0.3">
      <c r="A15" s="1"/>
      <c r="B15" s="1"/>
      <c r="C15" s="1"/>
      <c r="D15" s="1"/>
      <c r="E15" s="1"/>
      <c r="F15" s="1"/>
      <c r="G15" s="1"/>
      <c r="H15" s="137"/>
      <c r="I15" s="137"/>
      <c r="J15" s="137"/>
      <c r="K15" s="137"/>
      <c r="L15" s="163"/>
      <c r="M15" s="1"/>
      <c r="N15" s="1"/>
      <c r="O15" s="1"/>
      <c r="P15" s="1"/>
      <c r="Q15" s="1"/>
      <c r="R15" s="1"/>
      <c r="S15" s="1"/>
      <c r="T15" s="1"/>
    </row>
    <row r="16" spans="1:20" ht="18" customHeight="1" x14ac:dyDescent="0.3">
      <c r="A16" s="138" t="s">
        <v>88</v>
      </c>
      <c r="B16" s="139">
        <v>1</v>
      </c>
      <c r="C16" s="1"/>
      <c r="D16" s="1"/>
      <c r="E16" s="1"/>
      <c r="F16" s="1"/>
      <c r="G16" s="1"/>
      <c r="H16" s="137"/>
      <c r="I16" s="137"/>
      <c r="J16" s="137"/>
      <c r="K16" s="137"/>
      <c r="L16" s="163"/>
      <c r="M16" s="1"/>
      <c r="N16" s="1"/>
      <c r="O16" s="1"/>
      <c r="P16" s="1"/>
      <c r="Q16" s="1"/>
      <c r="R16" s="1"/>
      <c r="S16" s="1"/>
      <c r="T16" s="1"/>
    </row>
    <row r="17" spans="1:20" ht="18" customHeight="1" x14ac:dyDescent="0.3">
      <c r="A17" s="138"/>
      <c r="B17" s="139"/>
      <c r="C17" s="1"/>
      <c r="D17" s="1"/>
      <c r="E17" s="1"/>
      <c r="F17" s="1"/>
      <c r="G17" s="1"/>
      <c r="H17" s="137"/>
      <c r="I17" s="137"/>
      <c r="J17" s="137"/>
      <c r="K17" s="137"/>
      <c r="L17" s="163"/>
      <c r="M17" s="1"/>
      <c r="N17" s="1"/>
      <c r="O17" s="1"/>
      <c r="P17" s="1"/>
      <c r="Q17" s="1"/>
      <c r="R17" s="1"/>
      <c r="S17" s="1"/>
      <c r="T17" s="1"/>
    </row>
    <row r="18" spans="1:20" ht="18" customHeight="1" x14ac:dyDescent="0.3">
      <c r="A18" s="140" t="str">
        <f>IF(B16=1,"How many Bars for Cannonballs?","")</f>
        <v>How many Bars for Cannonballs?</v>
      </c>
      <c r="B18" s="125">
        <v>5010</v>
      </c>
      <c r="C18" s="1"/>
      <c r="D18" s="1"/>
      <c r="E18" s="1"/>
      <c r="F18" s="1"/>
      <c r="G18" s="1"/>
      <c r="H18" s="137"/>
      <c r="I18" s="137"/>
      <c r="J18" s="137"/>
      <c r="K18" s="137"/>
      <c r="L18" s="163"/>
      <c r="M18" s="1"/>
      <c r="N18" s="1"/>
      <c r="O18" s="1"/>
      <c r="P18" s="1"/>
      <c r="Q18" s="1"/>
      <c r="R18" s="1"/>
      <c r="S18" s="1"/>
      <c r="T18" s="1"/>
    </row>
    <row r="19" spans="1:20" ht="18" customHeight="1" x14ac:dyDescent="0.3">
      <c r="A19" s="141"/>
      <c r="B19" s="126"/>
      <c r="C19" s="1"/>
      <c r="D19" s="1"/>
      <c r="E19" s="1"/>
      <c r="F19" s="1"/>
      <c r="G19" s="1"/>
      <c r="H19" s="137"/>
      <c r="I19" s="137"/>
      <c r="J19" s="137"/>
      <c r="K19" s="137"/>
      <c r="L19" s="1"/>
      <c r="M19" s="1"/>
      <c r="N19" s="1"/>
      <c r="O19" s="1"/>
      <c r="P19" s="1"/>
      <c r="Q19" s="1"/>
      <c r="R19" s="1"/>
      <c r="S19" s="1"/>
      <c r="T19" s="1"/>
    </row>
    <row r="20" spans="1:20" ht="18" customHeight="1" x14ac:dyDescent="0.3">
      <c r="A20" s="65" t="str">
        <f>IF(B16=1, "(Max Bars):","")</f>
        <v>(Max Bars):</v>
      </c>
      <c r="B20" s="3">
        <f>IF(B16=1,SUM(B4:C4),"")</f>
        <v>5010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 customHeight="1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</row>
    <row r="23" spans="1:20" ht="18" customHeight="1" x14ac:dyDescent="0.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</row>
    <row r="24" spans="1:20" ht="18" customHeight="1" thickBot="1" x14ac:dyDescent="0.3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 ht="31.8" customHeight="1" x14ac:dyDescent="0.55000000000000004">
      <c r="A25" s="128" t="s">
        <v>81</v>
      </c>
      <c r="B25" s="128"/>
      <c r="C25" s="128"/>
      <c r="D25" s="128"/>
      <c r="E25" s="128"/>
      <c r="F25" s="66"/>
      <c r="G25" s="142" t="s">
        <v>38</v>
      </c>
      <c r="H25" s="143"/>
      <c r="I25" s="1"/>
      <c r="J25" s="1"/>
      <c r="K25" s="1"/>
      <c r="L25" s="133" t="s">
        <v>39</v>
      </c>
      <c r="M25" s="1"/>
      <c r="N25" s="1"/>
      <c r="O25" s="1"/>
      <c r="P25" s="1"/>
      <c r="Q25" s="1"/>
      <c r="R25" s="1"/>
      <c r="S25" s="1"/>
      <c r="T25" s="1"/>
    </row>
    <row r="26" spans="1:20" ht="18" customHeight="1" x14ac:dyDescent="0.3">
      <c r="A26" s="128"/>
      <c r="B26" s="128"/>
      <c r="C26" s="128"/>
      <c r="D26" s="128"/>
      <c r="E26" s="128"/>
      <c r="F26" s="66"/>
      <c r="G26" s="109" t="s">
        <v>41</v>
      </c>
      <c r="H26" s="110"/>
      <c r="I26" s="1"/>
      <c r="J26" s="1"/>
      <c r="K26" s="1"/>
      <c r="L26" s="134"/>
      <c r="M26" s="1"/>
      <c r="N26" s="1"/>
      <c r="O26" s="77"/>
      <c r="P26" s="77"/>
      <c r="Q26" s="77"/>
      <c r="R26" s="77"/>
      <c r="S26" s="77"/>
      <c r="T26" s="1"/>
    </row>
    <row r="27" spans="1:20" ht="18" customHeight="1" thickBot="1" x14ac:dyDescent="0.35">
      <c r="A27" s="128"/>
      <c r="B27" s="128"/>
      <c r="C27" s="128"/>
      <c r="D27" s="128"/>
      <c r="E27" s="128"/>
      <c r="F27" s="66"/>
      <c r="G27" s="26" t="s">
        <v>29</v>
      </c>
      <c r="H27" s="27">
        <v>9</v>
      </c>
      <c r="I27" s="1"/>
      <c r="J27" s="1"/>
      <c r="K27" s="1"/>
      <c r="L27" s="28">
        <v>5775771</v>
      </c>
      <c r="M27" s="77"/>
      <c r="N27" s="77"/>
      <c r="O27" s="77"/>
      <c r="P27" s="77"/>
      <c r="Q27" s="77"/>
      <c r="R27" s="77"/>
      <c r="S27" s="77"/>
      <c r="T27" s="1"/>
    </row>
    <row r="28" spans="1:20" ht="18" customHeight="1" thickBot="1" x14ac:dyDescent="0.35">
      <c r="A28" s="128"/>
      <c r="B28" s="128"/>
      <c r="C28" s="128"/>
      <c r="D28" s="128"/>
      <c r="E28" s="128"/>
      <c r="F28" s="66"/>
      <c r="G28" s="30" t="s">
        <v>27</v>
      </c>
      <c r="H28" s="31">
        <v>19</v>
      </c>
      <c r="I28" s="1"/>
      <c r="J28" s="1"/>
      <c r="K28" s="1"/>
      <c r="L28" s="1"/>
      <c r="M28" s="77"/>
      <c r="N28" s="77"/>
      <c r="O28" s="77"/>
      <c r="P28" s="77"/>
      <c r="Q28" s="77"/>
      <c r="R28" s="77"/>
      <c r="S28" s="77"/>
      <c r="T28" s="1"/>
    </row>
    <row r="29" spans="1:20" ht="18" customHeight="1" x14ac:dyDescent="0.3">
      <c r="A29" s="128"/>
      <c r="B29" s="128"/>
      <c r="C29" s="128"/>
      <c r="D29" s="128"/>
      <c r="E29" s="128"/>
      <c r="F29" s="66"/>
      <c r="G29" s="32"/>
      <c r="H29" s="33"/>
      <c r="I29" s="1"/>
      <c r="J29" s="1"/>
      <c r="K29" s="1"/>
      <c r="L29" s="135" t="s">
        <v>44</v>
      </c>
      <c r="M29" s="77"/>
      <c r="N29" s="77"/>
      <c r="O29" s="77"/>
      <c r="P29" s="77"/>
      <c r="Q29" s="77"/>
      <c r="R29" s="77"/>
      <c r="S29" s="77"/>
      <c r="T29" s="1"/>
    </row>
    <row r="30" spans="1:20" ht="18" customHeight="1" x14ac:dyDescent="0.3">
      <c r="A30" s="128"/>
      <c r="B30" s="128"/>
      <c r="C30" s="128"/>
      <c r="D30" s="128"/>
      <c r="E30" s="128"/>
      <c r="F30" s="66"/>
      <c r="G30" s="129" t="s">
        <v>45</v>
      </c>
      <c r="H30" s="130"/>
      <c r="I30" s="1"/>
      <c r="J30" s="1"/>
      <c r="K30" s="1"/>
      <c r="L30" s="136"/>
      <c r="M30" s="77"/>
      <c r="N30" s="77"/>
      <c r="O30" s="77"/>
      <c r="P30" s="77"/>
      <c r="Q30" s="77"/>
      <c r="R30" s="77"/>
      <c r="S30" s="77"/>
      <c r="T30" s="1"/>
    </row>
    <row r="31" spans="1:20" ht="18" customHeight="1" thickBot="1" x14ac:dyDescent="0.35">
      <c r="A31" s="128"/>
      <c r="B31" s="128"/>
      <c r="C31" s="128"/>
      <c r="D31" s="128"/>
      <c r="E31" s="128"/>
      <c r="F31" s="66"/>
      <c r="G31" s="30" t="s">
        <v>27</v>
      </c>
      <c r="H31" s="31">
        <v>10</v>
      </c>
      <c r="I31" s="1"/>
      <c r="J31" s="1"/>
      <c r="K31" s="1"/>
      <c r="L31" s="34">
        <v>1</v>
      </c>
      <c r="M31" s="77"/>
      <c r="N31" s="77"/>
      <c r="O31" s="77"/>
      <c r="P31" s="77"/>
      <c r="Q31" s="77"/>
      <c r="R31" s="77"/>
      <c r="S31" s="77"/>
      <c r="T31" s="1"/>
    </row>
    <row r="32" spans="1:20" ht="18" customHeight="1" x14ac:dyDescent="0.3">
      <c r="A32" s="128"/>
      <c r="B32" s="128"/>
      <c r="C32" s="128"/>
      <c r="D32" s="128"/>
      <c r="E32" s="128"/>
      <c r="F32" s="66"/>
      <c r="G32" s="35" t="s">
        <v>25</v>
      </c>
      <c r="H32" s="36">
        <v>18</v>
      </c>
      <c r="I32" s="1"/>
      <c r="J32" s="1"/>
      <c r="K32" s="1"/>
      <c r="L32" s="1"/>
      <c r="M32" s="77"/>
      <c r="N32" s="77"/>
      <c r="O32" s="77"/>
      <c r="P32" s="77"/>
      <c r="Q32" s="77"/>
      <c r="R32" s="77"/>
      <c r="S32" s="77"/>
      <c r="T32" s="1"/>
    </row>
    <row r="33" spans="1:20" ht="18" customHeight="1" x14ac:dyDescent="0.3">
      <c r="A33" s="128"/>
      <c r="B33" s="128"/>
      <c r="C33" s="128"/>
      <c r="D33" s="128"/>
      <c r="E33" s="128"/>
      <c r="F33" s="66"/>
      <c r="G33" s="32"/>
      <c r="H33" s="33"/>
      <c r="I33" s="1"/>
      <c r="J33" s="1"/>
      <c r="K33" s="1"/>
      <c r="L33" s="1"/>
      <c r="M33" s="77"/>
      <c r="N33" s="77"/>
      <c r="O33" s="77"/>
      <c r="P33" s="77"/>
      <c r="Q33" s="77"/>
      <c r="R33" s="77"/>
      <c r="S33" s="77"/>
      <c r="T33" s="1"/>
    </row>
    <row r="34" spans="1:20" ht="18" customHeight="1" x14ac:dyDescent="0.3">
      <c r="A34" s="128"/>
      <c r="B34" s="128"/>
      <c r="C34" s="128"/>
      <c r="D34" s="128"/>
      <c r="E34" s="128"/>
      <c r="F34" s="66"/>
      <c r="G34" s="129" t="s">
        <v>46</v>
      </c>
      <c r="H34" s="130"/>
      <c r="I34" s="1"/>
      <c r="J34" s="1"/>
      <c r="K34" s="1"/>
      <c r="L34" s="1"/>
      <c r="M34" s="77"/>
      <c r="N34" s="77"/>
      <c r="O34" s="77"/>
      <c r="P34" s="77"/>
      <c r="Q34" s="77"/>
      <c r="R34" s="77"/>
      <c r="S34" s="77"/>
      <c r="T34" s="1"/>
    </row>
    <row r="35" spans="1:20" ht="18" customHeight="1" x14ac:dyDescent="0.3">
      <c r="A35" s="128"/>
      <c r="B35" s="128"/>
      <c r="C35" s="128"/>
      <c r="D35" s="128"/>
      <c r="E35" s="128"/>
      <c r="F35" s="66"/>
      <c r="G35" s="35" t="s">
        <v>25</v>
      </c>
      <c r="H35" s="36">
        <v>9</v>
      </c>
      <c r="I35" s="1"/>
      <c r="J35" s="1"/>
      <c r="K35" s="1"/>
      <c r="L35" s="1"/>
      <c r="M35" s="77"/>
      <c r="N35" s="77"/>
      <c r="O35" s="77"/>
      <c r="P35" s="77"/>
      <c r="Q35" s="77"/>
      <c r="R35" s="77"/>
      <c r="S35" s="77"/>
      <c r="T35" s="1"/>
    </row>
    <row r="36" spans="1:20" ht="18" customHeight="1" x14ac:dyDescent="0.3">
      <c r="A36" s="128"/>
      <c r="B36" s="128"/>
      <c r="C36" s="128"/>
      <c r="D36" s="128"/>
      <c r="E36" s="128"/>
      <c r="F36" s="66"/>
      <c r="G36" s="37" t="s">
        <v>23</v>
      </c>
      <c r="H36" s="38">
        <v>19</v>
      </c>
      <c r="I36" s="1"/>
      <c r="J36" s="1"/>
      <c r="K36" s="1"/>
      <c r="L36" s="1"/>
      <c r="M36" s="77"/>
      <c r="N36" s="77"/>
      <c r="O36" s="77"/>
      <c r="P36" s="77"/>
      <c r="Q36" s="77"/>
      <c r="R36" s="77"/>
      <c r="S36" s="77"/>
      <c r="T36" s="1"/>
    </row>
    <row r="37" spans="1:20" ht="14.4" customHeight="1" x14ac:dyDescent="0.3">
      <c r="A37" s="128"/>
      <c r="B37" s="128"/>
      <c r="C37" s="128"/>
      <c r="D37" s="128"/>
      <c r="E37" s="128"/>
      <c r="F37" s="66"/>
      <c r="G37" s="32"/>
      <c r="H37" s="33"/>
      <c r="I37" s="1"/>
      <c r="J37" s="1"/>
      <c r="K37" s="1"/>
      <c r="L37" s="1"/>
      <c r="M37" s="77"/>
      <c r="N37" s="77"/>
      <c r="O37" s="77"/>
      <c r="P37" s="77"/>
      <c r="Q37" s="77"/>
      <c r="R37" s="77"/>
      <c r="S37" s="77"/>
      <c r="T37" s="1"/>
    </row>
    <row r="38" spans="1:20" ht="28.8" customHeight="1" x14ac:dyDescent="0.3">
      <c r="A38" s="3"/>
      <c r="B38" s="1"/>
      <c r="C38" s="1"/>
      <c r="D38" s="1"/>
      <c r="E38" s="1"/>
      <c r="F38" s="1"/>
      <c r="G38" s="129" t="s">
        <v>47</v>
      </c>
      <c r="H38" s="130"/>
      <c r="I38" s="1"/>
      <c r="J38" s="1"/>
      <c r="K38" s="1"/>
      <c r="L38" s="1"/>
      <c r="M38" s="77"/>
      <c r="N38" s="77"/>
      <c r="O38" s="77"/>
      <c r="P38" s="77"/>
      <c r="Q38" s="77"/>
      <c r="R38" s="77"/>
      <c r="S38" s="77"/>
      <c r="T38" s="1"/>
    </row>
    <row r="39" spans="1:20" ht="14.4" customHeight="1" x14ac:dyDescent="0.3">
      <c r="A39" s="1"/>
      <c r="B39" s="1"/>
      <c r="C39" s="1"/>
      <c r="D39" s="1"/>
      <c r="E39" s="1"/>
      <c r="F39" s="1"/>
      <c r="G39" s="37" t="s">
        <v>23</v>
      </c>
      <c r="H39" s="38">
        <v>6</v>
      </c>
      <c r="I39" s="1"/>
      <c r="J39" s="1"/>
      <c r="K39" s="1"/>
      <c r="L39" s="1"/>
      <c r="M39" s="77"/>
      <c r="N39" s="77"/>
      <c r="O39" s="77"/>
      <c r="P39" s="77"/>
      <c r="Q39" s="77"/>
      <c r="R39" s="77"/>
      <c r="S39" s="77"/>
      <c r="T39" s="1"/>
    </row>
    <row r="40" spans="1:20" ht="14.4" customHeight="1" x14ac:dyDescent="0.3">
      <c r="A40" s="1"/>
      <c r="B40" s="1"/>
      <c r="C40" s="1"/>
      <c r="D40" s="1"/>
      <c r="E40" s="1"/>
      <c r="F40" s="1"/>
      <c r="G40" s="39" t="s">
        <v>20</v>
      </c>
      <c r="H40" s="40">
        <v>22</v>
      </c>
      <c r="I40" s="1"/>
      <c r="J40" s="1"/>
      <c r="K40" s="1"/>
      <c r="L40" s="1"/>
      <c r="M40" s="77"/>
      <c r="N40" s="77"/>
      <c r="O40" s="77"/>
      <c r="P40" s="77"/>
      <c r="Q40" s="77"/>
      <c r="R40" s="77"/>
      <c r="S40" s="77"/>
      <c r="T40" s="1"/>
    </row>
    <row r="41" spans="1:20" ht="28.8" customHeight="1" x14ac:dyDescent="0.3">
      <c r="A41" s="1"/>
      <c r="B41" s="1"/>
      <c r="C41" s="1"/>
      <c r="D41" s="1"/>
      <c r="E41" s="1"/>
      <c r="F41" s="1"/>
      <c r="G41" s="41"/>
      <c r="H41" s="42"/>
      <c r="I41" s="1"/>
      <c r="J41" s="1"/>
      <c r="K41" s="1"/>
      <c r="L41" s="1"/>
      <c r="M41" s="77"/>
      <c r="N41" s="77"/>
      <c r="O41" s="77"/>
      <c r="P41" s="77"/>
      <c r="Q41" s="77"/>
      <c r="R41" s="77"/>
      <c r="S41" s="77"/>
      <c r="T41" s="1"/>
    </row>
    <row r="42" spans="1:20" ht="14.4" customHeight="1" x14ac:dyDescent="0.3">
      <c r="A42" s="1"/>
      <c r="B42" s="1"/>
      <c r="C42" s="1"/>
      <c r="D42" s="1"/>
      <c r="E42" s="1"/>
      <c r="F42" s="1"/>
      <c r="G42" s="131" t="s">
        <v>48</v>
      </c>
      <c r="H42" s="132"/>
      <c r="I42" s="1"/>
      <c r="J42" s="1"/>
      <c r="K42" s="1"/>
      <c r="L42" s="1"/>
      <c r="M42" s="77"/>
      <c r="N42" s="77"/>
      <c r="O42" s="77"/>
      <c r="P42" s="77"/>
      <c r="Q42" s="77"/>
      <c r="R42" s="77"/>
      <c r="S42" s="77"/>
      <c r="T42" s="1"/>
    </row>
    <row r="43" spans="1:20" ht="14.4" customHeight="1" x14ac:dyDescent="0.3">
      <c r="A43" s="1"/>
      <c r="B43" s="1"/>
      <c r="C43" s="1"/>
      <c r="D43" s="1"/>
      <c r="E43" s="1"/>
      <c r="F43" s="1"/>
      <c r="G43" s="43" t="s">
        <v>20</v>
      </c>
      <c r="H43" s="44">
        <v>7</v>
      </c>
      <c r="I43" s="1"/>
      <c r="J43" s="1"/>
      <c r="K43" s="1"/>
      <c r="L43" s="1"/>
      <c r="M43" s="1"/>
      <c r="N43" s="77"/>
      <c r="O43" s="77"/>
      <c r="P43" s="77"/>
      <c r="Q43" s="77"/>
      <c r="R43" s="77"/>
      <c r="S43" s="77"/>
      <c r="T43" s="1"/>
    </row>
    <row r="44" spans="1:20" ht="28.8" customHeight="1" thickBot="1" x14ac:dyDescent="0.35">
      <c r="A44" s="1"/>
      <c r="B44" s="1"/>
      <c r="C44" s="1"/>
      <c r="D44" s="1"/>
      <c r="E44" s="1"/>
      <c r="F44" s="1"/>
      <c r="G44" s="45" t="s">
        <v>16</v>
      </c>
      <c r="H44" s="46">
        <v>21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1"/>
      <c r="Q46" s="1"/>
      <c r="R46" s="1"/>
      <c r="S46" s="1"/>
      <c r="T46" s="1"/>
    </row>
    <row r="47" spans="1:20" ht="28.8" customHeight="1" x14ac:dyDescent="0.3">
      <c r="A47" s="106" t="b">
        <v>1</v>
      </c>
      <c r="B47" s="103">
        <f>IF(A47=TRUE,MIN(ROUNDDOWN(K7/H27,0),ROUNDDOWN(K6/H28,0)),0)</f>
        <v>132</v>
      </c>
      <c r="C47" s="67"/>
      <c r="D47" s="68" t="s">
        <v>49</v>
      </c>
      <c r="E47" s="68">
        <f>K7-(H27*B47)</f>
        <v>5</v>
      </c>
      <c r="F47" s="67"/>
      <c r="G47" s="104" t="s">
        <v>50</v>
      </c>
      <c r="H47" s="105">
        <f>((('Static XP'!L11*'Static XP'!L11/73)+(1.5*'Static XP'!L11)+1)*35)*B47</f>
        <v>2374652.9475518195</v>
      </c>
      <c r="I47" s="67"/>
      <c r="J47" s="107" t="s">
        <v>51</v>
      </c>
      <c r="K47" s="108">
        <f>'Static XP'!L11*B47</f>
        <v>19319.816326530614</v>
      </c>
      <c r="L47" s="67"/>
      <c r="M47" s="107" t="s">
        <v>52</v>
      </c>
      <c r="N47" s="108">
        <f>2*H47</f>
        <v>4749305.895103639</v>
      </c>
      <c r="O47" s="67"/>
      <c r="P47" s="1"/>
      <c r="Q47" s="1"/>
      <c r="R47" s="1"/>
      <c r="S47" s="1"/>
      <c r="T47" s="1"/>
    </row>
    <row r="48" spans="1:20" x14ac:dyDescent="0.3">
      <c r="A48" s="106"/>
      <c r="B48" s="103"/>
      <c r="C48" s="67"/>
      <c r="D48" s="69" t="s">
        <v>53</v>
      </c>
      <c r="E48" s="69">
        <f>K6-(H28*B47)</f>
        <v>2260</v>
      </c>
      <c r="F48" s="67"/>
      <c r="G48" s="104"/>
      <c r="H48" s="105"/>
      <c r="I48" s="67"/>
      <c r="J48" s="107"/>
      <c r="K48" s="108"/>
      <c r="L48" s="67"/>
      <c r="M48" s="107"/>
      <c r="N48" s="108"/>
      <c r="O48" s="67"/>
      <c r="P48" s="1"/>
      <c r="Q48" s="1"/>
      <c r="R48" s="1"/>
      <c r="S48" s="1"/>
      <c r="T48" s="1"/>
    </row>
    <row r="49" spans="1:20" x14ac:dyDescent="0.3">
      <c r="A49" s="67"/>
      <c r="B49" s="70"/>
      <c r="C49" s="67"/>
      <c r="D49" s="71"/>
      <c r="E49" s="71"/>
      <c r="F49" s="67"/>
      <c r="G49" s="67"/>
      <c r="H49" s="70"/>
      <c r="I49" s="67"/>
      <c r="J49" s="67"/>
      <c r="K49" s="70"/>
      <c r="L49" s="67"/>
      <c r="M49" s="67"/>
      <c r="N49" s="70"/>
      <c r="O49" s="67"/>
      <c r="P49" s="1"/>
      <c r="Q49" s="1"/>
      <c r="R49" s="1"/>
      <c r="S49" s="1"/>
      <c r="T49" s="1"/>
    </row>
    <row r="50" spans="1:20" ht="28.8" customHeight="1" x14ac:dyDescent="0.3">
      <c r="A50" s="102" t="b">
        <v>1</v>
      </c>
      <c r="B50" s="103">
        <f>IF(A50=TRUE,MIN(ROUNDDOWN(E48/H31,0),ROUNDDOWN(K5/H32,0)),0)</f>
        <v>226</v>
      </c>
      <c r="C50" s="67"/>
      <c r="D50" s="69" t="s">
        <v>53</v>
      </c>
      <c r="E50" s="69">
        <f>E48-(H31*B50)</f>
        <v>0</v>
      </c>
      <c r="F50" s="67"/>
      <c r="G50" s="104" t="s">
        <v>50</v>
      </c>
      <c r="H50" s="105">
        <f>((('Static XP'!L10*'Static XP'!L10/73)+(1.5*'Static XP'!L10)+1)*35)*B50</f>
        <v>3168416.8083539675</v>
      </c>
      <c r="I50" s="67"/>
      <c r="J50" s="107" t="s">
        <v>51</v>
      </c>
      <c r="K50" s="108">
        <f>'Static XP'!L10*B50</f>
        <v>28158.908163265307</v>
      </c>
      <c r="L50" s="67"/>
      <c r="M50" s="107" t="s">
        <v>52</v>
      </c>
      <c r="N50" s="108">
        <f>2*H50</f>
        <v>6336833.616707935</v>
      </c>
      <c r="O50" s="67"/>
      <c r="P50" s="1"/>
      <c r="Q50" s="1"/>
      <c r="R50" s="1"/>
      <c r="S50" s="1"/>
      <c r="T50" s="1"/>
    </row>
    <row r="51" spans="1:20" x14ac:dyDescent="0.3">
      <c r="A51" s="102"/>
      <c r="B51" s="103"/>
      <c r="C51" s="67"/>
      <c r="D51" s="72" t="s">
        <v>54</v>
      </c>
      <c r="E51" s="72">
        <f>K5-(H32*B50)</f>
        <v>0</v>
      </c>
      <c r="F51" s="67"/>
      <c r="G51" s="104"/>
      <c r="H51" s="105"/>
      <c r="I51" s="67"/>
      <c r="J51" s="107"/>
      <c r="K51" s="108"/>
      <c r="L51" s="67"/>
      <c r="M51" s="107"/>
      <c r="N51" s="108"/>
      <c r="O51" s="67"/>
      <c r="P51" s="1"/>
      <c r="Q51" s="1"/>
      <c r="R51" s="1"/>
      <c r="S51" s="1"/>
      <c r="T51" s="1"/>
    </row>
    <row r="52" spans="1:20" x14ac:dyDescent="0.3">
      <c r="A52" s="67"/>
      <c r="B52" s="70"/>
      <c r="C52" s="67"/>
      <c r="D52" s="71"/>
      <c r="E52" s="71"/>
      <c r="F52" s="67"/>
      <c r="G52" s="67"/>
      <c r="H52" s="70"/>
      <c r="I52" s="67"/>
      <c r="J52" s="67"/>
      <c r="K52" s="70"/>
      <c r="L52" s="67"/>
      <c r="M52" s="73"/>
      <c r="N52" s="70"/>
      <c r="O52" s="67"/>
      <c r="P52" s="1"/>
      <c r="Q52" s="1"/>
      <c r="R52" s="1"/>
      <c r="S52" s="1"/>
      <c r="T52" s="1"/>
    </row>
    <row r="53" spans="1:20" ht="28.8" customHeight="1" x14ac:dyDescent="0.3">
      <c r="A53" s="106" t="b">
        <v>0</v>
      </c>
      <c r="B53" s="103">
        <f>IF(A53=TRUE,MIN(ROUNDDOWN(E51/H31,0),ROUNDDOWN(K4/H36,0)),0)</f>
        <v>0</v>
      </c>
      <c r="C53" s="67"/>
      <c r="D53" s="72" t="s">
        <v>54</v>
      </c>
      <c r="E53" s="72">
        <f>E51-(H35*B53)</f>
        <v>0</v>
      </c>
      <c r="F53" s="67"/>
      <c r="G53" s="104" t="s">
        <v>50</v>
      </c>
      <c r="H53" s="105">
        <f>((('Static XP'!L9*'Static XP'!L9/73)+(1.5*'Static XP'!L9)+1)*35)*B53</f>
        <v>0</v>
      </c>
      <c r="I53" s="67"/>
      <c r="J53" s="107" t="s">
        <v>51</v>
      </c>
      <c r="K53" s="108">
        <f>'Static XP'!L9*B53</f>
        <v>0</v>
      </c>
      <c r="L53" s="67"/>
      <c r="M53" s="107" t="s">
        <v>52</v>
      </c>
      <c r="N53" s="108">
        <f>2*H53</f>
        <v>0</v>
      </c>
      <c r="O53" s="67"/>
      <c r="P53" s="1"/>
      <c r="Q53" s="1"/>
      <c r="R53" s="1"/>
      <c r="S53" s="1"/>
      <c r="T53" s="1"/>
    </row>
    <row r="54" spans="1:20" x14ac:dyDescent="0.3">
      <c r="A54" s="106"/>
      <c r="B54" s="103"/>
      <c r="C54" s="67"/>
      <c r="D54" s="74" t="s">
        <v>55</v>
      </c>
      <c r="E54" s="74">
        <f>K4-(H36*B53)</f>
        <v>12</v>
      </c>
      <c r="F54" s="67"/>
      <c r="G54" s="104"/>
      <c r="H54" s="105"/>
      <c r="I54" s="67"/>
      <c r="J54" s="107"/>
      <c r="K54" s="108"/>
      <c r="L54" s="67"/>
      <c r="M54" s="107"/>
      <c r="N54" s="108"/>
      <c r="O54" s="67"/>
      <c r="P54" s="1"/>
      <c r="Q54" s="1"/>
      <c r="R54" s="1"/>
      <c r="S54" s="1"/>
      <c r="T54" s="1"/>
    </row>
    <row r="55" spans="1:20" x14ac:dyDescent="0.3">
      <c r="A55" s="67"/>
      <c r="B55" s="70"/>
      <c r="C55" s="67"/>
      <c r="D55" s="71"/>
      <c r="E55" s="71"/>
      <c r="F55" s="67"/>
      <c r="G55" s="67"/>
      <c r="H55" s="70"/>
      <c r="I55" s="67"/>
      <c r="J55" s="67"/>
      <c r="K55" s="70"/>
      <c r="L55" s="67"/>
      <c r="M55" s="67"/>
      <c r="N55" s="70"/>
      <c r="O55" s="67"/>
      <c r="P55" s="1"/>
      <c r="Q55" s="1"/>
      <c r="R55" s="1"/>
      <c r="S55" s="1"/>
      <c r="T55" s="1"/>
    </row>
    <row r="56" spans="1:20" ht="28.8" customHeight="1" x14ac:dyDescent="0.3">
      <c r="A56" s="106" t="b">
        <v>0</v>
      </c>
      <c r="B56" s="103">
        <f>IF(A56=TRUE,MIN(ROUNDDOWN(E54/H39,0),ROUNDDOWN(K3/H40,0)),0)</f>
        <v>0</v>
      </c>
      <c r="C56" s="67"/>
      <c r="D56" s="74" t="s">
        <v>55</v>
      </c>
      <c r="E56" s="74">
        <f>E54-(H39*B56)</f>
        <v>12</v>
      </c>
      <c r="F56" s="67"/>
      <c r="G56" s="104" t="s">
        <v>50</v>
      </c>
      <c r="H56" s="105">
        <f>((('Static XP'!L8*'Static XP'!L8/73)+(1.5*'Static XP'!L8)+1)*35)*B56</f>
        <v>0</v>
      </c>
      <c r="I56" s="67"/>
      <c r="J56" s="107" t="s">
        <v>51</v>
      </c>
      <c r="K56" s="108">
        <f>'Static XP'!L8*B56</f>
        <v>0</v>
      </c>
      <c r="L56" s="67"/>
      <c r="M56" s="107" t="s">
        <v>52</v>
      </c>
      <c r="N56" s="108">
        <f>2*H56</f>
        <v>0</v>
      </c>
      <c r="O56" s="67"/>
      <c r="P56" s="1"/>
      <c r="Q56" s="1"/>
      <c r="R56" s="1"/>
      <c r="S56" s="1"/>
      <c r="T56" s="1"/>
    </row>
    <row r="57" spans="1:20" x14ac:dyDescent="0.3">
      <c r="A57" s="106"/>
      <c r="B57" s="103"/>
      <c r="C57" s="67"/>
      <c r="D57" s="75" t="s">
        <v>56</v>
      </c>
      <c r="E57" s="75">
        <f>K3-(H40*B56)</f>
        <v>58</v>
      </c>
      <c r="F57" s="67"/>
      <c r="G57" s="104"/>
      <c r="H57" s="105"/>
      <c r="I57" s="67"/>
      <c r="J57" s="107"/>
      <c r="K57" s="108"/>
      <c r="L57" s="67"/>
      <c r="M57" s="107"/>
      <c r="N57" s="108"/>
      <c r="O57" s="67"/>
      <c r="P57" s="1"/>
      <c r="Q57" s="1"/>
      <c r="R57" s="1"/>
      <c r="S57" s="1"/>
      <c r="T57" s="1"/>
    </row>
    <row r="58" spans="1:20" x14ac:dyDescent="0.3">
      <c r="A58" s="67"/>
      <c r="B58" s="70"/>
      <c r="C58" s="67"/>
      <c r="D58" s="71"/>
      <c r="E58" s="71"/>
      <c r="F58" s="67"/>
      <c r="G58" s="67"/>
      <c r="H58" s="70"/>
      <c r="I58" s="67"/>
      <c r="J58" s="67"/>
      <c r="K58" s="70"/>
      <c r="L58" s="67"/>
      <c r="M58" s="67"/>
      <c r="N58" s="70"/>
      <c r="O58" s="67"/>
      <c r="P58" s="1"/>
      <c r="Q58" s="1"/>
      <c r="R58" s="1"/>
      <c r="S58" s="1"/>
      <c r="T58" s="1"/>
    </row>
    <row r="59" spans="1:20" ht="28.8" customHeight="1" x14ac:dyDescent="0.3">
      <c r="A59" s="106" t="b">
        <v>0</v>
      </c>
      <c r="B59" s="103">
        <f>IF(A59=TRUE,MIN(ROUNDDOWN(E57/H43,0),ROUNDDOWN(K2/H44,0)),0)</f>
        <v>0</v>
      </c>
      <c r="C59" s="67"/>
      <c r="D59" s="75" t="s">
        <v>56</v>
      </c>
      <c r="E59" s="75">
        <f>E57-(H43*B59)</f>
        <v>58</v>
      </c>
      <c r="F59" s="67"/>
      <c r="G59" s="104" t="s">
        <v>50</v>
      </c>
      <c r="H59" s="105">
        <f>((('Static XP'!L7*'Static XP'!L7/73)+(1.5*'Static XP'!L7)+1)*35)*B59</f>
        <v>0</v>
      </c>
      <c r="I59" s="67"/>
      <c r="J59" s="107" t="s">
        <v>51</v>
      </c>
      <c r="K59" s="108">
        <f>'Static XP'!L7*B59</f>
        <v>0</v>
      </c>
      <c r="L59" s="67"/>
      <c r="M59" s="107" t="s">
        <v>52</v>
      </c>
      <c r="N59" s="108">
        <f>2*H59</f>
        <v>0</v>
      </c>
      <c r="O59" s="67"/>
      <c r="P59" s="1"/>
      <c r="Q59" s="1"/>
      <c r="R59" s="1"/>
      <c r="S59" s="1"/>
      <c r="T59" s="1"/>
    </row>
    <row r="60" spans="1:20" x14ac:dyDescent="0.3">
      <c r="A60" s="106"/>
      <c r="B60" s="103"/>
      <c r="C60" s="67"/>
      <c r="D60" s="76" t="s">
        <v>57</v>
      </c>
      <c r="E60" s="76">
        <f>K2-(H44*B59)</f>
        <v>154</v>
      </c>
      <c r="F60" s="67"/>
      <c r="G60" s="104"/>
      <c r="H60" s="105"/>
      <c r="I60" s="67"/>
      <c r="J60" s="107"/>
      <c r="K60" s="108"/>
      <c r="L60" s="67"/>
      <c r="M60" s="107"/>
      <c r="N60" s="108"/>
      <c r="O60" s="67"/>
      <c r="P60" s="1"/>
      <c r="Q60" s="1"/>
      <c r="R60" s="1"/>
      <c r="S60" s="1"/>
      <c r="T60" s="1"/>
    </row>
    <row r="61" spans="1:20" x14ac:dyDescent="0.3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1"/>
      <c r="Q61" s="1"/>
      <c r="R61" s="1"/>
      <c r="S61" s="1"/>
      <c r="T61" s="1"/>
    </row>
    <row r="62" spans="1:2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24" thickTop="1" x14ac:dyDescent="0.45">
      <c r="A65" s="121" t="s">
        <v>83</v>
      </c>
      <c r="B65" s="144"/>
      <c r="C65" s="144"/>
      <c r="D65" s="144"/>
      <c r="E65" s="122"/>
      <c r="F65" s="1"/>
      <c r="G65" s="118" t="s">
        <v>84</v>
      </c>
      <c r="H65" s="119"/>
      <c r="I65" s="119"/>
      <c r="J65" s="119"/>
      <c r="K65" s="119"/>
      <c r="L65" s="119"/>
      <c r="M65" s="119"/>
      <c r="N65" s="119"/>
      <c r="O65" s="119"/>
      <c r="P65" s="120"/>
      <c r="Q65" s="87"/>
      <c r="R65" s="88"/>
      <c r="S65" s="1"/>
      <c r="T65" s="1"/>
    </row>
    <row r="66" spans="1:20" x14ac:dyDescent="0.3">
      <c r="A66" s="49" t="s">
        <v>58</v>
      </c>
      <c r="B66" s="49">
        <f>SUM(B47:B60)</f>
        <v>358</v>
      </c>
      <c r="C66" s="48"/>
      <c r="D66" s="50" t="s">
        <v>59</v>
      </c>
      <c r="E66" s="51">
        <f>SUM(H47:H60)</f>
        <v>5543069.7559057865</v>
      </c>
      <c r="F66" s="1"/>
      <c r="G66" s="89" t="s">
        <v>60</v>
      </c>
      <c r="H66" s="52">
        <v>99</v>
      </c>
      <c r="I66" s="1"/>
      <c r="J66" s="111" t="s">
        <v>61</v>
      </c>
      <c r="K66" s="112"/>
      <c r="L66" s="53">
        <f>VLOOKUP(L27,Levels!B2:D110,3,TRUE)</f>
        <v>90</v>
      </c>
      <c r="M66" s="1"/>
      <c r="N66" s="115" t="s">
        <v>62</v>
      </c>
      <c r="O66" s="116"/>
      <c r="P66" s="117"/>
      <c r="Q66" s="54" t="s">
        <v>63</v>
      </c>
      <c r="R66" s="90">
        <f>(B7*4)+(B6*3)+(B5*2)+(B4*1)</f>
        <v>35115</v>
      </c>
      <c r="S66" s="1"/>
      <c r="T66" s="1"/>
    </row>
    <row r="67" spans="1:20" x14ac:dyDescent="0.3">
      <c r="A67" s="49" t="s">
        <v>64</v>
      </c>
      <c r="B67" s="49">
        <f>(B47*5.45)+(B50*5)+(B53*4.28)+(B56*3.75)+(B59*3.75)</f>
        <v>1849.4</v>
      </c>
      <c r="C67" s="1"/>
      <c r="D67" s="50" t="s">
        <v>51</v>
      </c>
      <c r="E67" s="51">
        <f>SUM(K47:K60)</f>
        <v>47478.724489795917</v>
      </c>
      <c r="F67" s="1"/>
      <c r="G67" s="91" t="s">
        <v>65</v>
      </c>
      <c r="H67" s="55">
        <f>VLOOKUP(H66,Levels!A2:D110,2,FALSE)</f>
        <v>13034440.976429539</v>
      </c>
      <c r="I67" s="1"/>
      <c r="J67" s="111" t="s">
        <v>66</v>
      </c>
      <c r="K67" s="112"/>
      <c r="L67" s="56">
        <f>L27+E66+I94+IF(B16=1,B18*'Static XP'!E24,0)+I116</f>
        <v>13034781.805905787</v>
      </c>
      <c r="M67" s="1"/>
      <c r="N67" s="57" t="s">
        <v>67</v>
      </c>
      <c r="O67" s="50" t="s">
        <v>68</v>
      </c>
      <c r="P67" s="50" t="s">
        <v>69</v>
      </c>
      <c r="Q67" s="1"/>
      <c r="R67" s="92"/>
      <c r="S67" s="1"/>
      <c r="T67" s="1"/>
    </row>
    <row r="68" spans="1:20" ht="15" thickBot="1" x14ac:dyDescent="0.35">
      <c r="A68" s="49" t="s">
        <v>70</v>
      </c>
      <c r="B68" s="58">
        <f>B67/60</f>
        <v>30.823333333333334</v>
      </c>
      <c r="C68" s="1"/>
      <c r="D68" s="50" t="s">
        <v>52</v>
      </c>
      <c r="E68" s="51">
        <f>SUM(N47:N60)</f>
        <v>11086139.511811573</v>
      </c>
      <c r="F68" s="1"/>
      <c r="G68" s="93"/>
      <c r="H68" s="86"/>
      <c r="I68" s="86"/>
      <c r="J68" s="113" t="s">
        <v>71</v>
      </c>
      <c r="K68" s="114"/>
      <c r="L68" s="94">
        <f>VLOOKUP(L67,Levels!B2:D110,3,TRUE)</f>
        <v>99</v>
      </c>
      <c r="M68" s="86"/>
      <c r="N68" s="95">
        <v>16610</v>
      </c>
      <c r="O68" s="96">
        <f>D75*30/1.256</f>
        <v>5660.8280254777073</v>
      </c>
      <c r="P68" s="96">
        <f>MAX((B7*4)+(B6*3)+(B5*2)+(B4*1)-N68-O68,0)</f>
        <v>12844.171974522293</v>
      </c>
      <c r="Q68" s="86"/>
      <c r="R68" s="97"/>
      <c r="S68" s="1"/>
      <c r="T68" s="1"/>
    </row>
    <row r="69" spans="1:20" ht="15" thickTop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23.4" x14ac:dyDescent="0.45">
      <c r="A72" s="1"/>
      <c r="B72" s="1"/>
      <c r="C72" s="121" t="s">
        <v>85</v>
      </c>
      <c r="D72" s="122"/>
      <c r="E72" s="1"/>
      <c r="F72" s="123" t="s">
        <v>82</v>
      </c>
      <c r="G72" s="123"/>
      <c r="H72" s="123"/>
      <c r="I72" s="123"/>
      <c r="J72" s="123"/>
      <c r="K72" s="123"/>
      <c r="L72" s="123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1"/>
      <c r="B73" s="1"/>
      <c r="C73" s="7" t="s">
        <v>72</v>
      </c>
      <c r="D73" s="59">
        <f>ROUNDDOWN(E67/200,0)</f>
        <v>237</v>
      </c>
      <c r="E73" s="1"/>
      <c r="F73" s="7" t="s">
        <v>73</v>
      </c>
      <c r="G73" s="7" t="s">
        <v>74</v>
      </c>
      <c r="H73" s="7" t="s">
        <v>75</v>
      </c>
      <c r="I73" s="7" t="s">
        <v>76</v>
      </c>
      <c r="J73" s="7" t="s">
        <v>77</v>
      </c>
      <c r="K73" s="7" t="s">
        <v>78</v>
      </c>
      <c r="L73" s="7" t="s">
        <v>79</v>
      </c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1"/>
      <c r="B74" s="1"/>
      <c r="C74" s="7" t="s">
        <v>80</v>
      </c>
      <c r="D74" s="60">
        <f>(F74*4000)+(G74*4000)+(H74*3500)+(I74*3500)+(J74*5000)+(K74*300)+(L74*2000)</f>
        <v>0</v>
      </c>
      <c r="E74" s="1"/>
      <c r="F74" s="61">
        <v>0</v>
      </c>
      <c r="G74" s="61">
        <v>0</v>
      </c>
      <c r="H74" s="61">
        <v>0</v>
      </c>
      <c r="I74" s="61">
        <v>0</v>
      </c>
      <c r="J74" s="61">
        <v>0</v>
      </c>
      <c r="K74" s="61">
        <v>0</v>
      </c>
      <c r="L74" s="61">
        <v>0</v>
      </c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1"/>
      <c r="B75" s="1"/>
      <c r="C75" s="7" t="s">
        <v>107</v>
      </c>
      <c r="D75" s="59">
        <f>ROUNDDOWN((E67-D74)/200,0)</f>
        <v>237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</row>
    <row r="78" spans="1:20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</row>
    <row r="79" spans="1:20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</row>
    <row r="80" spans="1:20" x14ac:dyDescent="0.3">
      <c r="A80" s="128" t="s">
        <v>90</v>
      </c>
      <c r="B80" s="128"/>
      <c r="C80" s="128"/>
      <c r="D80" s="128"/>
      <c r="E80" s="12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128"/>
      <c r="B81" s="128"/>
      <c r="C81" s="128"/>
      <c r="D81" s="128"/>
      <c r="E81" s="128"/>
      <c r="F81" s="1"/>
      <c r="G81" s="14"/>
      <c r="H81" s="15" t="s">
        <v>94</v>
      </c>
      <c r="I81" s="151" t="s">
        <v>95</v>
      </c>
      <c r="J81" s="151"/>
      <c r="K81" s="15" t="s">
        <v>50</v>
      </c>
      <c r="L81" s="15" t="s">
        <v>108</v>
      </c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128"/>
      <c r="B82" s="128"/>
      <c r="C82" s="128"/>
      <c r="D82" s="128"/>
      <c r="E82" s="128"/>
      <c r="F82" s="1"/>
      <c r="G82" s="15" t="s">
        <v>16</v>
      </c>
      <c r="H82" s="19">
        <f>B2</f>
        <v>144</v>
      </c>
      <c r="I82" s="124" cm="1">
        <f t="array" ref="I82">_xlfn.IFS($E$95="Foundry and Anvil",MAX(J2+(B59*H44)-D2-C2,0),$E$95="All Bars",H82)</f>
        <v>0</v>
      </c>
      <c r="J82" s="124"/>
      <c r="K82" s="19">
        <f>I82*'Static XP'!B18</f>
        <v>0</v>
      </c>
      <c r="L82" s="19">
        <f t="shared" ref="L82:L86" si="2">H82-I82</f>
        <v>144</v>
      </c>
      <c r="M82" s="1"/>
      <c r="N82" s="1"/>
      <c r="O82" s="1"/>
      <c r="P82" s="1"/>
      <c r="Q82" s="1"/>
      <c r="R82" s="1"/>
      <c r="S82" s="1"/>
      <c r="T82" s="1"/>
    </row>
    <row r="83" spans="1:20" ht="14.4" customHeight="1" x14ac:dyDescent="0.3">
      <c r="A83" s="128"/>
      <c r="B83" s="128"/>
      <c r="C83" s="128"/>
      <c r="D83" s="128"/>
      <c r="E83" s="128"/>
      <c r="F83" s="1"/>
      <c r="G83" s="15" t="s">
        <v>20</v>
      </c>
      <c r="H83" s="19">
        <f>B3</f>
        <v>0</v>
      </c>
      <c r="I83" s="124" cm="1">
        <f t="array" ref="I83">_xlfn.IFS($E$95="Foundry and Anvil",MAX(J3+(B56*H40)+(B59*H43)-D3-C3,0),$E$95="All Bars",H83)</f>
        <v>0</v>
      </c>
      <c r="J83" s="124"/>
      <c r="K83" s="19">
        <f>I83*'Static XP'!B19</f>
        <v>0</v>
      </c>
      <c r="L83" s="19">
        <f t="shared" si="2"/>
        <v>0</v>
      </c>
      <c r="M83" s="84"/>
      <c r="N83" s="145" t="str">
        <f>IF(OR(AND(I88&gt;H88,B94=1),AND(I89&gt;H89,B95=1)),"FIX SILVER/GOLD","")</f>
        <v/>
      </c>
      <c r="O83" s="145"/>
      <c r="P83" s="145"/>
      <c r="Q83" s="145"/>
      <c r="R83" s="145"/>
      <c r="S83" s="145"/>
      <c r="T83" s="1"/>
    </row>
    <row r="84" spans="1:20" ht="14.4" customHeight="1" x14ac:dyDescent="0.3">
      <c r="A84" s="128"/>
      <c r="B84" s="128"/>
      <c r="C84" s="128"/>
      <c r="D84" s="128"/>
      <c r="E84" s="128"/>
      <c r="F84" s="1"/>
      <c r="G84" s="15" t="s">
        <v>23</v>
      </c>
      <c r="H84" s="19">
        <f t="shared" ref="H84:H87" si="3">B4</f>
        <v>4051</v>
      </c>
      <c r="I84" s="124" cm="1">
        <f t="array" ref="I84">_xlfn.IFS($E$95="Foundry and Anvil",IF(B16=0,MAX(J4+(B53*H36)+(B56*H39)-D4-C4,0),B18+J4+(B53*H36)+(B56*H39)-C4-D4),$E$95="All Bars",H84)</f>
        <v>4039</v>
      </c>
      <c r="J84" s="124"/>
      <c r="K84" s="19">
        <f>I84*'Static XP'!B20</f>
        <v>70682.5</v>
      </c>
      <c r="L84" s="19">
        <f t="shared" si="2"/>
        <v>12</v>
      </c>
      <c r="M84" s="77"/>
      <c r="N84" s="145"/>
      <c r="O84" s="145"/>
      <c r="P84" s="145"/>
      <c r="Q84" s="145"/>
      <c r="R84" s="145"/>
      <c r="S84" s="145"/>
      <c r="T84" s="1"/>
    </row>
    <row r="85" spans="1:20" ht="14.4" customHeight="1" x14ac:dyDescent="0.3">
      <c r="A85" s="128"/>
      <c r="B85" s="128"/>
      <c r="C85" s="128"/>
      <c r="D85" s="128"/>
      <c r="E85" s="128"/>
      <c r="F85" s="1"/>
      <c r="G85" s="15" t="s">
        <v>25</v>
      </c>
      <c r="H85" s="19">
        <f t="shared" si="3"/>
        <v>6750</v>
      </c>
      <c r="I85" s="124" cm="1">
        <f t="array" ref="I85">_xlfn.IFS($E$95="Foundry and Anvil",MAX(J5+(B50*H32)+(B53*H35)-D5-C5,0),$E$95="All Bars",H85)</f>
        <v>6750</v>
      </c>
      <c r="J85" s="124"/>
      <c r="K85" s="19">
        <f>I85*'Static XP'!B21</f>
        <v>202500</v>
      </c>
      <c r="L85" s="19">
        <f t="shared" si="2"/>
        <v>0</v>
      </c>
      <c r="M85" s="77"/>
      <c r="N85" s="145"/>
      <c r="O85" s="145"/>
      <c r="P85" s="145"/>
      <c r="Q85" s="145"/>
      <c r="R85" s="145"/>
      <c r="S85" s="145"/>
      <c r="T85" s="1"/>
    </row>
    <row r="86" spans="1:20" ht="14.4" customHeight="1" x14ac:dyDescent="0.3">
      <c r="A86" s="128"/>
      <c r="B86" s="128"/>
      <c r="C86" s="128"/>
      <c r="D86" s="128"/>
      <c r="E86" s="128"/>
      <c r="F86" s="1"/>
      <c r="G86" s="15" t="s">
        <v>27</v>
      </c>
      <c r="H86" s="19">
        <f t="shared" si="3"/>
        <v>4732</v>
      </c>
      <c r="I86" s="124" cm="1">
        <f t="array" ref="I86">_xlfn.IFS($E$95="Foundry and Anvil",MAX(J6+(B47*H28)+(B50*H31)-D6-C6,0),$E$95="All Bars",H86)</f>
        <v>4732</v>
      </c>
      <c r="J86" s="124"/>
      <c r="K86" s="19">
        <f>I86*'Static XP'!B22</f>
        <v>177450</v>
      </c>
      <c r="L86" s="19">
        <f t="shared" si="2"/>
        <v>0</v>
      </c>
      <c r="M86" s="77"/>
      <c r="N86" s="145"/>
      <c r="O86" s="145"/>
      <c r="P86" s="145"/>
      <c r="Q86" s="145"/>
      <c r="R86" s="145"/>
      <c r="S86" s="145"/>
      <c r="T86" s="1"/>
    </row>
    <row r="87" spans="1:20" ht="14.4" customHeight="1" x14ac:dyDescent="0.3">
      <c r="A87" s="128"/>
      <c r="B87" s="128"/>
      <c r="C87" s="128"/>
      <c r="D87" s="128"/>
      <c r="E87" s="128"/>
      <c r="F87" s="1"/>
      <c r="G87" s="15" t="s">
        <v>29</v>
      </c>
      <c r="H87" s="19">
        <f t="shared" si="3"/>
        <v>842</v>
      </c>
      <c r="I87" s="124" cm="1">
        <f t="array" ref="I87">_xlfn.IFS($E$95="Foundry and Anvil",MAX(J7+(B47*H27)-D7-C7,0),$E$95="All Bars",H87)</f>
        <v>837</v>
      </c>
      <c r="J87" s="124"/>
      <c r="K87" s="19">
        <f>I87*'Static XP'!B23</f>
        <v>41850</v>
      </c>
      <c r="L87" s="19">
        <f>H87-I87</f>
        <v>5</v>
      </c>
      <c r="M87" s="77"/>
      <c r="N87" s="145"/>
      <c r="O87" s="145"/>
      <c r="P87" s="145"/>
      <c r="Q87" s="145"/>
      <c r="R87" s="145"/>
      <c r="S87" s="145"/>
      <c r="T87" s="1"/>
    </row>
    <row r="88" spans="1:20" ht="14.4" customHeight="1" x14ac:dyDescent="0.3">
      <c r="A88" s="128"/>
      <c r="B88" s="128"/>
      <c r="C88" s="128"/>
      <c r="D88" s="128"/>
      <c r="E88" s="128"/>
      <c r="F88" s="1"/>
      <c r="G88" s="82" t="str">
        <f>IF(B94=1,"Silver","")</f>
        <v>Silver</v>
      </c>
      <c r="H88" s="80">
        <f>IF(B94=1,B8,"")</f>
        <v>345</v>
      </c>
      <c r="I88" s="149">
        <v>345</v>
      </c>
      <c r="J88" s="149"/>
      <c r="K88" s="79">
        <f>IF(B94=1,I88*'Static XP'!B24,"")</f>
        <v>4716.1499999999996</v>
      </c>
      <c r="L88" s="79">
        <f>IF(B94=1,H88-I88,"")</f>
        <v>0</v>
      </c>
      <c r="M88" s="77"/>
      <c r="N88" s="145"/>
      <c r="O88" s="145"/>
      <c r="P88" s="145"/>
      <c r="Q88" s="145"/>
      <c r="R88" s="145"/>
      <c r="S88" s="145"/>
      <c r="T88" s="1"/>
    </row>
    <row r="89" spans="1:20" ht="14.4" customHeight="1" x14ac:dyDescent="0.3">
      <c r="A89" s="128"/>
      <c r="B89" s="128"/>
      <c r="C89" s="128"/>
      <c r="D89" s="128"/>
      <c r="E89" s="128"/>
      <c r="F89" s="1"/>
      <c r="G89" s="83" t="str">
        <f>IF(B95=1,"Gold","")</f>
        <v>Gold</v>
      </c>
      <c r="H89" s="79">
        <f>IF(B95=1,B9,"")</f>
        <v>7627</v>
      </c>
      <c r="I89" s="150">
        <v>7627</v>
      </c>
      <c r="J89" s="150"/>
      <c r="K89" s="79">
        <f>IF(B95=1,IF(B97=1,I89*'Static XP'!B26,I89*'Static XP'!B25),"")</f>
        <v>428637.4</v>
      </c>
      <c r="L89" s="101">
        <f>IF(B95=1,H89-I89,"")</f>
        <v>0</v>
      </c>
      <c r="M89" s="77"/>
      <c r="N89" s="145"/>
      <c r="O89" s="145"/>
      <c r="P89" s="145"/>
      <c r="Q89" s="145"/>
      <c r="R89" s="145"/>
      <c r="S89" s="145"/>
      <c r="T89" s="1"/>
    </row>
    <row r="90" spans="1:20" ht="14.4" customHeight="1" x14ac:dyDescent="0.3">
      <c r="A90" s="128"/>
      <c r="B90" s="128"/>
      <c r="C90" s="128"/>
      <c r="D90" s="128"/>
      <c r="E90" s="128"/>
      <c r="F90" s="1"/>
      <c r="G90" s="1"/>
      <c r="H90" s="1"/>
      <c r="I90" s="1"/>
      <c r="J90" s="1"/>
      <c r="K90" s="1"/>
      <c r="L90" s="1"/>
      <c r="M90" s="77"/>
      <c r="N90" s="145"/>
      <c r="O90" s="145"/>
      <c r="P90" s="145"/>
      <c r="Q90" s="145"/>
      <c r="R90" s="145"/>
      <c r="S90" s="145"/>
      <c r="T90" s="1"/>
    </row>
    <row r="91" spans="1:20" ht="14.4" customHeight="1" x14ac:dyDescent="0.3">
      <c r="A91" s="128"/>
      <c r="B91" s="128"/>
      <c r="C91" s="128"/>
      <c r="D91" s="128"/>
      <c r="E91" s="128"/>
      <c r="F91" s="1"/>
      <c r="G91" s="1"/>
      <c r="H91" s="1"/>
      <c r="I91" s="1"/>
      <c r="J91" s="1"/>
      <c r="K91" s="1"/>
      <c r="L91" s="1"/>
      <c r="M91" s="77"/>
      <c r="N91" s="145"/>
      <c r="O91" s="145"/>
      <c r="P91" s="145"/>
      <c r="Q91" s="145"/>
      <c r="R91" s="145"/>
      <c r="S91" s="145"/>
      <c r="T91" s="1"/>
    </row>
    <row r="92" spans="1:20" ht="14.4" customHeight="1" x14ac:dyDescent="0.3">
      <c r="A92" s="128"/>
      <c r="B92" s="128"/>
      <c r="C92" s="128"/>
      <c r="D92" s="128"/>
      <c r="E92" s="128"/>
      <c r="F92" s="1"/>
      <c r="G92" s="1"/>
      <c r="H92" s="1"/>
      <c r="I92" s="1"/>
      <c r="J92" s="1"/>
      <c r="K92" s="1"/>
      <c r="L92" s="1"/>
      <c r="M92" s="77"/>
      <c r="N92" s="145"/>
      <c r="O92" s="145"/>
      <c r="P92" s="145"/>
      <c r="Q92" s="145"/>
      <c r="R92" s="145"/>
      <c r="S92" s="145"/>
      <c r="T92" s="1"/>
    </row>
    <row r="93" spans="1:20" ht="23.4" customHeight="1" x14ac:dyDescent="0.45">
      <c r="A93" s="1"/>
      <c r="B93" s="1"/>
      <c r="C93" s="1"/>
      <c r="D93" s="1"/>
      <c r="E93" s="1"/>
      <c r="F93" s="1"/>
      <c r="G93" s="1"/>
      <c r="H93" s="1"/>
      <c r="I93" s="146" t="s">
        <v>103</v>
      </c>
      <c r="J93" s="146"/>
      <c r="K93" s="1"/>
      <c r="L93" s="1"/>
      <c r="M93" s="77"/>
      <c r="N93" s="145"/>
      <c r="O93" s="145"/>
      <c r="P93" s="145"/>
      <c r="Q93" s="145"/>
      <c r="R93" s="145"/>
      <c r="S93" s="145"/>
      <c r="T93" s="1"/>
    </row>
    <row r="94" spans="1:20" x14ac:dyDescent="0.3">
      <c r="A94" s="17" t="s">
        <v>97</v>
      </c>
      <c r="B94" s="64">
        <v>1</v>
      </c>
      <c r="C94" s="1"/>
      <c r="D94" s="1"/>
      <c r="E94" s="1"/>
      <c r="F94" s="1"/>
      <c r="G94" s="1"/>
      <c r="H94" s="1"/>
      <c r="I94" s="147">
        <f>SUM(K82:K89)</f>
        <v>925836.05</v>
      </c>
      <c r="J94" s="148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17" t="s">
        <v>96</v>
      </c>
      <c r="B95" s="64">
        <v>1</v>
      </c>
      <c r="C95" s="1"/>
      <c r="D95" s="14" t="s">
        <v>104</v>
      </c>
      <c r="E95" s="81" t="s">
        <v>105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78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99" t="s">
        <v>98</v>
      </c>
      <c r="B97" s="98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100"/>
      <c r="B98" s="10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100"/>
      <c r="B99" s="10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</row>
    <row r="102" spans="1:20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</row>
    <row r="103" spans="1:20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</row>
    <row r="104" spans="1:20" x14ac:dyDescent="0.3">
      <c r="A104" s="128" t="s">
        <v>109</v>
      </c>
      <c r="B104" s="128"/>
      <c r="C104" s="128"/>
      <c r="D104" s="128"/>
      <c r="E104" s="12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128"/>
      <c r="B105" s="128"/>
      <c r="C105" s="128"/>
      <c r="D105" s="128"/>
      <c r="E105" s="12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4.4" customHeight="1" x14ac:dyDescent="0.3">
      <c r="A106" s="128"/>
      <c r="B106" s="128"/>
      <c r="C106" s="128"/>
      <c r="D106" s="128"/>
      <c r="E106" s="128"/>
      <c r="F106" s="1"/>
      <c r="G106" s="1"/>
      <c r="H106" s="15" t="s">
        <v>86</v>
      </c>
      <c r="I106" s="15" t="s">
        <v>112</v>
      </c>
      <c r="J106" s="15" t="s">
        <v>113</v>
      </c>
      <c r="K106" s="15" t="s">
        <v>50</v>
      </c>
      <c r="L106" s="1"/>
      <c r="M106" s="1"/>
      <c r="N106" s="137" t="str">
        <f>IF(OR(AND(H107&gt;0,I107=""),AND(H108&gt;0,I108=""),AND(H109&gt;0,I109=""),AND(H110&gt;0,I110=""),AND(H111&gt;0,I111=""),AND(H112&gt;0,I112="")), "FIX BARS PER ITEM","")</f>
        <v/>
      </c>
      <c r="O106" s="137"/>
      <c r="P106" s="137"/>
      <c r="Q106" s="137"/>
      <c r="R106" s="137"/>
      <c r="S106" s="137"/>
      <c r="T106" s="1"/>
    </row>
    <row r="107" spans="1:20" ht="14.4" customHeight="1" x14ac:dyDescent="0.3">
      <c r="A107" s="128"/>
      <c r="B107" s="128"/>
      <c r="C107" s="128"/>
      <c r="D107" s="128"/>
      <c r="E107" s="128"/>
      <c r="F107" s="1"/>
      <c r="G107" s="17" t="s">
        <v>16</v>
      </c>
      <c r="H107" s="19">
        <f>J2</f>
        <v>0</v>
      </c>
      <c r="I107" s="18"/>
      <c r="J107" s="19">
        <f t="shared" ref="J107:J109" si="4">IF(I107&gt;0,ROUNDDOWN(H107/I107,0),0)</f>
        <v>0</v>
      </c>
      <c r="K107" s="19">
        <f>H107*'Static XP'!E18</f>
        <v>0</v>
      </c>
      <c r="L107" s="1"/>
      <c r="M107" s="1"/>
      <c r="N107" s="137"/>
      <c r="O107" s="137"/>
      <c r="P107" s="137"/>
      <c r="Q107" s="137"/>
      <c r="R107" s="137"/>
      <c r="S107" s="137"/>
      <c r="T107" s="1"/>
    </row>
    <row r="108" spans="1:20" ht="14.4" customHeight="1" x14ac:dyDescent="0.3">
      <c r="A108" s="128"/>
      <c r="B108" s="128"/>
      <c r="C108" s="128"/>
      <c r="D108" s="128"/>
      <c r="E108" s="128"/>
      <c r="F108" s="1"/>
      <c r="G108" s="17" t="s">
        <v>20</v>
      </c>
      <c r="H108" s="19">
        <f t="shared" ref="H108:H112" si="5">J3</f>
        <v>250</v>
      </c>
      <c r="I108" s="18">
        <v>1</v>
      </c>
      <c r="J108" s="19">
        <f t="shared" si="4"/>
        <v>250</v>
      </c>
      <c r="K108" s="19">
        <f>H108*'Static XP'!E19</f>
        <v>6250</v>
      </c>
      <c r="L108" s="1"/>
      <c r="M108" s="1"/>
      <c r="N108" s="137"/>
      <c r="O108" s="137"/>
      <c r="P108" s="137"/>
      <c r="Q108" s="137"/>
      <c r="R108" s="137"/>
      <c r="S108" s="137"/>
      <c r="T108" s="1"/>
    </row>
    <row r="109" spans="1:20" ht="14.4" customHeight="1" x14ac:dyDescent="0.3">
      <c r="A109" s="128"/>
      <c r="B109" s="128"/>
      <c r="C109" s="128"/>
      <c r="D109" s="128"/>
      <c r="E109" s="128"/>
      <c r="F109" s="1"/>
      <c r="G109" s="17" t="s">
        <v>23</v>
      </c>
      <c r="H109" s="19">
        <f t="shared" si="5"/>
        <v>0</v>
      </c>
      <c r="I109" s="18"/>
      <c r="J109" s="19">
        <f t="shared" si="4"/>
        <v>0</v>
      </c>
      <c r="K109" s="19">
        <f>H109*'Static XP'!E20</f>
        <v>0</v>
      </c>
      <c r="L109" s="1"/>
      <c r="M109" s="1"/>
      <c r="N109" s="137"/>
      <c r="O109" s="137"/>
      <c r="P109" s="137"/>
      <c r="Q109" s="137"/>
      <c r="R109" s="137"/>
      <c r="S109" s="137"/>
      <c r="T109" s="1"/>
    </row>
    <row r="110" spans="1:20" ht="14.4" customHeight="1" x14ac:dyDescent="0.3">
      <c r="A110" s="128"/>
      <c r="B110" s="128"/>
      <c r="C110" s="128"/>
      <c r="D110" s="128"/>
      <c r="E110" s="128"/>
      <c r="F110" s="1"/>
      <c r="G110" s="17" t="s">
        <v>25</v>
      </c>
      <c r="H110" s="19">
        <f t="shared" si="5"/>
        <v>7967</v>
      </c>
      <c r="I110" s="18">
        <v>5</v>
      </c>
      <c r="J110" s="19">
        <f>IF(I110&gt;0,ROUNDDOWN(H110/I110,0),0)</f>
        <v>1593</v>
      </c>
      <c r="K110" s="19">
        <f>H110*'Static XP'!E21</f>
        <v>398350</v>
      </c>
      <c r="L110" s="1"/>
      <c r="M110" s="1"/>
      <c r="N110" s="137"/>
      <c r="O110" s="137"/>
      <c r="P110" s="137"/>
      <c r="Q110" s="137"/>
      <c r="R110" s="137"/>
      <c r="S110" s="137"/>
      <c r="T110" s="1"/>
    </row>
    <row r="111" spans="1:20" ht="14.4" customHeight="1" x14ac:dyDescent="0.3">
      <c r="A111" s="128"/>
      <c r="B111" s="128"/>
      <c r="C111" s="128"/>
      <c r="D111" s="128"/>
      <c r="E111" s="128"/>
      <c r="F111" s="1"/>
      <c r="G111" s="17" t="s">
        <v>27</v>
      </c>
      <c r="H111" s="19">
        <f t="shared" si="5"/>
        <v>4124</v>
      </c>
      <c r="I111" s="18">
        <v>1</v>
      </c>
      <c r="J111" s="19">
        <f t="shared" ref="J111:J112" si="6">IF(I111&gt;0,ROUNDDOWN(H111/I111,0),0)</f>
        <v>4124</v>
      </c>
      <c r="K111" s="19">
        <f>H111*'Static XP'!E22</f>
        <v>257750</v>
      </c>
      <c r="L111" s="1"/>
      <c r="M111" s="1"/>
      <c r="N111" s="137"/>
      <c r="O111" s="137"/>
      <c r="P111" s="137"/>
      <c r="Q111" s="137"/>
      <c r="R111" s="137"/>
      <c r="S111" s="137"/>
      <c r="T111" s="1"/>
    </row>
    <row r="112" spans="1:20" ht="14.4" customHeight="1" x14ac:dyDescent="0.3">
      <c r="A112" s="128"/>
      <c r="B112" s="128"/>
      <c r="C112" s="128"/>
      <c r="D112" s="128"/>
      <c r="E112" s="128"/>
      <c r="F112" s="1"/>
      <c r="G112" s="17" t="s">
        <v>29</v>
      </c>
      <c r="H112" s="19">
        <f t="shared" si="5"/>
        <v>0</v>
      </c>
      <c r="I112" s="18"/>
      <c r="J112" s="19">
        <f t="shared" si="6"/>
        <v>0</v>
      </c>
      <c r="K112" s="19">
        <f>H112*'Static XP'!E23</f>
        <v>0</v>
      </c>
      <c r="L112" s="1"/>
      <c r="M112" s="1"/>
      <c r="N112" s="137"/>
      <c r="O112" s="137"/>
      <c r="P112" s="137"/>
      <c r="Q112" s="137"/>
      <c r="R112" s="137"/>
      <c r="S112" s="137"/>
      <c r="T112" s="1"/>
    </row>
    <row r="113" spans="1:20" ht="14.4" customHeight="1" x14ac:dyDescent="0.3">
      <c r="A113" s="128"/>
      <c r="B113" s="128"/>
      <c r="C113" s="128"/>
      <c r="D113" s="128"/>
      <c r="E113" s="128"/>
      <c r="F113" s="1"/>
      <c r="G113" s="1"/>
      <c r="H113" s="1"/>
      <c r="I113" s="1"/>
      <c r="J113" s="1"/>
      <c r="K113" s="1"/>
      <c r="L113" s="1"/>
      <c r="M113" s="1"/>
      <c r="N113" s="137"/>
      <c r="O113" s="137"/>
      <c r="P113" s="137"/>
      <c r="Q113" s="137"/>
      <c r="R113" s="137"/>
      <c r="S113" s="137"/>
      <c r="T113" s="1"/>
    </row>
    <row r="114" spans="1:20" ht="14.4" customHeight="1" x14ac:dyDescent="0.3">
      <c r="A114" s="128"/>
      <c r="B114" s="128"/>
      <c r="C114" s="128"/>
      <c r="D114" s="128"/>
      <c r="E114" s="128"/>
      <c r="F114" s="1"/>
      <c r="G114" s="1"/>
      <c r="H114" s="1"/>
      <c r="I114" s="1"/>
      <c r="J114" s="1"/>
      <c r="K114" s="1"/>
      <c r="L114" s="1"/>
      <c r="M114" s="1"/>
      <c r="N114" s="137"/>
      <c r="O114" s="137"/>
      <c r="P114" s="137"/>
      <c r="Q114" s="137"/>
      <c r="R114" s="137"/>
      <c r="S114" s="137"/>
      <c r="T114" s="1"/>
    </row>
    <row r="115" spans="1:20" ht="23.4" customHeight="1" x14ac:dyDescent="0.45">
      <c r="A115" s="128"/>
      <c r="B115" s="128"/>
      <c r="C115" s="128"/>
      <c r="D115" s="128"/>
      <c r="E115" s="128"/>
      <c r="F115" s="1"/>
      <c r="G115" s="1"/>
      <c r="H115" s="1"/>
      <c r="I115" s="146" t="s">
        <v>103</v>
      </c>
      <c r="J115" s="146"/>
      <c r="K115" s="1"/>
      <c r="L115" s="1"/>
      <c r="M115" s="1"/>
      <c r="N115" s="137"/>
      <c r="O115" s="137"/>
      <c r="P115" s="137"/>
      <c r="Q115" s="137"/>
      <c r="R115" s="137"/>
      <c r="S115" s="137"/>
      <c r="T115" s="1"/>
    </row>
    <row r="116" spans="1:20" x14ac:dyDescent="0.3">
      <c r="A116" s="128"/>
      <c r="B116" s="128"/>
      <c r="C116" s="128"/>
      <c r="D116" s="128"/>
      <c r="E116" s="128"/>
      <c r="F116" s="1"/>
      <c r="G116" s="1"/>
      <c r="H116" s="1"/>
      <c r="I116" s="147">
        <f>SUM(K107:K112)</f>
        <v>662350</v>
      </c>
      <c r="J116" s="148"/>
      <c r="K116" s="1"/>
      <c r="L116" s="1"/>
      <c r="M116" s="1"/>
      <c r="N116" s="137"/>
      <c r="O116" s="137"/>
      <c r="P116" s="137"/>
      <c r="Q116" s="137"/>
      <c r="R116" s="137"/>
      <c r="S116" s="137"/>
      <c r="T116" s="1"/>
    </row>
    <row r="117" spans="1:2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</sheetData>
  <mergeCells count="80">
    <mergeCell ref="H14:K19"/>
    <mergeCell ref="N83:S93"/>
    <mergeCell ref="A104:E116"/>
    <mergeCell ref="I115:J115"/>
    <mergeCell ref="I116:J116"/>
    <mergeCell ref="I86:J86"/>
    <mergeCell ref="I87:J87"/>
    <mergeCell ref="I88:J88"/>
    <mergeCell ref="I89:J89"/>
    <mergeCell ref="I93:J93"/>
    <mergeCell ref="I94:J94"/>
    <mergeCell ref="N106:S116"/>
    <mergeCell ref="A80:E92"/>
    <mergeCell ref="I81:J81"/>
    <mergeCell ref="I82:J82"/>
    <mergeCell ref="I83:J83"/>
    <mergeCell ref="I84:J84"/>
    <mergeCell ref="I85:J85"/>
    <mergeCell ref="B18:B19"/>
    <mergeCell ref="O1:T1"/>
    <mergeCell ref="A25:E37"/>
    <mergeCell ref="G38:H38"/>
    <mergeCell ref="G42:H42"/>
    <mergeCell ref="L25:L26"/>
    <mergeCell ref="L29:L30"/>
    <mergeCell ref="A16:A17"/>
    <mergeCell ref="B16:B17"/>
    <mergeCell ref="A18:A19"/>
    <mergeCell ref="G34:H34"/>
    <mergeCell ref="G30:H30"/>
    <mergeCell ref="G25:H25"/>
    <mergeCell ref="A65:E65"/>
    <mergeCell ref="C72:D72"/>
    <mergeCell ref="F72:L72"/>
    <mergeCell ref="M59:M60"/>
    <mergeCell ref="K59:K60"/>
    <mergeCell ref="J59:J60"/>
    <mergeCell ref="H59:H60"/>
    <mergeCell ref="G59:G60"/>
    <mergeCell ref="J66:K66"/>
    <mergeCell ref="J67:K67"/>
    <mergeCell ref="J68:K68"/>
    <mergeCell ref="N66:P66"/>
    <mergeCell ref="G65:P65"/>
    <mergeCell ref="G26:H26"/>
    <mergeCell ref="N53:N54"/>
    <mergeCell ref="M53:M54"/>
    <mergeCell ref="K53:K54"/>
    <mergeCell ref="J53:J54"/>
    <mergeCell ref="H53:H54"/>
    <mergeCell ref="G53:G54"/>
    <mergeCell ref="J47:J48"/>
    <mergeCell ref="K47:K48"/>
    <mergeCell ref="K50:K51"/>
    <mergeCell ref="J50:J51"/>
    <mergeCell ref="M50:M51"/>
    <mergeCell ref="N50:N51"/>
    <mergeCell ref="N47:N48"/>
    <mergeCell ref="M47:M48"/>
    <mergeCell ref="B53:B54"/>
    <mergeCell ref="A53:A54"/>
    <mergeCell ref="M56:M57"/>
    <mergeCell ref="N56:N57"/>
    <mergeCell ref="N59:N60"/>
    <mergeCell ref="K56:K57"/>
    <mergeCell ref="A56:A57"/>
    <mergeCell ref="B56:B57"/>
    <mergeCell ref="G56:G57"/>
    <mergeCell ref="H56:H57"/>
    <mergeCell ref="J56:J57"/>
    <mergeCell ref="A59:A60"/>
    <mergeCell ref="B59:B60"/>
    <mergeCell ref="A50:A51"/>
    <mergeCell ref="B50:B51"/>
    <mergeCell ref="G50:G51"/>
    <mergeCell ref="H50:H51"/>
    <mergeCell ref="H47:H48"/>
    <mergeCell ref="G47:G48"/>
    <mergeCell ref="B47:B48"/>
    <mergeCell ref="A47:A48"/>
  </mergeCells>
  <conditionalFormatting sqref="L68">
    <cfRule type="cellIs" dxfId="25" priority="33" operator="greaterThanOrEqual">
      <formula>$H$66</formula>
    </cfRule>
    <cfRule type="cellIs" dxfId="24" priority="34" operator="lessThan">
      <formula>$H$66</formula>
    </cfRule>
  </conditionalFormatting>
  <conditionalFormatting sqref="M27:M42 H14">
    <cfRule type="cellIs" dxfId="23" priority="32" operator="equal">
      <formula>"FIX ANVIL BARS"</formula>
    </cfRule>
  </conditionalFormatting>
  <conditionalFormatting sqref="A18:A20">
    <cfRule type="expression" dxfId="22" priority="31">
      <formula>$B$16=1</formula>
    </cfRule>
  </conditionalFormatting>
  <conditionalFormatting sqref="B18:B19">
    <cfRule type="expression" dxfId="21" priority="27">
      <formula>$B$16=1</formula>
    </cfRule>
  </conditionalFormatting>
  <conditionalFormatting sqref="B20">
    <cfRule type="expression" dxfId="20" priority="26">
      <formula>$B$16=1</formula>
    </cfRule>
  </conditionalFormatting>
  <conditionalFormatting sqref="D74">
    <cfRule type="cellIs" dxfId="19" priority="24" operator="greaterThan">
      <formula>$E$67</formula>
    </cfRule>
  </conditionalFormatting>
  <conditionalFormatting sqref="G88">
    <cfRule type="expression" dxfId="18" priority="21">
      <formula>$B$94=1</formula>
    </cfRule>
  </conditionalFormatting>
  <conditionalFormatting sqref="H88">
    <cfRule type="expression" dxfId="17" priority="20">
      <formula>$B$94=1</formula>
    </cfRule>
  </conditionalFormatting>
  <conditionalFormatting sqref="G89">
    <cfRule type="expression" dxfId="16" priority="19">
      <formula>$B$95=1</formula>
    </cfRule>
  </conditionalFormatting>
  <conditionalFormatting sqref="H89">
    <cfRule type="expression" dxfId="15" priority="18">
      <formula>$B$95=1</formula>
    </cfRule>
  </conditionalFormatting>
  <conditionalFormatting sqref="I88">
    <cfRule type="expression" dxfId="14" priority="16">
      <formula>$B$94=1</formula>
    </cfRule>
  </conditionalFormatting>
  <conditionalFormatting sqref="I89:J89">
    <cfRule type="expression" dxfId="13" priority="15">
      <formula>$B$95=1</formula>
    </cfRule>
  </conditionalFormatting>
  <conditionalFormatting sqref="K88:L88">
    <cfRule type="expression" dxfId="12" priority="14">
      <formula>$B$94=1</formula>
    </cfRule>
  </conditionalFormatting>
  <conditionalFormatting sqref="K89:L89">
    <cfRule type="expression" dxfId="11" priority="13">
      <formula>$B$95=1</formula>
    </cfRule>
  </conditionalFormatting>
  <conditionalFormatting sqref="N83">
    <cfRule type="cellIs" dxfId="10" priority="12" operator="equal">
      <formula>"FIX SILVER/GOLD"</formula>
    </cfRule>
  </conditionalFormatting>
  <conditionalFormatting sqref="N106">
    <cfRule type="cellIs" dxfId="9" priority="11" operator="equal">
      <formula>"FIX BARS PER ITEM"</formula>
    </cfRule>
  </conditionalFormatting>
  <conditionalFormatting sqref="A97">
    <cfRule type="expression" dxfId="8" priority="10">
      <formula>$B$95=1</formula>
    </cfRule>
  </conditionalFormatting>
  <conditionalFormatting sqref="B97">
    <cfRule type="expression" dxfId="7" priority="9">
      <formula>$B$95=1</formula>
    </cfRule>
  </conditionalFormatting>
  <conditionalFormatting sqref="K2">
    <cfRule type="expression" dxfId="6" priority="6">
      <formula>$J$2&gt;$I$2</formula>
    </cfRule>
  </conditionalFormatting>
  <conditionalFormatting sqref="K3">
    <cfRule type="expression" dxfId="5" priority="7">
      <formula>$J$3&gt;$I$3</formula>
    </cfRule>
  </conditionalFormatting>
  <conditionalFormatting sqref="K4">
    <cfRule type="expression" dxfId="4" priority="5">
      <formula>$J$4&gt;$I$4</formula>
    </cfRule>
  </conditionalFormatting>
  <conditionalFormatting sqref="K5">
    <cfRule type="expression" dxfId="3" priority="4">
      <formula>$J$5&gt;$I$5</formula>
    </cfRule>
  </conditionalFormatting>
  <conditionalFormatting sqref="K6">
    <cfRule type="expression" dxfId="1" priority="3">
      <formula>$J$6&gt;$I$6</formula>
    </cfRule>
  </conditionalFormatting>
  <conditionalFormatting sqref="K7">
    <cfRule type="expression" dxfId="2" priority="2">
      <formula>$J$7&gt;$I$7</formula>
    </cfRule>
  </conditionalFormatting>
  <conditionalFormatting sqref="K2:K7">
    <cfRule type="cellIs" dxfId="0" priority="1" operator="lessThan">
      <formula>0</formula>
    </cfRule>
  </conditionalFormatting>
  <dataValidations count="2">
    <dataValidation allowBlank="1" showInputMessage="1" showErrorMessage="1" prompt="Type how many of this item you want to purchase." sqref="F74:L74" xr:uid="{0A2361EE-3187-452E-A475-D8A8A4553E55}"/>
    <dataValidation type="whole" allowBlank="1" showInputMessage="1" showErrorMessage="1" prompt="Type 0 for &quot;No&quot;. Type 1 for &quot;Yes&quot;." sqref="L31 B16:B17" xr:uid="{CD984311-7941-4A52-85A4-F500C620644E}">
      <formula1>0</formula1>
      <formula2>1</formula2>
    </dataValidation>
  </dataValidations>
  <pageMargins left="0.7" right="0.7" top="0.75" bottom="0.75" header="0.3" footer="0.3"/>
  <ignoredErrors>
    <ignoredError sqref="K4 I4" formula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0</xdr:col>
                    <xdr:colOff>259080</xdr:colOff>
                    <xdr:row>46</xdr:row>
                    <xdr:rowOff>152400</xdr:rowOff>
                  </from>
                  <to>
                    <xdr:col>0</xdr:col>
                    <xdr:colOff>1150620</xdr:colOff>
                    <xdr:row>47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259080</xdr:colOff>
                    <xdr:row>49</xdr:row>
                    <xdr:rowOff>160020</xdr:rowOff>
                  </from>
                  <to>
                    <xdr:col>0</xdr:col>
                    <xdr:colOff>1097280</xdr:colOff>
                    <xdr:row>50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259080</xdr:colOff>
                    <xdr:row>52</xdr:row>
                    <xdr:rowOff>182880</xdr:rowOff>
                  </from>
                  <to>
                    <xdr:col>0</xdr:col>
                    <xdr:colOff>1097280</xdr:colOff>
                    <xdr:row>53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281940</xdr:colOff>
                    <xdr:row>55</xdr:row>
                    <xdr:rowOff>160020</xdr:rowOff>
                  </from>
                  <to>
                    <xdr:col>0</xdr:col>
                    <xdr:colOff>1120140</xdr:colOff>
                    <xdr:row>56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266700</xdr:colOff>
                    <xdr:row>58</xdr:row>
                    <xdr:rowOff>175260</xdr:rowOff>
                  </from>
                  <to>
                    <xdr:col>0</xdr:col>
                    <xdr:colOff>1112520</xdr:colOff>
                    <xdr:row>59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AE9F5F4-77A1-4C24-A9E2-A5432C066F79}">
          <x14:formula1>
            <xm:f>'Static XP'!$A$39:$A$40</xm:f>
          </x14:formula1>
          <xm:sqref>E95</xm:sqref>
        </x14:dataValidation>
        <x14:dataValidation type="list" showInputMessage="1" showErrorMessage="1" xr:uid="{F4519B51-B0A6-4E24-8499-C61F4C9A042C}">
          <x14:formula1>
            <xm:f>'Static XP'!$D$40:$D$43</xm:f>
          </x14:formula1>
          <xm:sqref>I110</xm:sqref>
        </x14:dataValidation>
        <x14:dataValidation type="list" showInputMessage="1" showErrorMessage="1" xr:uid="{78362869-51C7-40EB-9A4C-9480A58543B8}">
          <x14:formula1>
            <xm:f>'Static XP'!$D$39:$D$43</xm:f>
          </x14:formula1>
          <xm:sqref>I107:I109 I112</xm:sqref>
        </x14:dataValidation>
        <x14:dataValidation type="list" allowBlank="1" showInputMessage="1" showErrorMessage="1" xr:uid="{3C5A38C4-0805-4D87-9906-E366FB10E85D}">
          <x14:formula1>
            <xm:f>'Static XP'!$D$39:$D$43</xm:f>
          </x14:formula1>
          <xm:sqref>I111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3A51-B2A4-4EF9-AA78-F4A3A0FFE205}">
  <dimension ref="A1:D128"/>
  <sheetViews>
    <sheetView workbookViewId="0">
      <selection sqref="A1:D1048576"/>
    </sheetView>
  </sheetViews>
  <sheetFormatPr defaultRowHeight="14.4" x14ac:dyDescent="0.3"/>
  <cols>
    <col min="1" max="1" width="11.21875" customWidth="1"/>
    <col min="2" max="2" width="14.21875" style="13" customWidth="1"/>
    <col min="3" max="3" width="10.5546875" customWidth="1"/>
    <col min="4" max="4" width="10.6640625" customWidth="1"/>
  </cols>
  <sheetData>
    <row r="1" spans="1:4" x14ac:dyDescent="0.3">
      <c r="A1" s="7" t="s">
        <v>32</v>
      </c>
      <c r="B1" s="8" t="s">
        <v>33</v>
      </c>
    </row>
    <row r="2" spans="1:4" x14ac:dyDescent="0.3">
      <c r="A2" s="9">
        <v>1</v>
      </c>
      <c r="B2" s="10">
        <v>0</v>
      </c>
      <c r="C2" s="11">
        <f>0.25*(A2-1+300*2^((A2-1)/7))</f>
        <v>75</v>
      </c>
      <c r="D2" s="12">
        <v>1</v>
      </c>
    </row>
    <row r="3" spans="1:4" x14ac:dyDescent="0.3">
      <c r="A3" s="9">
        <v>2</v>
      </c>
      <c r="B3" s="10">
        <f>B2+C3</f>
        <v>83.056713525535912</v>
      </c>
      <c r="C3" s="11">
        <f t="shared" ref="C3:C66" si="0">0.25*(A3-1+300*2^((A3-1)/7))</f>
        <v>83.056713525535912</v>
      </c>
      <c r="D3" s="12">
        <v>2</v>
      </c>
    </row>
    <row r="4" spans="1:4" x14ac:dyDescent="0.3">
      <c r="A4" s="9">
        <v>3</v>
      </c>
      <c r="B4" s="10">
        <f t="shared" ref="B4:B67" si="1">B3+C4</f>
        <v>174.98273759087158</v>
      </c>
      <c r="C4" s="11">
        <f t="shared" si="0"/>
        <v>91.926024065335653</v>
      </c>
      <c r="D4" s="12">
        <v>3</v>
      </c>
    </row>
    <row r="5" spans="1:4" x14ac:dyDescent="0.3">
      <c r="A5" s="9">
        <v>4</v>
      </c>
      <c r="B5" s="10">
        <f t="shared" si="1"/>
        <v>276.67525203829831</v>
      </c>
      <c r="C5" s="11">
        <f t="shared" si="0"/>
        <v>101.69251444742672</v>
      </c>
      <c r="D5" s="12">
        <v>4</v>
      </c>
    </row>
    <row r="6" spans="1:4" x14ac:dyDescent="0.3">
      <c r="A6" s="9">
        <v>5</v>
      </c>
      <c r="B6" s="10">
        <f t="shared" si="1"/>
        <v>389.12482372356942</v>
      </c>
      <c r="C6" s="11">
        <f t="shared" si="0"/>
        <v>112.44957168527114</v>
      </c>
      <c r="D6" s="12">
        <v>5</v>
      </c>
    </row>
    <row r="7" spans="1:4" x14ac:dyDescent="0.3">
      <c r="A7" s="9">
        <v>6</v>
      </c>
      <c r="B7" s="10">
        <f t="shared" si="1"/>
        <v>513.42512712471512</v>
      </c>
      <c r="C7" s="11">
        <f t="shared" si="0"/>
        <v>124.30030340114568</v>
      </c>
      <c r="D7" s="12">
        <v>6</v>
      </c>
    </row>
    <row r="8" spans="1:4" x14ac:dyDescent="0.3">
      <c r="A8" s="9">
        <v>7</v>
      </c>
      <c r="B8" s="10">
        <f t="shared" si="1"/>
        <v>650.78367676430116</v>
      </c>
      <c r="C8" s="11">
        <f t="shared" si="0"/>
        <v>137.35854963958599</v>
      </c>
      <c r="D8" s="12">
        <v>7</v>
      </c>
    </row>
    <row r="9" spans="1:4" x14ac:dyDescent="0.3">
      <c r="A9" s="9">
        <v>8</v>
      </c>
      <c r="B9" s="10">
        <f t="shared" si="1"/>
        <v>802.53367676430116</v>
      </c>
      <c r="C9" s="11">
        <f t="shared" si="0"/>
        <v>151.75</v>
      </c>
      <c r="D9" s="12">
        <v>8</v>
      </c>
    </row>
    <row r="10" spans="1:4" x14ac:dyDescent="0.3">
      <c r="A10" s="9">
        <v>9</v>
      </c>
      <c r="B10" s="10">
        <f t="shared" si="1"/>
        <v>970.14710381537293</v>
      </c>
      <c r="C10" s="11">
        <f t="shared" si="0"/>
        <v>167.61342705107182</v>
      </c>
      <c r="D10" s="12">
        <v>9</v>
      </c>
    </row>
    <row r="11" spans="1:4" x14ac:dyDescent="0.3">
      <c r="A11" s="9">
        <v>10</v>
      </c>
      <c r="B11" s="10">
        <f t="shared" si="1"/>
        <v>1155.2491519460443</v>
      </c>
      <c r="C11" s="11">
        <f t="shared" si="0"/>
        <v>185.10204813067131</v>
      </c>
      <c r="D11" s="12">
        <v>10</v>
      </c>
    </row>
    <row r="12" spans="1:4" x14ac:dyDescent="0.3">
      <c r="A12" s="9">
        <v>11</v>
      </c>
      <c r="B12" s="10">
        <f t="shared" si="1"/>
        <v>1359.6341808408977</v>
      </c>
      <c r="C12" s="11">
        <f t="shared" si="0"/>
        <v>204.38502889485338</v>
      </c>
      <c r="D12" s="12">
        <v>11</v>
      </c>
    </row>
    <row r="13" spans="1:4" x14ac:dyDescent="0.3">
      <c r="A13" s="9">
        <v>12</v>
      </c>
      <c r="B13" s="10">
        <f t="shared" si="1"/>
        <v>1585.2833242114398</v>
      </c>
      <c r="C13" s="11">
        <f t="shared" si="0"/>
        <v>225.64914337054222</v>
      </c>
      <c r="D13" s="12">
        <v>12</v>
      </c>
    </row>
    <row r="14" spans="1:4" x14ac:dyDescent="0.3">
      <c r="A14" s="9">
        <v>13</v>
      </c>
      <c r="B14" s="10">
        <f t="shared" si="1"/>
        <v>1834.3839310137312</v>
      </c>
      <c r="C14" s="11">
        <f t="shared" si="0"/>
        <v>249.10060680229131</v>
      </c>
      <c r="D14" s="12">
        <v>13</v>
      </c>
    </row>
    <row r="15" spans="1:4" x14ac:dyDescent="0.3">
      <c r="A15" s="9">
        <v>14</v>
      </c>
      <c r="B15" s="10">
        <f t="shared" si="1"/>
        <v>2109.351030292903</v>
      </c>
      <c r="C15" s="11">
        <f t="shared" si="0"/>
        <v>274.96709927917203</v>
      </c>
      <c r="D15" s="12">
        <v>14</v>
      </c>
    </row>
    <row r="16" spans="1:4" x14ac:dyDescent="0.3">
      <c r="A16" s="9">
        <v>15</v>
      </c>
      <c r="B16" s="10">
        <f t="shared" si="1"/>
        <v>2412.851030292903</v>
      </c>
      <c r="C16" s="11">
        <f t="shared" si="0"/>
        <v>303.5</v>
      </c>
      <c r="D16" s="12">
        <v>15</v>
      </c>
    </row>
    <row r="17" spans="1:4" x14ac:dyDescent="0.3">
      <c r="A17" s="9">
        <v>16</v>
      </c>
      <c r="B17" s="10">
        <f t="shared" si="1"/>
        <v>2747.8278843950466</v>
      </c>
      <c r="C17" s="11">
        <f t="shared" si="0"/>
        <v>334.97685410214365</v>
      </c>
      <c r="D17" s="12">
        <v>16</v>
      </c>
    </row>
    <row r="18" spans="1:4" x14ac:dyDescent="0.3">
      <c r="A18" s="9">
        <v>17</v>
      </c>
      <c r="B18" s="10">
        <f t="shared" si="1"/>
        <v>3117.5319806563894</v>
      </c>
      <c r="C18" s="11">
        <f t="shared" si="0"/>
        <v>369.70409626134256</v>
      </c>
      <c r="D18" s="12">
        <v>17</v>
      </c>
    </row>
    <row r="19" spans="1:4" x14ac:dyDescent="0.3">
      <c r="A19" s="9">
        <v>18</v>
      </c>
      <c r="B19" s="10">
        <f t="shared" si="1"/>
        <v>3525.552038446096</v>
      </c>
      <c r="C19" s="11">
        <f t="shared" si="0"/>
        <v>408.02005778970675</v>
      </c>
      <c r="D19" s="12">
        <v>18</v>
      </c>
    </row>
    <row r="20" spans="1:4" x14ac:dyDescent="0.3">
      <c r="A20" s="9">
        <v>19</v>
      </c>
      <c r="B20" s="10">
        <f t="shared" si="1"/>
        <v>3975.8503251871807</v>
      </c>
      <c r="C20" s="11">
        <f t="shared" si="0"/>
        <v>450.29828674108455</v>
      </c>
      <c r="D20" s="12">
        <v>19</v>
      </c>
    </row>
    <row r="21" spans="1:4" x14ac:dyDescent="0.3">
      <c r="A21" s="9">
        <v>20</v>
      </c>
      <c r="B21" s="10">
        <f t="shared" si="1"/>
        <v>4472.8015387917631</v>
      </c>
      <c r="C21" s="11">
        <f t="shared" si="0"/>
        <v>496.95121360458273</v>
      </c>
      <c r="D21" s="12">
        <v>20</v>
      </c>
    </row>
    <row r="22" spans="1:4" x14ac:dyDescent="0.3">
      <c r="A22" s="9">
        <v>21</v>
      </c>
      <c r="B22" s="10">
        <f t="shared" si="1"/>
        <v>5021.2357373501072</v>
      </c>
      <c r="C22" s="11">
        <f t="shared" si="0"/>
        <v>548.43419855834395</v>
      </c>
      <c r="D22" s="12">
        <v>21</v>
      </c>
    </row>
    <row r="23" spans="1:4" x14ac:dyDescent="0.3">
      <c r="A23" s="9">
        <v>22</v>
      </c>
      <c r="B23" s="10">
        <f t="shared" si="1"/>
        <v>5626.4857373501072</v>
      </c>
      <c r="C23" s="11">
        <f t="shared" si="0"/>
        <v>605.25</v>
      </c>
      <c r="D23" s="12">
        <v>22</v>
      </c>
    </row>
    <row r="24" spans="1:4" x14ac:dyDescent="0.3">
      <c r="A24" s="9">
        <v>23</v>
      </c>
      <c r="B24" s="10">
        <f t="shared" si="1"/>
        <v>6294.4394455543943</v>
      </c>
      <c r="C24" s="11">
        <f t="shared" si="0"/>
        <v>667.95370820428718</v>
      </c>
      <c r="D24" s="12">
        <v>23</v>
      </c>
    </row>
    <row r="25" spans="1:4" x14ac:dyDescent="0.3">
      <c r="A25" s="9">
        <v>24</v>
      </c>
      <c r="B25" s="10">
        <f t="shared" si="1"/>
        <v>7031.597638077079</v>
      </c>
      <c r="C25" s="11">
        <f t="shared" si="0"/>
        <v>737.15819252268511</v>
      </c>
      <c r="D25" s="12">
        <v>24</v>
      </c>
    </row>
    <row r="26" spans="1:4" x14ac:dyDescent="0.3">
      <c r="A26" s="9">
        <v>25</v>
      </c>
      <c r="B26" s="10">
        <f t="shared" si="1"/>
        <v>7845.1377536564924</v>
      </c>
      <c r="C26" s="11">
        <f t="shared" si="0"/>
        <v>813.5401155794134</v>
      </c>
      <c r="D26" s="12">
        <v>25</v>
      </c>
    </row>
    <row r="27" spans="1:4" x14ac:dyDescent="0.3">
      <c r="A27" s="9">
        <v>26</v>
      </c>
      <c r="B27" s="10">
        <f t="shared" si="1"/>
        <v>8742.9843271386617</v>
      </c>
      <c r="C27" s="11">
        <f t="shared" si="0"/>
        <v>897.84657348216911</v>
      </c>
      <c r="D27" s="12">
        <v>26</v>
      </c>
    </row>
    <row r="28" spans="1:4" x14ac:dyDescent="0.3">
      <c r="A28" s="9">
        <v>27</v>
      </c>
      <c r="B28" s="10">
        <f t="shared" si="1"/>
        <v>9733.8867543478264</v>
      </c>
      <c r="C28" s="11">
        <f t="shared" si="0"/>
        <v>990.90242720916558</v>
      </c>
      <c r="D28" s="12">
        <v>27</v>
      </c>
    </row>
    <row r="29" spans="1:4" x14ac:dyDescent="0.3">
      <c r="A29" s="9">
        <v>28</v>
      </c>
      <c r="B29" s="10">
        <f t="shared" si="1"/>
        <v>10827.505151464515</v>
      </c>
      <c r="C29" s="11">
        <f t="shared" si="0"/>
        <v>1093.6183971166879</v>
      </c>
      <c r="D29" s="12">
        <v>28</v>
      </c>
    </row>
    <row r="30" spans="1:4" x14ac:dyDescent="0.3">
      <c r="A30" s="9">
        <v>29</v>
      </c>
      <c r="B30" s="10">
        <f t="shared" si="1"/>
        <v>12034.505151464515</v>
      </c>
      <c r="C30" s="11">
        <f t="shared" si="0"/>
        <v>1207</v>
      </c>
      <c r="D30" s="12">
        <v>29</v>
      </c>
    </row>
    <row r="31" spans="1:4" x14ac:dyDescent="0.3">
      <c r="A31" s="9">
        <v>30</v>
      </c>
      <c r="B31" s="10">
        <f t="shared" si="1"/>
        <v>13366.662567873091</v>
      </c>
      <c r="C31" s="11">
        <f t="shared" si="0"/>
        <v>1332.1574164085753</v>
      </c>
      <c r="D31" s="12">
        <v>30</v>
      </c>
    </row>
    <row r="32" spans="1:4" x14ac:dyDescent="0.3">
      <c r="A32" s="9">
        <v>31</v>
      </c>
      <c r="B32" s="10">
        <f t="shared" si="1"/>
        <v>14836.97895291846</v>
      </c>
      <c r="C32" s="11">
        <f t="shared" si="0"/>
        <v>1470.3163850453702</v>
      </c>
      <c r="D32" s="12">
        <v>31</v>
      </c>
    </row>
    <row r="33" spans="1:4" x14ac:dyDescent="0.3">
      <c r="A33" s="9">
        <v>32</v>
      </c>
      <c r="B33" s="10">
        <f t="shared" si="1"/>
        <v>16459.809184077287</v>
      </c>
      <c r="C33" s="11">
        <f t="shared" si="0"/>
        <v>1622.8302311588277</v>
      </c>
      <c r="D33" s="12">
        <v>32</v>
      </c>
    </row>
    <row r="34" spans="1:4" x14ac:dyDescent="0.3">
      <c r="A34" s="9">
        <v>33</v>
      </c>
      <c r="B34" s="10">
        <f t="shared" si="1"/>
        <v>18251.002331041625</v>
      </c>
      <c r="C34" s="11">
        <f t="shared" si="0"/>
        <v>1791.1931469643375</v>
      </c>
      <c r="D34" s="12">
        <v>33</v>
      </c>
    </row>
    <row r="35" spans="1:4" x14ac:dyDescent="0.3">
      <c r="A35" s="9">
        <v>34</v>
      </c>
      <c r="B35" s="10">
        <f t="shared" si="1"/>
        <v>20228.057185459955</v>
      </c>
      <c r="C35" s="11">
        <f t="shared" si="0"/>
        <v>1977.0548544183312</v>
      </c>
      <c r="D35" s="12">
        <v>34</v>
      </c>
    </row>
    <row r="36" spans="1:4" x14ac:dyDescent="0.3">
      <c r="A36" s="9">
        <v>35</v>
      </c>
      <c r="B36" s="10">
        <f t="shared" si="1"/>
        <v>22410.293979693328</v>
      </c>
      <c r="C36" s="11">
        <f t="shared" si="0"/>
        <v>2182.2367942333749</v>
      </c>
      <c r="D36" s="12">
        <v>35</v>
      </c>
    </row>
    <row r="37" spans="1:4" x14ac:dyDescent="0.3">
      <c r="A37" s="9">
        <v>36</v>
      </c>
      <c r="B37" s="10">
        <f t="shared" si="1"/>
        <v>24819.043979693328</v>
      </c>
      <c r="C37" s="11">
        <f t="shared" si="0"/>
        <v>2408.75</v>
      </c>
      <c r="D37" s="12">
        <v>36</v>
      </c>
    </row>
    <row r="38" spans="1:4" x14ac:dyDescent="0.3">
      <c r="A38" s="9">
        <v>37</v>
      </c>
      <c r="B38" s="10">
        <f t="shared" si="1"/>
        <v>27477.858812510476</v>
      </c>
      <c r="C38" s="11">
        <f t="shared" si="0"/>
        <v>2658.8148328171492</v>
      </c>
      <c r="D38" s="12">
        <v>37</v>
      </c>
    </row>
    <row r="39" spans="1:4" x14ac:dyDescent="0.3">
      <c r="A39" s="9">
        <v>38</v>
      </c>
      <c r="B39" s="10">
        <f t="shared" si="1"/>
        <v>30412.741582601218</v>
      </c>
      <c r="C39" s="11">
        <f t="shared" si="0"/>
        <v>2934.8827700907409</v>
      </c>
      <c r="D39" s="12">
        <v>38</v>
      </c>
    </row>
    <row r="40" spans="1:4" x14ac:dyDescent="0.3">
      <c r="A40" s="9">
        <v>39</v>
      </c>
      <c r="B40" s="10">
        <f t="shared" si="1"/>
        <v>33652.402044918876</v>
      </c>
      <c r="C40" s="11">
        <f t="shared" si="0"/>
        <v>3239.660462317654</v>
      </c>
      <c r="D40" s="12">
        <v>39</v>
      </c>
    </row>
    <row r="41" spans="1:4" x14ac:dyDescent="0.3">
      <c r="A41" s="9">
        <v>40</v>
      </c>
      <c r="B41" s="10">
        <f t="shared" si="1"/>
        <v>37228.538338847553</v>
      </c>
      <c r="C41" s="11">
        <f t="shared" si="0"/>
        <v>3576.1362939286755</v>
      </c>
      <c r="D41" s="12">
        <v>40</v>
      </c>
    </row>
    <row r="42" spans="1:4" x14ac:dyDescent="0.3">
      <c r="A42" s="9">
        <v>41</v>
      </c>
      <c r="B42" s="10">
        <f t="shared" si="1"/>
        <v>41176.148047684212</v>
      </c>
      <c r="C42" s="11">
        <f t="shared" si="0"/>
        <v>3947.609708836661</v>
      </c>
      <c r="D42" s="12">
        <v>41</v>
      </c>
    </row>
    <row r="43" spans="1:4" x14ac:dyDescent="0.3">
      <c r="A43" s="9">
        <v>42</v>
      </c>
      <c r="B43" s="10">
        <f t="shared" si="1"/>
        <v>45533.871636150958</v>
      </c>
      <c r="C43" s="11">
        <f t="shared" si="0"/>
        <v>4357.7235884667489</v>
      </c>
      <c r="D43" s="12">
        <v>42</v>
      </c>
    </row>
    <row r="44" spans="1:4" x14ac:dyDescent="0.3">
      <c r="A44" s="9">
        <v>43</v>
      </c>
      <c r="B44" s="10">
        <f t="shared" si="1"/>
        <v>50344.371636150958</v>
      </c>
      <c r="C44" s="11">
        <f t="shared" si="0"/>
        <v>4810.5</v>
      </c>
      <c r="D44" s="12">
        <v>43</v>
      </c>
    </row>
    <row r="45" spans="1:4" x14ac:dyDescent="0.3">
      <c r="A45" s="9">
        <v>44</v>
      </c>
      <c r="B45" s="10">
        <f t="shared" si="1"/>
        <v>55654.751301785262</v>
      </c>
      <c r="C45" s="11">
        <f t="shared" si="0"/>
        <v>5310.3796656343002</v>
      </c>
      <c r="D45" s="12">
        <v>44</v>
      </c>
    </row>
    <row r="46" spans="1:4" x14ac:dyDescent="0.3">
      <c r="A46" s="9">
        <v>45</v>
      </c>
      <c r="B46" s="10">
        <f t="shared" si="1"/>
        <v>61517.016841966739</v>
      </c>
      <c r="C46" s="11">
        <f t="shared" si="0"/>
        <v>5862.26554018148</v>
      </c>
      <c r="D46" s="12">
        <v>45</v>
      </c>
    </row>
    <row r="47" spans="1:4" x14ac:dyDescent="0.3">
      <c r="A47" s="9">
        <v>46</v>
      </c>
      <c r="B47" s="10">
        <f t="shared" si="1"/>
        <v>67988.587766602053</v>
      </c>
      <c r="C47" s="11">
        <f t="shared" si="0"/>
        <v>6471.5709246353081</v>
      </c>
      <c r="D47" s="12">
        <v>46</v>
      </c>
    </row>
    <row r="48" spans="1:4" x14ac:dyDescent="0.3">
      <c r="A48" s="9">
        <v>47</v>
      </c>
      <c r="B48" s="10">
        <f t="shared" si="1"/>
        <v>75132.860354459408</v>
      </c>
      <c r="C48" s="11">
        <f t="shared" si="0"/>
        <v>7144.2725878573483</v>
      </c>
      <c r="D48" s="12">
        <v>47</v>
      </c>
    </row>
    <row r="49" spans="1:4" x14ac:dyDescent="0.3">
      <c r="A49" s="9">
        <v>48</v>
      </c>
      <c r="B49" s="10">
        <f t="shared" si="1"/>
        <v>83019.829772132725</v>
      </c>
      <c r="C49" s="11">
        <f t="shared" si="0"/>
        <v>7886.9694176733219</v>
      </c>
      <c r="D49" s="12">
        <v>48</v>
      </c>
    </row>
    <row r="50" spans="1:4" x14ac:dyDescent="0.3">
      <c r="A50" s="9">
        <v>49</v>
      </c>
      <c r="B50" s="10">
        <f t="shared" si="1"/>
        <v>91726.776949066218</v>
      </c>
      <c r="C50" s="11">
        <f t="shared" si="0"/>
        <v>8706.9471769334978</v>
      </c>
      <c r="D50" s="12">
        <v>49</v>
      </c>
    </row>
    <row r="51" spans="1:4" x14ac:dyDescent="0.3">
      <c r="A51" s="9">
        <v>50</v>
      </c>
      <c r="B51" s="10">
        <f t="shared" si="1"/>
        <v>101339.02694906622</v>
      </c>
      <c r="C51" s="11">
        <f t="shared" si="0"/>
        <v>9612.25</v>
      </c>
      <c r="D51" s="12">
        <v>50</v>
      </c>
    </row>
    <row r="52" spans="1:4" x14ac:dyDescent="0.3">
      <c r="A52" s="9">
        <v>51</v>
      </c>
      <c r="B52" s="10">
        <f t="shared" si="1"/>
        <v>111950.78628033481</v>
      </c>
      <c r="C52" s="11">
        <f t="shared" si="0"/>
        <v>10611.7593312686</v>
      </c>
      <c r="D52" s="12">
        <v>51</v>
      </c>
    </row>
    <row r="53" spans="1:4" x14ac:dyDescent="0.3">
      <c r="A53" s="9">
        <v>52</v>
      </c>
      <c r="B53" s="10">
        <f t="shared" si="1"/>
        <v>123666.06736069777</v>
      </c>
      <c r="C53" s="11">
        <f t="shared" si="0"/>
        <v>11715.28108036296</v>
      </c>
      <c r="D53" s="12">
        <v>52</v>
      </c>
    </row>
    <row r="54" spans="1:4" x14ac:dyDescent="0.3">
      <c r="A54" s="9">
        <v>53</v>
      </c>
      <c r="B54" s="10">
        <f t="shared" si="1"/>
        <v>136599.70920996839</v>
      </c>
      <c r="C54" s="11">
        <f t="shared" si="0"/>
        <v>12933.64184927062</v>
      </c>
      <c r="D54" s="12">
        <v>53</v>
      </c>
    </row>
    <row r="55" spans="1:4" x14ac:dyDescent="0.3">
      <c r="A55" s="9">
        <v>54</v>
      </c>
      <c r="B55" s="10">
        <f t="shared" si="1"/>
        <v>150878.5043856831</v>
      </c>
      <c r="C55" s="11">
        <f t="shared" si="0"/>
        <v>14278.795175714698</v>
      </c>
      <c r="D55" s="12">
        <v>54</v>
      </c>
    </row>
    <row r="56" spans="1:4" x14ac:dyDescent="0.3">
      <c r="A56" s="9">
        <v>55</v>
      </c>
      <c r="B56" s="10">
        <f t="shared" si="1"/>
        <v>166642.44322102974</v>
      </c>
      <c r="C56" s="11">
        <f t="shared" si="0"/>
        <v>15763.938835346647</v>
      </c>
      <c r="D56" s="12">
        <v>55</v>
      </c>
    </row>
    <row r="57" spans="1:4" x14ac:dyDescent="0.3">
      <c r="A57" s="9">
        <v>56</v>
      </c>
      <c r="B57" s="10">
        <f t="shared" si="1"/>
        <v>184046.08757489675</v>
      </c>
      <c r="C57" s="11">
        <f t="shared" si="0"/>
        <v>17403.644353866999</v>
      </c>
      <c r="D57" s="12">
        <v>56</v>
      </c>
    </row>
    <row r="58" spans="1:4" x14ac:dyDescent="0.3">
      <c r="A58" s="9">
        <v>57</v>
      </c>
      <c r="B58" s="10">
        <f t="shared" si="1"/>
        <v>203260.08757489675</v>
      </c>
      <c r="C58" s="11">
        <f t="shared" si="0"/>
        <v>19214</v>
      </c>
      <c r="D58" s="12">
        <v>57</v>
      </c>
    </row>
    <row r="59" spans="1:4" x14ac:dyDescent="0.3">
      <c r="A59" s="9">
        <v>58</v>
      </c>
      <c r="B59" s="10">
        <f t="shared" si="1"/>
        <v>224472.85623743394</v>
      </c>
      <c r="C59" s="11">
        <f t="shared" si="0"/>
        <v>21212.768662537183</v>
      </c>
      <c r="D59" s="12">
        <v>58</v>
      </c>
    </row>
    <row r="60" spans="1:4" x14ac:dyDescent="0.3">
      <c r="A60" s="9">
        <v>59</v>
      </c>
      <c r="B60" s="10">
        <f t="shared" si="1"/>
        <v>247892.41839815988</v>
      </c>
      <c r="C60" s="11">
        <f t="shared" si="0"/>
        <v>23419.562160725945</v>
      </c>
      <c r="D60" s="12">
        <v>59</v>
      </c>
    </row>
    <row r="61" spans="1:4" x14ac:dyDescent="0.3">
      <c r="A61" s="9">
        <v>60</v>
      </c>
      <c r="B61" s="10">
        <f t="shared" si="1"/>
        <v>273748.45209670113</v>
      </c>
      <c r="C61" s="11">
        <f t="shared" si="0"/>
        <v>25856.033698541243</v>
      </c>
      <c r="D61" s="12">
        <v>60</v>
      </c>
    </row>
    <row r="62" spans="1:4" x14ac:dyDescent="0.3">
      <c r="A62" s="9">
        <v>61</v>
      </c>
      <c r="B62" s="10">
        <f t="shared" si="1"/>
        <v>302294.54244813055</v>
      </c>
      <c r="C62" s="11">
        <f t="shared" si="0"/>
        <v>28546.090351429397</v>
      </c>
      <c r="D62" s="12">
        <v>61</v>
      </c>
    </row>
    <row r="63" spans="1:4" x14ac:dyDescent="0.3">
      <c r="A63" s="9">
        <v>62</v>
      </c>
      <c r="B63" s="10">
        <f t="shared" si="1"/>
        <v>333810.67011882382</v>
      </c>
      <c r="C63" s="11">
        <f t="shared" si="0"/>
        <v>31516.127670693269</v>
      </c>
      <c r="D63" s="12">
        <v>62</v>
      </c>
    </row>
    <row r="64" spans="1:4" x14ac:dyDescent="0.3">
      <c r="A64" s="9">
        <v>63</v>
      </c>
      <c r="B64" s="10">
        <f t="shared" si="1"/>
        <v>368605.95882655785</v>
      </c>
      <c r="C64" s="11">
        <f t="shared" si="0"/>
        <v>34795.288707734027</v>
      </c>
      <c r="D64" s="12">
        <v>63</v>
      </c>
    </row>
    <row r="65" spans="1:4" x14ac:dyDescent="0.3">
      <c r="A65" s="9">
        <v>64</v>
      </c>
      <c r="B65" s="10">
        <f t="shared" si="1"/>
        <v>407021.70882655785</v>
      </c>
      <c r="C65" s="11">
        <f t="shared" si="0"/>
        <v>38415.75</v>
      </c>
      <c r="D65" s="12">
        <v>64</v>
      </c>
    </row>
    <row r="66" spans="1:4" x14ac:dyDescent="0.3">
      <c r="A66" s="9">
        <v>65</v>
      </c>
      <c r="B66" s="10">
        <f t="shared" si="1"/>
        <v>449434.74615163222</v>
      </c>
      <c r="C66" s="11">
        <f t="shared" si="0"/>
        <v>42413.037325074365</v>
      </c>
      <c r="D66" s="12">
        <v>65</v>
      </c>
    </row>
    <row r="67" spans="1:4" x14ac:dyDescent="0.3">
      <c r="A67" s="9">
        <v>66</v>
      </c>
      <c r="B67" s="10">
        <f t="shared" si="1"/>
        <v>496261.1204730841</v>
      </c>
      <c r="C67" s="11">
        <f t="shared" ref="C67:C128" si="2">0.25*(A67-1+300*2^((A67-1)/7))</f>
        <v>46826.374321451891</v>
      </c>
      <c r="D67" s="12">
        <v>66</v>
      </c>
    </row>
    <row r="68" spans="1:4" x14ac:dyDescent="0.3">
      <c r="A68" s="9">
        <v>67</v>
      </c>
      <c r="B68" s="10">
        <f t="shared" ref="B68:B128" si="3">B67+C68</f>
        <v>547960.18787016661</v>
      </c>
      <c r="C68" s="11">
        <f t="shared" si="2"/>
        <v>51699.067397082486</v>
      </c>
      <c r="D68" s="12">
        <v>67</v>
      </c>
    </row>
    <row r="69" spans="1:4" x14ac:dyDescent="0.3">
      <c r="A69" s="9">
        <v>68</v>
      </c>
      <c r="B69" s="10">
        <f t="shared" si="3"/>
        <v>605039.11857302545</v>
      </c>
      <c r="C69" s="11">
        <f t="shared" si="2"/>
        <v>57078.930702858801</v>
      </c>
      <c r="D69" s="12">
        <v>68</v>
      </c>
    </row>
    <row r="70" spans="1:4" x14ac:dyDescent="0.3">
      <c r="A70" s="9">
        <v>69</v>
      </c>
      <c r="B70" s="10">
        <f t="shared" si="3"/>
        <v>668057.87391441199</v>
      </c>
      <c r="C70" s="11">
        <f t="shared" si="2"/>
        <v>63018.755341386546</v>
      </c>
      <c r="D70" s="12">
        <v>69</v>
      </c>
    </row>
    <row r="71" spans="1:4" x14ac:dyDescent="0.3">
      <c r="A71" s="9">
        <v>70</v>
      </c>
      <c r="B71" s="10">
        <f t="shared" si="3"/>
        <v>737634.70132988004</v>
      </c>
      <c r="C71" s="11">
        <f t="shared" si="2"/>
        <v>69576.827415468069</v>
      </c>
      <c r="D71" s="12">
        <v>70</v>
      </c>
    </row>
    <row r="72" spans="1:4" x14ac:dyDescent="0.3">
      <c r="A72" s="9">
        <v>71</v>
      </c>
      <c r="B72" s="10">
        <f t="shared" si="3"/>
        <v>814452.20132988004</v>
      </c>
      <c r="C72" s="11">
        <f t="shared" si="2"/>
        <v>76817.5</v>
      </c>
      <c r="D72" s="12">
        <v>71</v>
      </c>
    </row>
    <row r="73" spans="1:4" x14ac:dyDescent="0.3">
      <c r="A73" s="9">
        <v>72</v>
      </c>
      <c r="B73" s="10">
        <f t="shared" si="3"/>
        <v>899264.02598002879</v>
      </c>
      <c r="C73" s="11">
        <f t="shared" si="2"/>
        <v>84811.824650148745</v>
      </c>
      <c r="D73" s="12">
        <v>72</v>
      </c>
    </row>
    <row r="74" spans="1:4" x14ac:dyDescent="0.3">
      <c r="A74" s="9">
        <v>73</v>
      </c>
      <c r="B74" s="10">
        <f t="shared" si="3"/>
        <v>992902.27462293254</v>
      </c>
      <c r="C74" s="11">
        <f t="shared" si="2"/>
        <v>93638.248642903709</v>
      </c>
      <c r="D74" s="12">
        <v>73</v>
      </c>
    </row>
    <row r="75" spans="1:4" x14ac:dyDescent="0.3">
      <c r="A75" s="9">
        <v>74</v>
      </c>
      <c r="B75" s="10">
        <f t="shared" si="3"/>
        <v>1096285.6594170975</v>
      </c>
      <c r="C75" s="11">
        <f t="shared" si="2"/>
        <v>103383.38479416499</v>
      </c>
      <c r="D75" s="12">
        <v>74</v>
      </c>
    </row>
    <row r="76" spans="1:4" x14ac:dyDescent="0.3">
      <c r="A76" s="9">
        <v>75</v>
      </c>
      <c r="B76" s="10">
        <f t="shared" si="3"/>
        <v>1210428.5208228151</v>
      </c>
      <c r="C76" s="11">
        <f t="shared" si="2"/>
        <v>114142.86140571762</v>
      </c>
      <c r="D76" s="12">
        <v>75</v>
      </c>
    </row>
    <row r="77" spans="1:4" x14ac:dyDescent="0.3">
      <c r="A77" s="9">
        <v>76</v>
      </c>
      <c r="B77" s="10">
        <f t="shared" si="3"/>
        <v>1336450.7815055882</v>
      </c>
      <c r="C77" s="11">
        <f t="shared" si="2"/>
        <v>126022.26068277309</v>
      </c>
      <c r="D77" s="12">
        <v>76</v>
      </c>
    </row>
    <row r="78" spans="1:4" x14ac:dyDescent="0.3">
      <c r="A78" s="9">
        <v>77</v>
      </c>
      <c r="B78" s="10">
        <f t="shared" si="3"/>
        <v>1475588.9363365243</v>
      </c>
      <c r="C78" s="11">
        <f t="shared" si="2"/>
        <v>139138.15483093602</v>
      </c>
      <c r="D78" s="12">
        <v>77</v>
      </c>
    </row>
    <row r="79" spans="1:4" x14ac:dyDescent="0.3">
      <c r="A79" s="9">
        <v>78</v>
      </c>
      <c r="B79" s="10">
        <f t="shared" si="3"/>
        <v>1629208.1863365243</v>
      </c>
      <c r="C79" s="11">
        <f t="shared" si="2"/>
        <v>153619.25</v>
      </c>
      <c r="D79" s="12">
        <v>78</v>
      </c>
    </row>
    <row r="80" spans="1:4" x14ac:dyDescent="0.3">
      <c r="A80" s="9">
        <v>79</v>
      </c>
      <c r="B80" s="10">
        <f t="shared" si="3"/>
        <v>1798815.8356368218</v>
      </c>
      <c r="C80" s="11">
        <f t="shared" si="2"/>
        <v>169607.64930029749</v>
      </c>
      <c r="D80" s="12">
        <v>79</v>
      </c>
    </row>
    <row r="81" spans="1:4" x14ac:dyDescent="0.3">
      <c r="A81" s="9">
        <v>80</v>
      </c>
      <c r="B81" s="10">
        <f t="shared" si="3"/>
        <v>1986076.0829226293</v>
      </c>
      <c r="C81" s="11">
        <f t="shared" si="2"/>
        <v>187260.24728580742</v>
      </c>
      <c r="D81" s="12">
        <v>80</v>
      </c>
    </row>
    <row r="82" spans="1:4" x14ac:dyDescent="0.3">
      <c r="A82" s="9">
        <v>81</v>
      </c>
      <c r="B82" s="10">
        <f t="shared" si="3"/>
        <v>2192826.3525109589</v>
      </c>
      <c r="C82" s="11">
        <f t="shared" si="2"/>
        <v>206750.2695883298</v>
      </c>
      <c r="D82" s="12">
        <v>81</v>
      </c>
    </row>
    <row r="83" spans="1:4" x14ac:dyDescent="0.3">
      <c r="A83" s="9">
        <v>82</v>
      </c>
      <c r="B83" s="10">
        <f t="shared" si="3"/>
        <v>2421095.3253223938</v>
      </c>
      <c r="C83" s="11">
        <f t="shared" si="2"/>
        <v>228268.97281143503</v>
      </c>
      <c r="D83" s="12">
        <v>82</v>
      </c>
    </row>
    <row r="84" spans="1:4" x14ac:dyDescent="0.3">
      <c r="A84" s="9">
        <v>83</v>
      </c>
      <c r="B84" s="10">
        <f t="shared" si="3"/>
        <v>2673122.8466879399</v>
      </c>
      <c r="C84" s="11">
        <f t="shared" si="2"/>
        <v>252027.52136554601</v>
      </c>
      <c r="D84" s="12">
        <v>83</v>
      </c>
    </row>
    <row r="85" spans="1:4" x14ac:dyDescent="0.3">
      <c r="A85" s="9">
        <v>84</v>
      </c>
      <c r="B85" s="10">
        <f t="shared" si="3"/>
        <v>2951381.9063498122</v>
      </c>
      <c r="C85" s="11">
        <f t="shared" si="2"/>
        <v>278259.0596618721</v>
      </c>
      <c r="D85" s="12">
        <v>84</v>
      </c>
    </row>
    <row r="86" spans="1:4" x14ac:dyDescent="0.3">
      <c r="A86" s="9">
        <v>85</v>
      </c>
      <c r="B86" s="10">
        <f t="shared" si="3"/>
        <v>3258602.9063498122</v>
      </c>
      <c r="C86" s="11">
        <f t="shared" si="2"/>
        <v>307221</v>
      </c>
      <c r="D86" s="12">
        <v>85</v>
      </c>
    </row>
    <row r="87" spans="1:4" x14ac:dyDescent="0.3">
      <c r="A87" s="9">
        <v>86</v>
      </c>
      <c r="B87" s="10">
        <f t="shared" si="3"/>
        <v>3597800.4549504067</v>
      </c>
      <c r="C87" s="11">
        <f t="shared" si="2"/>
        <v>339197.54860059469</v>
      </c>
      <c r="D87" s="12">
        <v>86</v>
      </c>
    </row>
    <row r="88" spans="1:4" x14ac:dyDescent="0.3">
      <c r="A88" s="9">
        <v>87</v>
      </c>
      <c r="B88" s="10">
        <f t="shared" si="3"/>
        <v>3972302.9495220217</v>
      </c>
      <c r="C88" s="11">
        <f t="shared" si="2"/>
        <v>374502.49457161489</v>
      </c>
      <c r="D88" s="12">
        <v>87</v>
      </c>
    </row>
    <row r="89" spans="1:4" x14ac:dyDescent="0.3">
      <c r="A89" s="9">
        <v>88</v>
      </c>
      <c r="B89" s="10">
        <f t="shared" si="3"/>
        <v>4385785.2386986809</v>
      </c>
      <c r="C89" s="11">
        <f t="shared" si="2"/>
        <v>413482.2891766596</v>
      </c>
      <c r="D89" s="12">
        <v>88</v>
      </c>
    </row>
    <row r="90" spans="1:4" x14ac:dyDescent="0.3">
      <c r="A90" s="9">
        <v>89</v>
      </c>
      <c r="B90" s="10">
        <f t="shared" si="3"/>
        <v>4842304.6843215507</v>
      </c>
      <c r="C90" s="11">
        <f t="shared" si="2"/>
        <v>456519.44562287012</v>
      </c>
      <c r="D90" s="12">
        <v>89</v>
      </c>
    </row>
    <row r="91" spans="1:4" x14ac:dyDescent="0.3">
      <c r="A91" s="9">
        <v>90</v>
      </c>
      <c r="B91" s="10">
        <f t="shared" si="3"/>
        <v>5346340.977052643</v>
      </c>
      <c r="C91" s="11">
        <f t="shared" si="2"/>
        <v>504036.29273109202</v>
      </c>
      <c r="D91" s="12">
        <v>90</v>
      </c>
    </row>
    <row r="92" spans="1:4" x14ac:dyDescent="0.3">
      <c r="A92" s="9">
        <v>91</v>
      </c>
      <c r="B92" s="10">
        <f t="shared" si="3"/>
        <v>5902840.0963763874</v>
      </c>
      <c r="C92" s="11">
        <f t="shared" si="2"/>
        <v>556499.11932374421</v>
      </c>
      <c r="D92" s="12">
        <v>91</v>
      </c>
    </row>
    <row r="93" spans="1:4" x14ac:dyDescent="0.3">
      <c r="A93" s="9">
        <v>92</v>
      </c>
      <c r="B93" s="10">
        <f t="shared" si="3"/>
        <v>6517262.8463763874</v>
      </c>
      <c r="C93" s="11">
        <f t="shared" si="2"/>
        <v>614422.75</v>
      </c>
      <c r="D93" s="12">
        <v>92</v>
      </c>
    </row>
    <row r="94" spans="1:4" x14ac:dyDescent="0.3">
      <c r="A94" s="9">
        <v>93</v>
      </c>
      <c r="B94" s="10">
        <f t="shared" si="3"/>
        <v>7195638.4435775774</v>
      </c>
      <c r="C94" s="11">
        <f t="shared" si="2"/>
        <v>678375.59720118961</v>
      </c>
      <c r="D94" s="12">
        <v>93</v>
      </c>
    </row>
    <row r="95" spans="1:4" x14ac:dyDescent="0.3">
      <c r="A95" s="9">
        <v>94</v>
      </c>
      <c r="B95" s="10">
        <f t="shared" si="3"/>
        <v>7944623.6827208074</v>
      </c>
      <c r="C95" s="11">
        <f t="shared" si="2"/>
        <v>748985.23914322979</v>
      </c>
      <c r="D95" s="12">
        <v>94</v>
      </c>
    </row>
    <row r="96" spans="1:4" x14ac:dyDescent="0.3">
      <c r="A96" s="9">
        <v>95</v>
      </c>
      <c r="B96" s="10">
        <f t="shared" si="3"/>
        <v>8771568.2610741258</v>
      </c>
      <c r="C96" s="11">
        <f t="shared" si="2"/>
        <v>826944.57835331932</v>
      </c>
      <c r="D96" s="12">
        <v>95</v>
      </c>
    </row>
    <row r="97" spans="1:4" x14ac:dyDescent="0.3">
      <c r="A97" s="9">
        <v>96</v>
      </c>
      <c r="B97" s="10">
        <f t="shared" si="3"/>
        <v>9684586.9023198653</v>
      </c>
      <c r="C97" s="11">
        <f t="shared" si="2"/>
        <v>913018.64124574023</v>
      </c>
      <c r="D97" s="12">
        <v>96</v>
      </c>
    </row>
    <row r="98" spans="1:4" x14ac:dyDescent="0.3">
      <c r="A98" s="9">
        <v>97</v>
      </c>
      <c r="B98" s="10">
        <f t="shared" si="3"/>
        <v>10692638.98778205</v>
      </c>
      <c r="C98" s="11">
        <f t="shared" si="2"/>
        <v>1008052.0854621842</v>
      </c>
      <c r="D98" s="12">
        <v>97</v>
      </c>
    </row>
    <row r="99" spans="1:4" x14ac:dyDescent="0.3">
      <c r="A99" s="9">
        <v>98</v>
      </c>
      <c r="B99" s="10">
        <f t="shared" si="3"/>
        <v>11805616.476429539</v>
      </c>
      <c r="C99" s="11">
        <f t="shared" si="2"/>
        <v>1112977.4886474884</v>
      </c>
      <c r="D99" s="12">
        <v>98</v>
      </c>
    </row>
    <row r="100" spans="1:4" x14ac:dyDescent="0.3">
      <c r="A100" s="9">
        <v>99</v>
      </c>
      <c r="B100" s="10">
        <f t="shared" si="3"/>
        <v>13034440.976429539</v>
      </c>
      <c r="C100" s="11">
        <f t="shared" si="2"/>
        <v>1228824.5</v>
      </c>
      <c r="D100" s="12">
        <v>99</v>
      </c>
    </row>
    <row r="101" spans="1:4" x14ac:dyDescent="0.3">
      <c r="A101" s="9">
        <v>100</v>
      </c>
      <c r="B101" s="10">
        <f t="shared" si="3"/>
        <v>14391170.920831919</v>
      </c>
      <c r="C101" s="11">
        <f t="shared" si="2"/>
        <v>1356729.9444023792</v>
      </c>
      <c r="D101" s="12">
        <v>100</v>
      </c>
    </row>
    <row r="102" spans="1:4" x14ac:dyDescent="0.3">
      <c r="A102" s="9">
        <v>101</v>
      </c>
      <c r="B102" s="10">
        <f t="shared" si="3"/>
        <v>15889119.899118379</v>
      </c>
      <c r="C102" s="11">
        <f t="shared" si="2"/>
        <v>1497948.9782864598</v>
      </c>
      <c r="D102" s="12">
        <v>101</v>
      </c>
    </row>
    <row r="103" spans="1:4" x14ac:dyDescent="0.3">
      <c r="A103" s="9">
        <v>102</v>
      </c>
      <c r="B103" s="10">
        <f t="shared" si="3"/>
        <v>17542987.305825017</v>
      </c>
      <c r="C103" s="11">
        <f t="shared" si="2"/>
        <v>1653867.4067066386</v>
      </c>
      <c r="D103" s="12">
        <v>102</v>
      </c>
    </row>
    <row r="104" spans="1:4" x14ac:dyDescent="0.3">
      <c r="A104" s="9">
        <v>103</v>
      </c>
      <c r="B104" s="10">
        <f t="shared" si="3"/>
        <v>19369002.5883165</v>
      </c>
      <c r="C104" s="11">
        <f t="shared" si="2"/>
        <v>1826015.2824914809</v>
      </c>
      <c r="D104" s="12">
        <v>103</v>
      </c>
    </row>
    <row r="105" spans="1:4" x14ac:dyDescent="0.3">
      <c r="A105" s="9">
        <v>104</v>
      </c>
      <c r="B105" s="10">
        <f t="shared" si="3"/>
        <v>21385084.509240869</v>
      </c>
      <c r="C105" s="11">
        <f t="shared" si="2"/>
        <v>2016081.9209243685</v>
      </c>
      <c r="D105" s="12">
        <v>104</v>
      </c>
    </row>
    <row r="106" spans="1:4" x14ac:dyDescent="0.3">
      <c r="A106" s="9">
        <v>105</v>
      </c>
      <c r="B106" s="10">
        <f t="shared" si="3"/>
        <v>23611016.986535847</v>
      </c>
      <c r="C106" s="11">
        <f t="shared" si="2"/>
        <v>2225932.4772949773</v>
      </c>
      <c r="D106" s="12">
        <v>105</v>
      </c>
    </row>
    <row r="107" spans="1:4" x14ac:dyDescent="0.3">
      <c r="A107" s="9">
        <v>106</v>
      </c>
      <c r="B107" s="10">
        <f t="shared" si="3"/>
        <v>26068643.236535847</v>
      </c>
      <c r="C107" s="11">
        <f t="shared" si="2"/>
        <v>2457626.25</v>
      </c>
      <c r="D107" s="12">
        <v>106</v>
      </c>
    </row>
    <row r="108" spans="1:4" x14ac:dyDescent="0.3">
      <c r="A108" s="9">
        <v>107</v>
      </c>
      <c r="B108" s="10">
        <f t="shared" si="3"/>
        <v>28782080.125340607</v>
      </c>
      <c r="C108" s="11">
        <f t="shared" si="2"/>
        <v>2713436.8888047589</v>
      </c>
      <c r="D108" s="12">
        <v>107</v>
      </c>
    </row>
    <row r="109" spans="1:4" x14ac:dyDescent="0.3">
      <c r="A109" s="9">
        <v>108</v>
      </c>
      <c r="B109" s="10">
        <f t="shared" si="3"/>
        <v>31777954.831913527</v>
      </c>
      <c r="C109" s="11">
        <f t="shared" si="2"/>
        <v>2995874.7065729196</v>
      </c>
      <c r="D109" s="12">
        <v>108</v>
      </c>
    </row>
    <row r="110" spans="1:4" x14ac:dyDescent="0.3">
      <c r="A110" s="9">
        <v>109</v>
      </c>
      <c r="B110" s="10">
        <f t="shared" si="3"/>
        <v>35085666.145326808</v>
      </c>
      <c r="C110" s="11">
        <f t="shared" si="2"/>
        <v>3307711.3134132777</v>
      </c>
      <c r="D110" s="12">
        <v>109</v>
      </c>
    </row>
    <row r="111" spans="1:4" x14ac:dyDescent="0.3">
      <c r="A111" s="9">
        <v>110</v>
      </c>
      <c r="B111" s="10">
        <f t="shared" si="3"/>
        <v>38737672.960309774</v>
      </c>
      <c r="C111" s="11">
        <f t="shared" si="2"/>
        <v>3652006.8149829623</v>
      </c>
      <c r="D111" s="12">
        <v>110</v>
      </c>
    </row>
    <row r="112" spans="1:4" x14ac:dyDescent="0.3">
      <c r="A112" s="9">
        <v>111</v>
      </c>
      <c r="B112" s="10">
        <f t="shared" si="3"/>
        <v>42769812.802158512</v>
      </c>
      <c r="C112" s="11">
        <f t="shared" si="2"/>
        <v>4032139.8418487371</v>
      </c>
      <c r="D112" s="12">
        <v>111</v>
      </c>
    </row>
    <row r="113" spans="1:4" x14ac:dyDescent="0.3">
      <c r="A113" s="9">
        <v>112</v>
      </c>
      <c r="B113" s="10">
        <f t="shared" si="3"/>
        <v>47221653.506748468</v>
      </c>
      <c r="C113" s="11">
        <f t="shared" si="2"/>
        <v>4451840.7045899546</v>
      </c>
      <c r="D113" s="12">
        <v>112</v>
      </c>
    </row>
    <row r="114" spans="1:4" x14ac:dyDescent="0.3">
      <c r="A114" s="9">
        <v>113</v>
      </c>
      <c r="B114" s="10">
        <f t="shared" si="3"/>
        <v>52136881.506748468</v>
      </c>
      <c r="C114" s="11">
        <f t="shared" si="2"/>
        <v>4915228</v>
      </c>
      <c r="D114" s="12">
        <v>113</v>
      </c>
    </row>
    <row r="115" spans="1:4" x14ac:dyDescent="0.3">
      <c r="A115" s="9">
        <v>114</v>
      </c>
      <c r="B115" s="10">
        <f t="shared" si="3"/>
        <v>57563730.534357987</v>
      </c>
      <c r="C115" s="11">
        <f t="shared" si="2"/>
        <v>5426849.0276095178</v>
      </c>
      <c r="D115" s="12">
        <v>114</v>
      </c>
    </row>
    <row r="116" spans="1:4" x14ac:dyDescent="0.3">
      <c r="A116" s="9">
        <v>115</v>
      </c>
      <c r="B116" s="10">
        <f t="shared" si="3"/>
        <v>63555454.94750382</v>
      </c>
      <c r="C116" s="11">
        <f t="shared" si="2"/>
        <v>5991724.4131458299</v>
      </c>
      <c r="D116" s="12">
        <v>115</v>
      </c>
    </row>
    <row r="117" spans="1:4" x14ac:dyDescent="0.3">
      <c r="A117" s="9">
        <v>116</v>
      </c>
      <c r="B117" s="10">
        <f t="shared" si="3"/>
        <v>70170852.32433036</v>
      </c>
      <c r="C117" s="11">
        <f t="shared" si="2"/>
        <v>6615397.3768265452</v>
      </c>
      <c r="D117" s="12">
        <v>116</v>
      </c>
    </row>
    <row r="118" spans="1:4" x14ac:dyDescent="0.3">
      <c r="A118" s="9">
        <v>117</v>
      </c>
      <c r="B118" s="10">
        <f t="shared" si="3"/>
        <v>77474840.454296291</v>
      </c>
      <c r="C118" s="11">
        <f t="shared" si="2"/>
        <v>7303988.1299659377</v>
      </c>
      <c r="D118" s="12">
        <v>117</v>
      </c>
    </row>
    <row r="119" spans="1:4" x14ac:dyDescent="0.3">
      <c r="A119" s="9">
        <v>118</v>
      </c>
      <c r="B119" s="10">
        <f t="shared" si="3"/>
        <v>85539094.387993783</v>
      </c>
      <c r="C119" s="11">
        <f t="shared" si="2"/>
        <v>8064253.93369749</v>
      </c>
      <c r="D119" s="12">
        <v>118</v>
      </c>
    </row>
    <row r="120" spans="1:4" x14ac:dyDescent="0.3">
      <c r="A120" s="9">
        <v>119</v>
      </c>
      <c r="B120" s="10">
        <f t="shared" si="3"/>
        <v>94442749.797173694</v>
      </c>
      <c r="C120" s="11">
        <f t="shared" si="2"/>
        <v>8903655.4091799092</v>
      </c>
      <c r="D120" s="12">
        <v>119</v>
      </c>
    </row>
    <row r="121" spans="1:4" x14ac:dyDescent="0.3">
      <c r="A121" s="9">
        <v>120</v>
      </c>
      <c r="B121" s="10">
        <f t="shared" si="3"/>
        <v>104273179.54717369</v>
      </c>
      <c r="C121" s="11">
        <f t="shared" si="2"/>
        <v>9830429.75</v>
      </c>
      <c r="D121" s="12">
        <v>120</v>
      </c>
    </row>
    <row r="122" spans="1:4" x14ac:dyDescent="0.3">
      <c r="A122" s="9">
        <v>121</v>
      </c>
      <c r="B122" s="10">
        <f t="shared" si="3"/>
        <v>115126851.10239273</v>
      </c>
      <c r="C122" s="11">
        <f t="shared" si="2"/>
        <v>10853671.555219037</v>
      </c>
      <c r="D122" s="12">
        <v>121</v>
      </c>
    </row>
    <row r="123" spans="1:4" x14ac:dyDescent="0.3">
      <c r="A123" s="9">
        <v>122</v>
      </c>
      <c r="B123" s="10">
        <f t="shared" si="3"/>
        <v>127110273.1786844</v>
      </c>
      <c r="C123" s="11">
        <f t="shared" si="2"/>
        <v>11983422.07629166</v>
      </c>
      <c r="D123" s="12">
        <v>122</v>
      </c>
    </row>
    <row r="124" spans="1:4" x14ac:dyDescent="0.3">
      <c r="A124" s="9">
        <v>123</v>
      </c>
      <c r="B124" s="10">
        <f t="shared" si="3"/>
        <v>140341040.93233749</v>
      </c>
      <c r="C124" s="11">
        <f t="shared" si="2"/>
        <v>13230767.75365309</v>
      </c>
      <c r="D124" s="12">
        <v>123</v>
      </c>
    </row>
    <row r="125" spans="1:4" x14ac:dyDescent="0.3">
      <c r="A125" s="9">
        <v>124</v>
      </c>
      <c r="B125" s="10">
        <f t="shared" si="3"/>
        <v>154948989.94226938</v>
      </c>
      <c r="C125" s="11">
        <f t="shared" si="2"/>
        <v>14607949.009931877</v>
      </c>
      <c r="D125" s="12">
        <v>124</v>
      </c>
    </row>
    <row r="126" spans="1:4" x14ac:dyDescent="0.3">
      <c r="A126" s="9">
        <v>125</v>
      </c>
      <c r="B126" s="10">
        <f t="shared" si="3"/>
        <v>171077470.30966437</v>
      </c>
      <c r="C126" s="11">
        <f t="shared" si="2"/>
        <v>16128480.367394982</v>
      </c>
      <c r="D126" s="12">
        <v>125</v>
      </c>
    </row>
    <row r="127" spans="1:4" x14ac:dyDescent="0.3">
      <c r="A127" s="9">
        <v>126</v>
      </c>
      <c r="B127" s="10">
        <f t="shared" si="3"/>
        <v>188884753.37802419</v>
      </c>
      <c r="C127" s="11">
        <f t="shared" si="2"/>
        <v>17807283.068359822</v>
      </c>
      <c r="D127" s="12">
        <v>126</v>
      </c>
    </row>
    <row r="128" spans="1:4" x14ac:dyDescent="0.3">
      <c r="A128" s="9">
        <v>127</v>
      </c>
      <c r="B128" s="10">
        <f t="shared" si="3"/>
        <v>208545584.87802419</v>
      </c>
      <c r="C128" s="11">
        <f t="shared" si="2"/>
        <v>19660831.5</v>
      </c>
      <c r="D128" s="12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204E-C35C-44D4-8954-21D1CF143B2D}">
  <dimension ref="A1:M52"/>
  <sheetViews>
    <sheetView topLeftCell="A13" workbookViewId="0">
      <selection activeCell="D44" sqref="D44"/>
    </sheetView>
  </sheetViews>
  <sheetFormatPr defaultRowHeight="14.4" x14ac:dyDescent="0.3"/>
  <cols>
    <col min="1" max="1" width="15.77734375" customWidth="1"/>
    <col min="2" max="2" width="12.109375" customWidth="1"/>
    <col min="3" max="3" width="15" customWidth="1"/>
    <col min="4" max="4" width="19.5546875" customWidth="1"/>
    <col min="5" max="12" width="12.109375" customWidth="1"/>
  </cols>
  <sheetData>
    <row r="1" spans="1:13" x14ac:dyDescent="0.3">
      <c r="A1" s="155" t="s">
        <v>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"/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1"/>
    </row>
    <row r="3" spans="1:13" x14ac:dyDescent="0.3">
      <c r="A3" s="2">
        <v>1</v>
      </c>
      <c r="B3" s="2">
        <v>1</v>
      </c>
      <c r="C3" s="2">
        <v>1</v>
      </c>
      <c r="D3" s="2">
        <v>1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4</v>
      </c>
      <c r="M3" s="1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"/>
    </row>
    <row r="5" spans="1:13" x14ac:dyDescent="0.3">
      <c r="A5" s="3"/>
      <c r="B5" s="3"/>
      <c r="C5" s="3"/>
      <c r="D5" s="3"/>
      <c r="E5" s="3"/>
      <c r="F5" s="3"/>
      <c r="G5" s="1"/>
      <c r="H5" s="1"/>
      <c r="I5" s="1"/>
      <c r="J5" s="3"/>
      <c r="K5" s="3"/>
      <c r="L5" s="3"/>
      <c r="M5" s="1"/>
    </row>
    <row r="6" spans="1:13" x14ac:dyDescent="0.3">
      <c r="A6" s="3"/>
      <c r="B6" s="3"/>
      <c r="C6" s="3"/>
      <c r="D6" s="156" t="s">
        <v>13</v>
      </c>
      <c r="E6" s="156"/>
      <c r="F6" s="1"/>
      <c r="G6" s="1"/>
      <c r="H6" s="1"/>
      <c r="I6" s="1"/>
      <c r="J6" s="3"/>
      <c r="K6" s="156" t="s">
        <v>14</v>
      </c>
      <c r="L6" s="156"/>
      <c r="M6" s="1"/>
    </row>
    <row r="7" spans="1:13" x14ac:dyDescent="0.3">
      <c r="A7" s="156" t="s">
        <v>15</v>
      </c>
      <c r="B7" s="156"/>
      <c r="C7" s="3"/>
      <c r="D7" s="2" t="s">
        <v>16</v>
      </c>
      <c r="E7" s="2">
        <v>1</v>
      </c>
      <c r="F7" s="1"/>
      <c r="G7" s="2"/>
      <c r="H7" s="2" t="s">
        <v>17</v>
      </c>
      <c r="I7" s="2" t="s">
        <v>18</v>
      </c>
      <c r="J7" s="3"/>
      <c r="K7" s="2" t="s">
        <v>19</v>
      </c>
      <c r="L7" s="4">
        <f>IF('Smithing Calcs'!L31=0,B8+$H$8,B8+$I$8)</f>
        <v>67.75</v>
      </c>
      <c r="M7" s="1"/>
    </row>
    <row r="8" spans="1:13" x14ac:dyDescent="0.3">
      <c r="A8" s="2" t="s">
        <v>19</v>
      </c>
      <c r="B8" s="62">
        <f>((10*(10*E7*'Smithing Calcs'!H44/28)/10)+(10*(10*E8*'Smithing Calcs'!H43/28))+((10*E7*'Smithing Calcs'!H44/28)*(10*E8*'Smithing Calcs'!H43/28)))/10</f>
        <v>9.5</v>
      </c>
      <c r="C8" s="3"/>
      <c r="D8" s="2" t="s">
        <v>20</v>
      </c>
      <c r="E8" s="2">
        <v>2</v>
      </c>
      <c r="F8" s="1"/>
      <c r="G8" s="157" t="s">
        <v>21</v>
      </c>
      <c r="H8" s="160">
        <v>37.667000000000002</v>
      </c>
      <c r="I8" s="160">
        <v>58.25</v>
      </c>
      <c r="J8" s="3"/>
      <c r="K8" s="6" t="s">
        <v>22</v>
      </c>
      <c r="L8" s="4">
        <f>IF('Smithing Calcs'!L31=0,B9+$H$8,B9+$I$8)</f>
        <v>76.352040816326536</v>
      </c>
      <c r="M8" s="1"/>
    </row>
    <row r="9" spans="1:13" x14ac:dyDescent="0.3">
      <c r="A9" s="5" t="s">
        <v>22</v>
      </c>
      <c r="B9" s="63">
        <f>((10*(10*E8*'Smithing Calcs'!H40/28)/10)+(10*(10*E9*'Smithing Calcs'!H39/28))+((10*E8*'Smithing Calcs'!H40/28)*(10*E9*'Smithing Calcs'!H39/28)))/10</f>
        <v>18.102040816326529</v>
      </c>
      <c r="C9" s="1"/>
      <c r="D9" s="6" t="s">
        <v>23</v>
      </c>
      <c r="E9" s="6">
        <v>3</v>
      </c>
      <c r="F9" s="1"/>
      <c r="G9" s="158"/>
      <c r="H9" s="161"/>
      <c r="I9" s="161"/>
      <c r="J9" s="1"/>
      <c r="K9" s="6" t="s">
        <v>24</v>
      </c>
      <c r="L9" s="4">
        <f>IF('Smithing Calcs'!L31=0,B10+$H$8,B10+$I$8)</f>
        <v>99.316326530612244</v>
      </c>
      <c r="M9" s="1"/>
    </row>
    <row r="10" spans="1:13" x14ac:dyDescent="0.3">
      <c r="A10" s="5" t="s">
        <v>24</v>
      </c>
      <c r="B10" s="63">
        <f>((10*(10*E9*'Smithing Calcs'!H36/28)/10)+(10*(10*E10*'Smithing Calcs'!H35/28))+((10*E9*'Smithing Calcs'!H36/28)*(10*E10*'Smithing Calcs'!H35/28)))/10</f>
        <v>41.066326530612244</v>
      </c>
      <c r="C10" s="1"/>
      <c r="D10" s="2" t="s">
        <v>25</v>
      </c>
      <c r="E10" s="2">
        <v>4</v>
      </c>
      <c r="F10" s="1"/>
      <c r="G10" s="159"/>
      <c r="H10" s="162"/>
      <c r="I10" s="162"/>
      <c r="J10" s="1"/>
      <c r="K10" s="6" t="s">
        <v>26</v>
      </c>
      <c r="L10" s="4">
        <f>IF('Smithing Calcs'!L31=0,B11+$H$8,B11+$I$8)</f>
        <v>124.59693877551021</v>
      </c>
      <c r="M10" s="1"/>
    </row>
    <row r="11" spans="1:13" x14ac:dyDescent="0.3">
      <c r="A11" s="5" t="s">
        <v>26</v>
      </c>
      <c r="B11" s="63">
        <f>((10*(10*E10*'Smithing Calcs'!H32/28)/10)+(10*(10*E11*'Smithing Calcs'!H31/28))+((10*E10*'Smithing Calcs'!H32/28)*(10*E11*'Smithing Calcs'!H31/28)))/10</f>
        <v>66.34693877551021</v>
      </c>
      <c r="C11" s="1"/>
      <c r="D11" s="2" t="s">
        <v>27</v>
      </c>
      <c r="E11" s="2">
        <v>5</v>
      </c>
      <c r="F11" s="1"/>
      <c r="G11" s="1"/>
      <c r="H11" s="1"/>
      <c r="I11" s="1"/>
      <c r="J11" s="1"/>
      <c r="K11" s="6" t="s">
        <v>28</v>
      </c>
      <c r="L11" s="4">
        <f>IF('Smithing Calcs'!L31=0,B12+$H$8,B12+$I$8)</f>
        <v>146.36224489795919</v>
      </c>
      <c r="M11" s="1"/>
    </row>
    <row r="12" spans="1:13" x14ac:dyDescent="0.3">
      <c r="A12" s="5" t="s">
        <v>28</v>
      </c>
      <c r="B12" s="63">
        <f>((10*(10*E11*'Smithing Calcs'!H28/28)/10)+(10*(10*E12*'Smithing Calcs'!H27/28))+((10*E11*'Smithing Calcs'!H28/28)*(10*E12*'Smithing Calcs'!H27/28)))/10</f>
        <v>88.112244897959187</v>
      </c>
      <c r="C12" s="1"/>
      <c r="D12" s="2" t="s">
        <v>29</v>
      </c>
      <c r="E12" s="2">
        <v>6</v>
      </c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52" t="s">
        <v>30</v>
      </c>
      <c r="B17" s="152"/>
      <c r="C17" s="1"/>
      <c r="D17" s="153" t="s">
        <v>101</v>
      </c>
      <c r="E17" s="154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5" t="s">
        <v>16</v>
      </c>
      <c r="B18" s="5">
        <v>6.2</v>
      </c>
      <c r="C18" s="1"/>
      <c r="D18" s="5" t="s">
        <v>16</v>
      </c>
      <c r="E18" s="5">
        <v>12.5</v>
      </c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5" t="s">
        <v>20</v>
      </c>
      <c r="B19" s="5">
        <v>12.5</v>
      </c>
      <c r="C19" s="1"/>
      <c r="D19" s="5" t="s">
        <v>20</v>
      </c>
      <c r="E19" s="5">
        <v>25</v>
      </c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5" t="s">
        <v>23</v>
      </c>
      <c r="B20" s="5">
        <v>17.5</v>
      </c>
      <c r="C20" s="1"/>
      <c r="D20" s="5" t="s">
        <v>23</v>
      </c>
      <c r="E20" s="5">
        <v>37.5</v>
      </c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5" t="s">
        <v>25</v>
      </c>
      <c r="B21" s="5">
        <v>30</v>
      </c>
      <c r="C21" s="1"/>
      <c r="D21" s="5" t="s">
        <v>25</v>
      </c>
      <c r="E21" s="5">
        <v>50</v>
      </c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5" t="s">
        <v>31</v>
      </c>
      <c r="B22" s="5">
        <v>37.5</v>
      </c>
      <c r="C22" s="1"/>
      <c r="D22" s="5" t="s">
        <v>31</v>
      </c>
      <c r="E22" s="5">
        <v>62.5</v>
      </c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5" t="s">
        <v>29</v>
      </c>
      <c r="B23" s="5">
        <v>50</v>
      </c>
      <c r="C23" s="1"/>
      <c r="D23" s="5" t="s">
        <v>29</v>
      </c>
      <c r="E23" s="5">
        <v>75</v>
      </c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5" t="s">
        <v>92</v>
      </c>
      <c r="B24" s="5">
        <v>13.67</v>
      </c>
      <c r="C24" s="1"/>
      <c r="D24" s="5" t="s">
        <v>102</v>
      </c>
      <c r="E24" s="5">
        <v>25.5</v>
      </c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5" t="s">
        <v>99</v>
      </c>
      <c r="B25" s="5">
        <v>22.5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5" t="s">
        <v>100</v>
      </c>
      <c r="B26" s="5">
        <v>56.2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85" t="s">
        <v>110</v>
      </c>
      <c r="B38" s="1"/>
      <c r="C38" s="1"/>
      <c r="D38" s="85" t="s">
        <v>111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5" t="s">
        <v>105</v>
      </c>
      <c r="B39" s="1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5" t="s">
        <v>106</v>
      </c>
      <c r="B40" s="1"/>
      <c r="C40" s="1"/>
      <c r="D40" s="5">
        <v>1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5">
        <v>2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5">
        <v>3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5">
        <v>5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9">
    <mergeCell ref="A17:B17"/>
    <mergeCell ref="D17:E17"/>
    <mergeCell ref="A1:L1"/>
    <mergeCell ref="D6:E6"/>
    <mergeCell ref="K6:L6"/>
    <mergeCell ref="A7:B7"/>
    <mergeCell ref="G8:G10"/>
    <mergeCell ref="H8:H10"/>
    <mergeCell ref="I8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Smithing Calcs</vt:lpstr>
      <vt:lpstr>Levels</vt:lpstr>
      <vt:lpstr>Static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2023-03-09T18:39:06Z</dcterms:created>
  <dcterms:modified xsi:type="dcterms:W3CDTF">2023-03-11T22:54:54Z</dcterms:modified>
</cp:coreProperties>
</file>