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SUS\Downloads\KP\Laporan KP\"/>
    </mc:Choice>
  </mc:AlternateContent>
  <xr:revisionPtr revIDLastSave="0" documentId="13_ncr:1_{9772F701-AAC2-403E-9BAA-0EF9F2F7131C}" xr6:coauthVersionLast="47" xr6:coauthVersionMax="47" xr10:uidLastSave="{00000000-0000-0000-0000-000000000000}"/>
  <bookViews>
    <workbookView xWindow="-110" yWindow="-110" windowWidth="19420" windowHeight="10300" activeTab="2" xr2:uid="{EDDAE4F0-55F7-4481-BE4D-F661689E499D}"/>
  </bookViews>
  <sheets>
    <sheet name="Data 1" sheetId="1" r:id="rId1"/>
    <sheet name="Data 2" sheetId="4" state="hidden" r:id="rId2"/>
    <sheet name="Dashboard" sheetId="5" r:id="rId3"/>
    <sheet name="Pivot Table" sheetId="6" r:id="rId4"/>
  </sheets>
  <definedNames>
    <definedName name="Slicer_Tahu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 i="1" l="1"/>
  <c r="Q8" i="1"/>
  <c r="Q9" i="1"/>
  <c r="Q10" i="1"/>
  <c r="Q11" i="1"/>
  <c r="Q12" i="1"/>
  <c r="Q13" i="1"/>
  <c r="R21" i="1"/>
  <c r="R22" i="1"/>
  <c r="C19" i="1"/>
  <c r="B19" i="1"/>
  <c r="H19" i="1"/>
  <c r="I19" i="1"/>
  <c r="J19" i="1"/>
  <c r="K19" i="1"/>
  <c r="L19" i="1"/>
  <c r="M19" i="1"/>
  <c r="N19" i="1"/>
  <c r="D19" i="1"/>
  <c r="G19" i="1"/>
  <c r="C18" i="1"/>
  <c r="D18" i="1"/>
  <c r="G18" i="1"/>
  <c r="H18" i="1"/>
  <c r="I18" i="1"/>
  <c r="J18" i="1"/>
  <c r="K18" i="1"/>
  <c r="L18" i="1"/>
  <c r="M18" i="1"/>
  <c r="N18" i="1"/>
  <c r="B18" i="1"/>
  <c r="C17" i="1"/>
  <c r="D17" i="1"/>
  <c r="G17" i="1"/>
  <c r="H17" i="1"/>
  <c r="I17" i="1"/>
  <c r="J17" i="1"/>
  <c r="K17" i="1"/>
  <c r="L17" i="1"/>
  <c r="M17" i="1"/>
  <c r="N17" i="1"/>
  <c r="B17" i="1"/>
  <c r="C16" i="1"/>
  <c r="D16" i="1"/>
  <c r="G16" i="1"/>
  <c r="H16" i="1"/>
  <c r="I16" i="1"/>
  <c r="J16" i="1"/>
  <c r="K16" i="1"/>
  <c r="L16" i="1"/>
  <c r="M16" i="1"/>
  <c r="N16" i="1"/>
  <c r="B16" i="1"/>
  <c r="C15" i="1"/>
  <c r="D15" i="1"/>
  <c r="G15" i="1"/>
  <c r="H15" i="1"/>
  <c r="I15" i="1"/>
  <c r="J15" i="1"/>
  <c r="K15" i="1"/>
  <c r="L15" i="1"/>
  <c r="M15" i="1"/>
  <c r="N15" i="1"/>
  <c r="B15" i="1"/>
  <c r="D102" i="6"/>
  <c r="E102" i="6"/>
  <c r="F31" i="6"/>
  <c r="G31" i="6"/>
  <c r="H31" i="6"/>
  <c r="F32" i="6"/>
  <c r="G32" i="6"/>
  <c r="H32" i="6"/>
  <c r="F33" i="6"/>
  <c r="G33" i="6"/>
  <c r="H33" i="6"/>
  <c r="F34" i="6"/>
  <c r="G34" i="6"/>
  <c r="H34" i="6"/>
  <c r="F35" i="6"/>
  <c r="G35" i="6"/>
  <c r="H35" i="6"/>
  <c r="F36" i="6"/>
  <c r="G36" i="6"/>
  <c r="H36" i="6"/>
  <c r="F37" i="6"/>
  <c r="G37" i="6"/>
  <c r="H37" i="6"/>
  <c r="F38" i="6"/>
  <c r="G38" i="6"/>
  <c r="H38" i="6"/>
  <c r="F39" i="6"/>
  <c r="G39" i="6"/>
  <c r="H39" i="6"/>
  <c r="F40" i="6"/>
  <c r="G40" i="6"/>
  <c r="H40" i="6"/>
  <c r="F41" i="6"/>
  <c r="G41" i="6"/>
  <c r="H41" i="6"/>
  <c r="F42" i="6"/>
  <c r="G42" i="6"/>
  <c r="H42" i="6"/>
  <c r="E2" i="1"/>
  <c r="F2" i="1"/>
  <c r="E3" i="1"/>
  <c r="F3" i="1"/>
  <c r="E4" i="1"/>
  <c r="F4" i="1"/>
  <c r="I4" i="1"/>
  <c r="J4" i="1"/>
  <c r="K4" i="1"/>
  <c r="L4" i="1"/>
  <c r="E5" i="1"/>
  <c r="F5" i="1"/>
  <c r="E6" i="1"/>
  <c r="F6" i="1"/>
  <c r="E7" i="1"/>
  <c r="F7" i="1"/>
  <c r="E8" i="1"/>
  <c r="E9" i="1"/>
  <c r="L9" i="1"/>
  <c r="E10" i="1"/>
  <c r="I10" i="1"/>
  <c r="J10" i="1"/>
  <c r="K10" i="1"/>
  <c r="L10" i="1"/>
  <c r="E11" i="1"/>
  <c r="I11" i="1"/>
  <c r="J11" i="1"/>
  <c r="K11" i="1"/>
  <c r="L11" i="1"/>
  <c r="E12" i="1"/>
  <c r="I12" i="1"/>
  <c r="J12" i="1"/>
  <c r="K12" i="1"/>
  <c r="L12" i="1"/>
  <c r="E13" i="1"/>
  <c r="I13" i="1"/>
  <c r="J13" i="1"/>
  <c r="K13" i="1"/>
  <c r="L13" i="1"/>
  <c r="F50" i="6"/>
  <c r="F51" i="6"/>
  <c r="F52" i="6"/>
  <c r="F53" i="6"/>
  <c r="F54" i="6"/>
  <c r="F55" i="6"/>
  <c r="F56" i="6"/>
  <c r="F57" i="6"/>
  <c r="F58" i="6"/>
  <c r="F59" i="6"/>
  <c r="F60" i="6"/>
  <c r="C74" i="6"/>
  <c r="C75" i="6"/>
  <c r="C76" i="6"/>
  <c r="C77" i="6"/>
  <c r="E49" i="6"/>
  <c r="E50" i="6"/>
  <c r="E51" i="6"/>
  <c r="E52" i="6"/>
  <c r="E53" i="6"/>
  <c r="E54" i="6"/>
  <c r="E55" i="6"/>
  <c r="E56" i="6"/>
  <c r="E57" i="6"/>
  <c r="E58" i="6"/>
  <c r="E59" i="6"/>
  <c r="E60" i="6"/>
  <c r="E61" i="6"/>
  <c r="F61" i="6"/>
  <c r="AH16" i="5"/>
  <c r="D3" i="4"/>
  <c r="D4" i="4"/>
  <c r="D5" i="4"/>
  <c r="D6" i="4"/>
  <c r="D7" i="4"/>
  <c r="D8" i="4"/>
  <c r="D9" i="4"/>
  <c r="D2"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D97" i="4"/>
  <c r="D96" i="4"/>
  <c r="D95" i="4"/>
  <c r="D94" i="4"/>
  <c r="D93" i="4"/>
  <c r="D92" i="4"/>
  <c r="D91" i="4"/>
  <c r="D90" i="4"/>
  <c r="C97" i="4"/>
  <c r="E97" i="4" s="1"/>
  <c r="C96" i="4"/>
  <c r="E96" i="4" s="1"/>
  <c r="C95" i="4"/>
  <c r="E95" i="4" s="1"/>
  <c r="C94" i="4"/>
  <c r="E94" i="4" s="1"/>
  <c r="C93" i="4"/>
  <c r="E93" i="4" s="1"/>
  <c r="C92" i="4"/>
  <c r="E92" i="4" s="1"/>
  <c r="C91" i="4"/>
  <c r="E91" i="4" s="1"/>
  <c r="C90" i="4"/>
  <c r="E90" i="4" s="1"/>
  <c r="D89" i="4"/>
  <c r="D88" i="4"/>
  <c r="D87" i="4"/>
  <c r="D86" i="4"/>
  <c r="D85" i="4"/>
  <c r="D84" i="4"/>
  <c r="D83" i="4"/>
  <c r="D82" i="4"/>
  <c r="C89" i="4"/>
  <c r="E89" i="4" s="1"/>
  <c r="C88" i="4"/>
  <c r="E88" i="4" s="1"/>
  <c r="C87" i="4"/>
  <c r="E87" i="4" s="1"/>
  <c r="C86" i="4"/>
  <c r="E86" i="4" s="1"/>
  <c r="C85" i="4"/>
  <c r="E85" i="4" s="1"/>
  <c r="C84" i="4"/>
  <c r="E84" i="4" s="1"/>
  <c r="C83" i="4"/>
  <c r="E83" i="4" s="1"/>
  <c r="C82" i="4"/>
  <c r="E82" i="4" s="1"/>
  <c r="D81" i="4"/>
  <c r="D80" i="4"/>
  <c r="D79" i="4"/>
  <c r="D78" i="4"/>
  <c r="D77" i="4"/>
  <c r="D76" i="4"/>
  <c r="D75" i="4"/>
  <c r="D74" i="4"/>
  <c r="C81" i="4"/>
  <c r="E81" i="4" s="1"/>
  <c r="C80" i="4"/>
  <c r="E80" i="4" s="1"/>
  <c r="C79" i="4"/>
  <c r="E79" i="4" s="1"/>
  <c r="C78" i="4"/>
  <c r="E78" i="4" s="1"/>
  <c r="C77" i="4"/>
  <c r="E77" i="4" s="1"/>
  <c r="C76" i="4"/>
  <c r="E76" i="4" s="1"/>
  <c r="C75" i="4"/>
  <c r="E75" i="4" s="1"/>
  <c r="C74" i="4"/>
  <c r="E74" i="4" s="1"/>
  <c r="D73" i="4"/>
  <c r="D72" i="4"/>
  <c r="D71" i="4"/>
  <c r="D70" i="4"/>
  <c r="D69" i="4"/>
  <c r="D68" i="4"/>
  <c r="D67" i="4"/>
  <c r="D66" i="4"/>
  <c r="C73" i="4"/>
  <c r="E73" i="4" s="1"/>
  <c r="C72" i="4"/>
  <c r="E72" i="4" s="1"/>
  <c r="C71" i="4"/>
  <c r="E71" i="4" s="1"/>
  <c r="C70" i="4"/>
  <c r="E70" i="4" s="1"/>
  <c r="C69" i="4"/>
  <c r="E69" i="4" s="1"/>
  <c r="C68" i="4"/>
  <c r="E68" i="4" s="1"/>
  <c r="C67" i="4"/>
  <c r="E67" i="4" s="1"/>
  <c r="C66" i="4"/>
  <c r="E66" i="4" s="1"/>
  <c r="D65" i="4"/>
  <c r="D64" i="4"/>
  <c r="D63" i="4"/>
  <c r="D62" i="4"/>
  <c r="D61" i="4"/>
  <c r="D60" i="4"/>
  <c r="D59" i="4"/>
  <c r="D58" i="4"/>
  <c r="C65" i="4"/>
  <c r="E65" i="4" s="1"/>
  <c r="C64" i="4"/>
  <c r="E64" i="4" s="1"/>
  <c r="C63" i="4"/>
  <c r="E63" i="4" s="1"/>
  <c r="C62" i="4"/>
  <c r="E62" i="4" s="1"/>
  <c r="C61" i="4"/>
  <c r="E61" i="4" s="1"/>
  <c r="C60" i="4"/>
  <c r="E60" i="4" s="1"/>
  <c r="C59" i="4"/>
  <c r="E59" i="4" s="1"/>
  <c r="C58" i="4"/>
  <c r="E58" i="4" s="1"/>
  <c r="D57" i="4"/>
  <c r="D56" i="4"/>
  <c r="D55" i="4"/>
  <c r="D54" i="4"/>
  <c r="D53" i="4"/>
  <c r="D52" i="4"/>
  <c r="D51" i="4"/>
  <c r="D50" i="4"/>
  <c r="C57" i="4"/>
  <c r="E57" i="4" s="1"/>
  <c r="C56" i="4"/>
  <c r="E56" i="4" s="1"/>
  <c r="C55" i="4"/>
  <c r="E55" i="4" s="1"/>
  <c r="C54" i="4"/>
  <c r="E54" i="4" s="1"/>
  <c r="C53" i="4"/>
  <c r="E53" i="4" s="1"/>
  <c r="C52" i="4"/>
  <c r="E52" i="4" s="1"/>
  <c r="C51" i="4"/>
  <c r="E51" i="4" s="1"/>
  <c r="C50" i="4"/>
  <c r="E50" i="4" s="1"/>
  <c r="D49" i="4"/>
  <c r="D48" i="4"/>
  <c r="D47" i="4"/>
  <c r="D46" i="4"/>
  <c r="D45" i="4"/>
  <c r="D44" i="4"/>
  <c r="D43" i="4"/>
  <c r="D42" i="4"/>
  <c r="C49" i="4"/>
  <c r="E49" i="4" s="1"/>
  <c r="C48" i="4"/>
  <c r="E48" i="4" s="1"/>
  <c r="C47" i="4"/>
  <c r="E47" i="4" s="1"/>
  <c r="C46" i="4"/>
  <c r="E46" i="4" s="1"/>
  <c r="C45" i="4"/>
  <c r="E45" i="4" s="1"/>
  <c r="C44" i="4"/>
  <c r="E44" i="4" s="1"/>
  <c r="C43" i="4"/>
  <c r="E43" i="4" s="1"/>
  <c r="C42" i="4"/>
  <c r="E42" i="4" s="1"/>
  <c r="F19" i="1" l="1"/>
  <c r="F18" i="1"/>
  <c r="E19" i="1"/>
  <c r="E18" i="1"/>
  <c r="F17" i="1"/>
  <c r="F16" i="1"/>
  <c r="F15" i="1"/>
  <c r="E17" i="1"/>
  <c r="E16" i="1"/>
  <c r="E15" i="1"/>
</calcChain>
</file>

<file path=xl/sharedStrings.xml><?xml version="1.0" encoding="utf-8"?>
<sst xmlns="http://schemas.openxmlformats.org/spreadsheetml/2006/main" count="179" uniqueCount="49">
  <si>
    <t>Tahun</t>
  </si>
  <si>
    <t>Jumlah Penduduk</t>
  </si>
  <si>
    <t>Laki-laki</t>
  </si>
  <si>
    <t>Perempuan</t>
  </si>
  <si>
    <t>Sex Rasio</t>
  </si>
  <si>
    <t>Kepadatan Penduduk</t>
  </si>
  <si>
    <t>Laju Pertumbuhan</t>
  </si>
  <si>
    <t>Pertumbuhan Ekonomi</t>
  </si>
  <si>
    <t>TK/RA</t>
  </si>
  <si>
    <t>SD/MI</t>
  </si>
  <si>
    <t>SMP/MTs</t>
  </si>
  <si>
    <t>SMA/SMK/MA</t>
  </si>
  <si>
    <t>L</t>
  </si>
  <si>
    <t>P</t>
  </si>
  <si>
    <t>Umur</t>
  </si>
  <si>
    <t xml:space="preserve"> 10-19</t>
  </si>
  <si>
    <t xml:space="preserve"> 0 - 9</t>
  </si>
  <si>
    <t xml:space="preserve"> 20-29</t>
  </si>
  <si>
    <t xml:space="preserve"> 30-39</t>
  </si>
  <si>
    <t xml:space="preserve"> 40-49</t>
  </si>
  <si>
    <t xml:space="preserve"> 50-59</t>
  </si>
  <si>
    <t xml:space="preserve"> 60-69</t>
  </si>
  <si>
    <t xml:space="preserve"> 70+</t>
  </si>
  <si>
    <t>Row Labels</t>
  </si>
  <si>
    <t>Grand Total</t>
  </si>
  <si>
    <t>Sum of Jumlah Penduduk</t>
  </si>
  <si>
    <t>Sum of Laki-laki</t>
  </si>
  <si>
    <t>Sum of Perempuan</t>
  </si>
  <si>
    <t>Sum of Sex Rasio</t>
  </si>
  <si>
    <t>Sum of Kepadatan Penduduk</t>
  </si>
  <si>
    <t>Sum of Laju Pertumbuhan</t>
  </si>
  <si>
    <t>Sum of Pertumbuhan Ekonomi</t>
  </si>
  <si>
    <t>Sum of TK/RA</t>
  </si>
  <si>
    <t>Sum of SD/MI</t>
  </si>
  <si>
    <t>Sum of SMP/MTs</t>
  </si>
  <si>
    <t>Sum of SMA/SMK/MA</t>
  </si>
  <si>
    <t>Values</t>
  </si>
  <si>
    <t>PDRB</t>
  </si>
  <si>
    <t>Sum of PDRB</t>
  </si>
  <si>
    <t xml:space="preserve"> </t>
  </si>
  <si>
    <t>Tingkat Pengangguran</t>
  </si>
  <si>
    <t>Sum of Tingkat Pengangguran</t>
  </si>
  <si>
    <t>Column1</t>
  </si>
  <si>
    <t>(All)</t>
  </si>
  <si>
    <t>Bukan Usia Kerja</t>
  </si>
  <si>
    <t>Pengangguran Sukarela</t>
  </si>
  <si>
    <t>Pengangguran Terbuka</t>
  </si>
  <si>
    <t>Bekerja</t>
  </si>
  <si>
    <t>Angkatan Kerja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</si>
</sst>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2" formatCode="_-&quot;Rp&quot;* #,##0_-;\-&quot;Rp&quot;* #,##0_-;_-&quot;Rp&quot;* &quot;-&quot;_-;_-@_-"/>
  </numFmts>
  <fonts count="5"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8"/>
      <name val="Calibri"/>
      <family val="2"/>
      <scheme val="minor"/>
    </font>
  </fonts>
  <fills count="3">
    <fill>
      <patternFill patternType="none"/>
    </fill>
    <fill>
      <patternFill patternType="gray125"/>
    </fill>
    <fill>
      <patternFill patternType="solid">
        <fgColor rgb="FF240C29"/>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applyAlignment="1">
      <alignment horizontal="center" vertical="center" wrapText="1"/>
    </xf>
    <xf numFmtId="0" fontId="3" fillId="0" borderId="0" xfId="0" applyFont="1" applyAlignment="1">
      <alignment horizontal="center"/>
    </xf>
    <xf numFmtId="1" fontId="3" fillId="0" borderId="0" xfId="0" applyNumberFormat="1" applyFont="1" applyAlignment="1">
      <alignment horizont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1" fillId="0" borderId="0" xfId="0" applyFont="1" applyAlignment="1">
      <alignment horizontal="center"/>
    </xf>
    <xf numFmtId="17" fontId="0" fillId="0" borderId="0" xfId="0" applyNumberFormat="1"/>
    <xf numFmtId="0" fontId="0" fillId="2" borderId="0" xfId="0" applyFill="1"/>
    <xf numFmtId="0" fontId="0" fillId="0" borderId="0" xfId="0" pivotButton="1"/>
    <xf numFmtId="0" fontId="0" fillId="0" borderId="0" xfId="0" applyAlignment="1">
      <alignment horizontal="left"/>
    </xf>
    <xf numFmtId="3" fontId="0" fillId="0" borderId="0" xfId="0" applyNumberFormat="1"/>
    <xf numFmtId="3" fontId="0" fillId="2" borderId="0" xfId="0" applyNumberFormat="1" applyFill="1"/>
    <xf numFmtId="2" fontId="0" fillId="0" borderId="0" xfId="0" applyNumberFormat="1"/>
    <xf numFmtId="1" fontId="0" fillId="0" borderId="0" xfId="0" applyNumberFormat="1"/>
    <xf numFmtId="4" fontId="0" fillId="0" borderId="0" xfId="0" applyNumberFormat="1"/>
    <xf numFmtId="4" fontId="3" fillId="0" borderId="0" xfId="0" applyNumberFormat="1" applyFont="1" applyAlignment="1">
      <alignment horizontal="center"/>
    </xf>
    <xf numFmtId="42" fontId="0" fillId="0" borderId="0" xfId="0" applyNumberFormat="1"/>
    <xf numFmtId="0" fontId="0" fillId="0" borderId="0" xfId="0" applyNumberFormat="1"/>
  </cellXfs>
  <cellStyles count="1">
    <cellStyle name="Normal" xfId="0" builtinId="0"/>
  </cellStyles>
  <dxfs count="27">
    <dxf>
      <numFmt numFmtId="32" formatCode="_-&quot;Rp&quot;* #,##0_-;\-&quot;Rp&quot;* #,##0_-;_-&quot;Rp&quot;* &quot;-&quot;_-;_-@_-"/>
    </dxf>
    <dxf>
      <numFmt numFmtId="22" formatCode="mmm\-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i val="0"/>
        <sz val="14"/>
        <color theme="0"/>
        <name val="Almond Nougat"/>
        <scheme val="none"/>
      </font>
      <fill>
        <patternFill>
          <bgColor rgb="FFCC0099"/>
        </patternFill>
      </fill>
    </dxf>
    <dxf>
      <font>
        <b/>
        <i val="0"/>
        <sz val="14"/>
        <color theme="0"/>
        <name val="Almond Nougat"/>
        <scheme val="none"/>
      </font>
      <fill>
        <patternFill patternType="solid">
          <fgColor auto="1"/>
          <bgColor rgb="FF371542"/>
        </patternFill>
      </fill>
    </dxf>
  </dxfs>
  <tableStyles count="1" defaultTableStyle="TableStyleMedium2" defaultPivotStyle="PivotStyleLight16">
    <tableStyle name="Slicer Style 1" pivot="0" table="0" count="8" xr9:uid="{6CDCC0CD-ECB4-4AF8-8C5F-D093F7DC5C19}">
      <tableStyleElement type="wholeTable" dxfId="26"/>
      <tableStyleElement type="headerRow" dxfId="25"/>
    </tableStyle>
  </tableStyles>
  <colors>
    <mruColors>
      <color rgb="FFF4CADE"/>
      <color rgb="FF371542"/>
      <color rgb="FF660066"/>
      <color rgb="FFFFCC99"/>
      <color rgb="FFCC0099"/>
      <color rgb="FF800080"/>
      <color rgb="FFFF99CC"/>
      <color rgb="FFFFCCCC"/>
      <color rgb="FFFF6699"/>
      <color rgb="FFFFCC66"/>
    </mruColors>
  </colors>
  <extLst>
    <ext xmlns:x14="http://schemas.microsoft.com/office/spreadsheetml/2009/9/main" uri="{46F421CA-312F-682f-3DD2-61675219B42D}">
      <x14:dxfs count="6">
        <dxf>
          <fill>
            <patternFill>
              <bgColor rgb="FFFF99CC"/>
            </patternFill>
          </fill>
        </dxf>
        <dxf>
          <fill>
            <patternFill>
              <bgColor rgb="FFFF99CC"/>
            </patternFill>
          </fill>
        </dxf>
        <dxf>
          <fill>
            <patternFill>
              <bgColor rgb="FFFF99CC"/>
            </patternFill>
          </fill>
        </dxf>
        <dxf>
          <font>
            <b/>
            <i val="0"/>
            <sz val="14"/>
            <color theme="0"/>
            <name val="Almond Nougat"/>
            <scheme val="none"/>
          </font>
          <fill>
            <patternFill>
              <bgColor rgb="FFCC0099"/>
            </patternFill>
          </fill>
        </dxf>
        <dxf>
          <font>
            <b/>
            <i val="0"/>
            <sz val="14"/>
            <color theme="0"/>
            <name val="Almond Nougat"/>
            <scheme val="none"/>
          </font>
          <fill>
            <patternFill>
              <bgColor rgb="FFFF99CC"/>
            </patternFill>
          </fill>
        </dxf>
        <dxf>
          <font>
            <b/>
            <i val="0"/>
            <sz val="14"/>
            <color theme="0"/>
            <name val="Almond Nougat"/>
            <scheme val="none"/>
          </font>
          <fill>
            <patternFill>
              <bgColor rgb="FFCC009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1'!$B$1</c:f>
              <c:strCache>
                <c:ptCount val="1"/>
                <c:pt idx="0">
                  <c:v>Jumlah Penduduk</c:v>
                </c:pt>
              </c:strCache>
            </c:strRef>
          </c:tx>
          <c:spPr>
            <a:solidFill>
              <a:srgbClr val="660066"/>
            </a:solidFill>
            <a:ln>
              <a:solidFill>
                <a:srgbClr val="660066"/>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1'!$B$2:$B$13</c:f>
              <c:numCache>
                <c:formatCode>0</c:formatCode>
                <c:ptCount val="12"/>
                <c:pt idx="0">
                  <c:v>1512610</c:v>
                </c:pt>
                <c:pt idx="1">
                  <c:v>1521895</c:v>
                </c:pt>
                <c:pt idx="2">
                  <c:v>1530504</c:v>
                </c:pt>
                <c:pt idx="3">
                  <c:v>1538929</c:v>
                </c:pt>
                <c:pt idx="4">
                  <c:v>1546883</c:v>
                </c:pt>
                <c:pt idx="5">
                  <c:v>1554385</c:v>
                </c:pt>
                <c:pt idx="6">
                  <c:v>1561392</c:v>
                </c:pt>
                <c:pt idx="7">
                  <c:v>1568113</c:v>
                </c:pt>
                <c:pt idx="8">
                  <c:v>1574272</c:v>
                </c:pt>
                <c:pt idx="9">
                  <c:v>1635294</c:v>
                </c:pt>
                <c:pt idx="10">
                  <c:v>1644400</c:v>
                </c:pt>
                <c:pt idx="11">
                  <c:v>1656020</c:v>
                </c:pt>
              </c:numCache>
            </c:numRef>
          </c:val>
          <c:extLst>
            <c:ext xmlns:c16="http://schemas.microsoft.com/office/drawing/2014/chart" uri="{C3380CC4-5D6E-409C-BE32-E72D297353CC}">
              <c16:uniqueId val="{00000000-619B-44C3-AAE2-270D284D3BCA}"/>
            </c:ext>
          </c:extLst>
        </c:ser>
        <c:dLbls>
          <c:showLegendKey val="0"/>
          <c:showVal val="0"/>
          <c:showCatName val="0"/>
          <c:showSerName val="0"/>
          <c:showPercent val="0"/>
          <c:showBubbleSize val="0"/>
        </c:dLbls>
        <c:gapWidth val="219"/>
        <c:overlap val="-27"/>
        <c:axId val="481671568"/>
        <c:axId val="2134910400"/>
      </c:barChart>
      <c:catAx>
        <c:axId val="48167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34910400"/>
        <c:crosses val="autoZero"/>
        <c:auto val="1"/>
        <c:lblAlgn val="ctr"/>
        <c:lblOffset val="100"/>
        <c:noMultiLvlLbl val="0"/>
      </c:catAx>
      <c:valAx>
        <c:axId val="213491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816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1'!$J$1</c:f>
              <c:strCache>
                <c:ptCount val="1"/>
                <c:pt idx="0">
                  <c:v>SD/MI</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1'!$J$2:$J$13</c:f>
              <c:numCache>
                <c:formatCode>General</c:formatCode>
                <c:ptCount val="12"/>
                <c:pt idx="0">
                  <c:v>876</c:v>
                </c:pt>
                <c:pt idx="1">
                  <c:v>874</c:v>
                </c:pt>
                <c:pt idx="2">
                  <c:v>885</c:v>
                </c:pt>
                <c:pt idx="3">
                  <c:v>884</c:v>
                </c:pt>
                <c:pt idx="4">
                  <c:v>887</c:v>
                </c:pt>
                <c:pt idx="5">
                  <c:v>898</c:v>
                </c:pt>
                <c:pt idx="6">
                  <c:v>907</c:v>
                </c:pt>
                <c:pt idx="7">
                  <c:v>912</c:v>
                </c:pt>
                <c:pt idx="8">
                  <c:v>930</c:v>
                </c:pt>
                <c:pt idx="9">
                  <c:v>928</c:v>
                </c:pt>
                <c:pt idx="10">
                  <c:v>937</c:v>
                </c:pt>
                <c:pt idx="11">
                  <c:v>942</c:v>
                </c:pt>
              </c:numCache>
            </c:numRef>
          </c:val>
          <c:extLst>
            <c:ext xmlns:c16="http://schemas.microsoft.com/office/drawing/2014/chart" uri="{C3380CC4-5D6E-409C-BE32-E72D297353CC}">
              <c16:uniqueId val="{00000000-B22B-4937-8FC8-115A16B3174C}"/>
            </c:ext>
          </c:extLst>
        </c:ser>
        <c:dLbls>
          <c:showLegendKey val="0"/>
          <c:showVal val="0"/>
          <c:showCatName val="0"/>
          <c:showSerName val="0"/>
          <c:showPercent val="0"/>
          <c:showBubbleSize val="0"/>
        </c:dLbls>
        <c:gapWidth val="219"/>
        <c:overlap val="-27"/>
        <c:axId val="554010864"/>
        <c:axId val="1958104080"/>
      </c:barChart>
      <c:catAx>
        <c:axId val="5540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8104080"/>
        <c:crosses val="autoZero"/>
        <c:auto val="1"/>
        <c:lblAlgn val="ctr"/>
        <c:lblOffset val="100"/>
        <c:noMultiLvlLbl val="0"/>
      </c:catAx>
      <c:valAx>
        <c:axId val="195810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401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1'!$K$1</c:f>
              <c:strCache>
                <c:ptCount val="1"/>
                <c:pt idx="0">
                  <c:v>SMP/MTs</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1'!$K$2:$K$13</c:f>
              <c:numCache>
                <c:formatCode>General</c:formatCode>
                <c:ptCount val="12"/>
                <c:pt idx="0">
                  <c:v>194</c:v>
                </c:pt>
                <c:pt idx="1">
                  <c:v>189</c:v>
                </c:pt>
                <c:pt idx="2">
                  <c:v>193</c:v>
                </c:pt>
                <c:pt idx="3">
                  <c:v>187</c:v>
                </c:pt>
                <c:pt idx="4">
                  <c:v>187</c:v>
                </c:pt>
                <c:pt idx="5">
                  <c:v>197</c:v>
                </c:pt>
                <c:pt idx="6">
                  <c:v>198</c:v>
                </c:pt>
                <c:pt idx="7">
                  <c:v>197</c:v>
                </c:pt>
                <c:pt idx="8">
                  <c:v>207</c:v>
                </c:pt>
                <c:pt idx="9">
                  <c:v>203</c:v>
                </c:pt>
                <c:pt idx="10">
                  <c:v>218</c:v>
                </c:pt>
                <c:pt idx="11">
                  <c:v>215</c:v>
                </c:pt>
              </c:numCache>
            </c:numRef>
          </c:val>
          <c:extLst>
            <c:ext xmlns:c16="http://schemas.microsoft.com/office/drawing/2014/chart" uri="{C3380CC4-5D6E-409C-BE32-E72D297353CC}">
              <c16:uniqueId val="{00000000-2C8E-449A-98D1-B355ADA6C3F1}"/>
            </c:ext>
          </c:extLst>
        </c:ser>
        <c:dLbls>
          <c:showLegendKey val="0"/>
          <c:showVal val="0"/>
          <c:showCatName val="0"/>
          <c:showSerName val="0"/>
          <c:showPercent val="0"/>
          <c:showBubbleSize val="0"/>
        </c:dLbls>
        <c:gapWidth val="219"/>
        <c:overlap val="-27"/>
        <c:axId val="737042608"/>
        <c:axId val="1935440224"/>
      </c:barChart>
      <c:catAx>
        <c:axId val="7370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5440224"/>
        <c:crosses val="autoZero"/>
        <c:auto val="1"/>
        <c:lblAlgn val="ctr"/>
        <c:lblOffset val="100"/>
        <c:noMultiLvlLbl val="0"/>
      </c:catAx>
      <c:valAx>
        <c:axId val="19354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704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1'!$L$1</c:f>
              <c:strCache>
                <c:ptCount val="1"/>
                <c:pt idx="0">
                  <c:v>SMA/SMK/MA</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1'!$L$2:$L$13</c:f>
              <c:numCache>
                <c:formatCode>General</c:formatCode>
                <c:ptCount val="12"/>
                <c:pt idx="0">
                  <c:v>95</c:v>
                </c:pt>
                <c:pt idx="1">
                  <c:v>96</c:v>
                </c:pt>
                <c:pt idx="2">
                  <c:v>102</c:v>
                </c:pt>
                <c:pt idx="3">
                  <c:v>106</c:v>
                </c:pt>
                <c:pt idx="4">
                  <c:v>112</c:v>
                </c:pt>
                <c:pt idx="5">
                  <c:v>113</c:v>
                </c:pt>
                <c:pt idx="6">
                  <c:v>112</c:v>
                </c:pt>
                <c:pt idx="7">
                  <c:v>129</c:v>
                </c:pt>
                <c:pt idx="8">
                  <c:v>129</c:v>
                </c:pt>
                <c:pt idx="9">
                  <c:v>129</c:v>
                </c:pt>
                <c:pt idx="10">
                  <c:v>130</c:v>
                </c:pt>
                <c:pt idx="11">
                  <c:v>130</c:v>
                </c:pt>
              </c:numCache>
            </c:numRef>
          </c:val>
          <c:extLst>
            <c:ext xmlns:c16="http://schemas.microsoft.com/office/drawing/2014/chart" uri="{C3380CC4-5D6E-409C-BE32-E72D297353CC}">
              <c16:uniqueId val="{00000000-A220-480C-B7ED-65F4286F7AF7}"/>
            </c:ext>
          </c:extLst>
        </c:ser>
        <c:dLbls>
          <c:showLegendKey val="0"/>
          <c:showVal val="0"/>
          <c:showCatName val="0"/>
          <c:showSerName val="0"/>
          <c:showPercent val="0"/>
          <c:showBubbleSize val="0"/>
        </c:dLbls>
        <c:gapWidth val="219"/>
        <c:overlap val="-27"/>
        <c:axId val="2075363280"/>
        <c:axId val="1935437824"/>
      </c:barChart>
      <c:catAx>
        <c:axId val="207536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5437824"/>
        <c:crosses val="autoZero"/>
        <c:auto val="1"/>
        <c:lblAlgn val="ctr"/>
        <c:lblOffset val="100"/>
        <c:noMultiLvlLbl val="0"/>
      </c:catAx>
      <c:valAx>
        <c:axId val="193543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7536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1'!$H$1</c:f>
              <c:strCache>
                <c:ptCount val="1"/>
                <c:pt idx="0">
                  <c:v>Pertumbuhan Ekonomi</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1'!$H$2:$H$13</c:f>
              <c:numCache>
                <c:formatCode>0.00</c:formatCode>
                <c:ptCount val="12"/>
                <c:pt idx="0">
                  <c:v>6.03</c:v>
                </c:pt>
                <c:pt idx="1">
                  <c:v>6.11</c:v>
                </c:pt>
                <c:pt idx="2">
                  <c:v>5.82</c:v>
                </c:pt>
                <c:pt idx="3">
                  <c:v>5.32</c:v>
                </c:pt>
                <c:pt idx="4">
                  <c:v>4.88</c:v>
                </c:pt>
                <c:pt idx="5">
                  <c:v>5.0199999999999996</c:v>
                </c:pt>
                <c:pt idx="6">
                  <c:v>4.9000000000000004</c:v>
                </c:pt>
                <c:pt idx="7">
                  <c:v>5.08</c:v>
                </c:pt>
                <c:pt idx="8">
                  <c:v>5.07</c:v>
                </c:pt>
                <c:pt idx="9">
                  <c:v>-2.41</c:v>
                </c:pt>
                <c:pt idx="10">
                  <c:v>3.06</c:v>
                </c:pt>
                <c:pt idx="11">
                  <c:v>4.9000000000000004</c:v>
                </c:pt>
              </c:numCache>
            </c:numRef>
          </c:val>
          <c:extLst>
            <c:ext xmlns:c16="http://schemas.microsoft.com/office/drawing/2014/chart" uri="{C3380CC4-5D6E-409C-BE32-E72D297353CC}">
              <c16:uniqueId val="{00000000-84DB-4924-A6B4-2DA0B8F6AC00}"/>
            </c:ext>
          </c:extLst>
        </c:ser>
        <c:dLbls>
          <c:showLegendKey val="0"/>
          <c:showVal val="0"/>
          <c:showCatName val="0"/>
          <c:showSerName val="0"/>
          <c:showPercent val="0"/>
          <c:showBubbleSize val="0"/>
        </c:dLbls>
        <c:gapWidth val="219"/>
        <c:overlap val="-27"/>
        <c:axId val="737021264"/>
        <c:axId val="2134818720"/>
      </c:barChart>
      <c:catAx>
        <c:axId val="73702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34818720"/>
        <c:crosses val="autoZero"/>
        <c:auto val="1"/>
        <c:lblAlgn val="ctr"/>
        <c:lblOffset val="100"/>
        <c:noMultiLvlLbl val="0"/>
      </c:catAx>
      <c:valAx>
        <c:axId val="213481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702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943190226863593E-2"/>
          <c:y val="0.27426159433290453"/>
          <c:w val="0.48886133182797747"/>
          <c:h val="0.50222314636086673"/>
        </c:manualLayout>
      </c:layout>
      <c:pieChart>
        <c:varyColors val="1"/>
        <c:ser>
          <c:idx val="0"/>
          <c:order val="0"/>
          <c:dPt>
            <c:idx val="0"/>
            <c:bubble3D val="0"/>
            <c:spPr>
              <a:solidFill>
                <a:srgbClr val="CC00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DA8-41E2-A052-11354C735D5B}"/>
              </c:ext>
            </c:extLst>
          </c:dPt>
          <c:dPt>
            <c:idx val="1"/>
            <c:bubble3D val="0"/>
            <c:spPr>
              <a:solidFill>
                <a:srgbClr val="80008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DA8-41E2-A052-11354C735D5B}"/>
              </c:ext>
            </c:extLst>
          </c:dPt>
          <c:dPt>
            <c:idx val="2"/>
            <c:bubble3D val="0"/>
            <c:spPr>
              <a:solidFill>
                <a:srgbClr val="FFCC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DA8-41E2-A052-11354C735D5B}"/>
              </c:ext>
            </c:extLst>
          </c:dPt>
          <c:dPt>
            <c:idx val="3"/>
            <c:bubble3D val="0"/>
            <c:spPr>
              <a:solidFill>
                <a:srgbClr val="FF99CC"/>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DA8-41E2-A052-11354C735D5B}"/>
              </c:ext>
            </c:extLst>
          </c:dPt>
          <c:dLbls>
            <c:dLbl>
              <c:idx val="0"/>
              <c:layout>
                <c:manualLayout>
                  <c:x val="-3.6643872145611673E-3"/>
                  <c:y val="0.2000912119356177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A8-41E2-A052-11354C735D5B}"/>
                </c:ext>
              </c:extLst>
            </c:dLbl>
            <c:dLbl>
              <c:idx val="1"/>
              <c:layout>
                <c:manualLayout>
                  <c:x val="0.10478205241425"/>
                  <c:y val="0.1017017956742548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A8-41E2-A052-11354C735D5B}"/>
                </c:ext>
              </c:extLst>
            </c:dLbl>
            <c:dLbl>
              <c:idx val="2"/>
              <c:layout>
                <c:manualLayout>
                  <c:x val="-3.8808167560833509E-3"/>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A8-41E2-A052-11354C735D5B}"/>
                </c:ext>
              </c:extLst>
            </c:dLbl>
            <c:dLbl>
              <c:idx val="3"/>
              <c:layout>
                <c:manualLayout>
                  <c:x val="3.8808167560833329E-2"/>
                  <c:y val="-1.17348225777986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A8-41E2-A052-11354C735D5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4CADE"/>
                    </a:solidFill>
                    <a:latin typeface="Almond Nougat" panose="020006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'Pivot Table'!$B$74:$B$77</c:f>
              <c:strCache>
                <c:ptCount val="4"/>
                <c:pt idx="0">
                  <c:v>TK/RA</c:v>
                </c:pt>
                <c:pt idx="1">
                  <c:v>SD/MI</c:v>
                </c:pt>
                <c:pt idx="2">
                  <c:v>SMP/MTs</c:v>
                </c:pt>
                <c:pt idx="3">
                  <c:v>SMA/SMK/MA</c:v>
                </c:pt>
              </c:strCache>
            </c:strRef>
          </c:cat>
          <c:val>
            <c:numRef>
              <c:f>'Pivot Table'!$C$74:$C$77</c:f>
              <c:numCache>
                <c:formatCode>#,##0</c:formatCode>
                <c:ptCount val="4"/>
                <c:pt idx="0">
                  <c:v>11752</c:v>
                </c:pt>
                <c:pt idx="1">
                  <c:v>10860</c:v>
                </c:pt>
                <c:pt idx="2">
                  <c:v>2385</c:v>
                </c:pt>
                <c:pt idx="3">
                  <c:v>1383</c:v>
                </c:pt>
              </c:numCache>
            </c:numRef>
          </c:val>
          <c:extLst>
            <c:ext xmlns:c16="http://schemas.microsoft.com/office/drawing/2014/chart" uri="{C3380CC4-5D6E-409C-BE32-E72D297353CC}">
              <c16:uniqueId val="{00000008-8DA8-41E2-A052-11354C735D5B}"/>
            </c:ext>
          </c:extLst>
        </c:ser>
        <c:dLbls>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59922540289753823"/>
          <c:y val="0.15057261802864777"/>
          <c:w val="0.27109193353750755"/>
          <c:h val="0.2910280474726313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Fix.xlsx]Pivot Table!Jumlah penduduk</c:name>
    <c:fmtId val="2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F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FFCC99"/>
            </a:solidFill>
            <a:round/>
          </a:ln>
          <a:effectLst/>
        </c:spPr>
        <c:marker>
          <c:symbol val="none"/>
        </c:marker>
      </c:pivotFmt>
      <c:pivotFmt>
        <c:idx val="5"/>
        <c:spPr>
          <a:ln w="34925" cap="rnd">
            <a:solidFill>
              <a:srgbClr val="FFCC99"/>
            </a:solidFill>
            <a:round/>
          </a:ln>
          <a:effectLst/>
        </c:spPr>
        <c:marker>
          <c:symbol val="none"/>
        </c:marker>
      </c:pivotFmt>
      <c:pivotFmt>
        <c:idx val="6"/>
        <c:spPr>
          <a:ln w="34925" cap="rnd">
            <a:solidFill>
              <a:srgbClr val="FFCC99"/>
            </a:solidFill>
            <a:round/>
          </a:ln>
          <a:effectLst/>
        </c:spPr>
        <c:marker>
          <c:symbol val="none"/>
        </c:marker>
      </c:pivotFmt>
      <c:pivotFmt>
        <c:idx val="7"/>
        <c:spPr>
          <a:ln w="34925" cap="rnd">
            <a:solidFill>
              <a:srgbClr val="FFCC99"/>
            </a:solidFill>
            <a:round/>
          </a:ln>
          <a:effectLst/>
        </c:spPr>
        <c:marker>
          <c:symbol val="none"/>
        </c:marker>
      </c:pivotFmt>
      <c:pivotFmt>
        <c:idx val="8"/>
        <c:spPr>
          <a:ln w="34925" cap="rnd">
            <a:solidFill>
              <a:srgbClr val="FFCC99"/>
            </a:solidFill>
            <a:round/>
          </a:ln>
          <a:effectLst/>
        </c:spPr>
        <c:marker>
          <c:symbol val="none"/>
        </c:marker>
      </c:pivotFmt>
      <c:pivotFmt>
        <c:idx val="9"/>
        <c:spPr>
          <a:ln w="34925" cap="rnd">
            <a:solidFill>
              <a:srgbClr val="FFCC99"/>
            </a:solidFill>
            <a:round/>
          </a:ln>
          <a:effectLst/>
        </c:spPr>
        <c:marker>
          <c:symbol val="none"/>
        </c:marker>
      </c:pivotFmt>
      <c:pivotFmt>
        <c:idx val="10"/>
        <c:spPr>
          <a:ln w="34925" cap="rnd">
            <a:solidFill>
              <a:srgbClr val="FFCC99"/>
            </a:solidFill>
            <a:round/>
          </a:ln>
          <a:effectLst/>
        </c:spPr>
        <c:marker>
          <c:symbol val="none"/>
        </c:marker>
      </c:pivotFmt>
      <c:pivotFmt>
        <c:idx val="11"/>
        <c:spPr>
          <a:ln w="34925" cap="rnd">
            <a:solidFill>
              <a:srgbClr val="FFCC99"/>
            </a:solidFill>
            <a:round/>
          </a:ln>
          <a:effectLst/>
        </c:spPr>
        <c:marker>
          <c:symbol val="none"/>
        </c:marker>
      </c:pivotFmt>
      <c:pivotFmt>
        <c:idx val="12"/>
        <c:spPr>
          <a:ln w="34925" cap="rnd">
            <a:solidFill>
              <a:srgbClr val="FFCC99"/>
            </a:solidFill>
            <a:round/>
          </a:ln>
          <a:effectLst/>
        </c:spPr>
        <c:marker>
          <c:symbol val="none"/>
        </c:marker>
      </c:pivotFmt>
      <c:pivotFmt>
        <c:idx val="13"/>
        <c:spPr>
          <a:ln w="34925" cap="rnd">
            <a:solidFill>
              <a:srgbClr val="FFCC99"/>
            </a:solidFill>
            <a:round/>
          </a:ln>
          <a:effectLst/>
        </c:spPr>
        <c:marker>
          <c:symbol val="none"/>
        </c:marker>
      </c:pivotFmt>
      <c:pivotFmt>
        <c:idx val="14"/>
        <c:spPr>
          <a:ln w="34925" cap="rnd">
            <a:solidFill>
              <a:srgbClr val="FFCC99"/>
            </a:solidFill>
            <a:round/>
          </a:ln>
          <a:effectLst/>
        </c:spPr>
        <c:marker>
          <c:symbol val="none"/>
        </c:marker>
      </c:pivotFmt>
      <c:pivotFmt>
        <c:idx val="15"/>
        <c:spPr>
          <a:ln w="34925" cap="rnd">
            <a:solidFill>
              <a:srgbClr val="FFCC99"/>
            </a:solidFill>
            <a:round/>
          </a:ln>
          <a:effectLst/>
        </c:spPr>
        <c:marker>
          <c:symbol val="none"/>
        </c:marker>
      </c:pivotFmt>
    </c:pivotFmts>
    <c:plotArea>
      <c:layout/>
      <c:barChart>
        <c:barDir val="col"/>
        <c:grouping val="clustered"/>
        <c:varyColors val="0"/>
        <c:ser>
          <c:idx val="0"/>
          <c:order val="0"/>
          <c:tx>
            <c:strRef>
              <c:f>'Pivot Table'!$C$3</c:f>
              <c:strCache>
                <c:ptCount val="1"/>
                <c:pt idx="0">
                  <c:v>Sum of Jumlah Penduduk</c:v>
                </c:pt>
              </c:strCache>
            </c:strRef>
          </c:tx>
          <c:spPr>
            <a:solidFill>
              <a:srgbClr val="CC0099"/>
            </a:solidFill>
            <a:ln>
              <a:noFill/>
            </a:ln>
            <a:effectLst/>
          </c:spPr>
          <c:invertIfNegative val="0"/>
          <c:cat>
            <c:strRef>
              <c:f>'Pivot Table'!$B$4:$B$16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Table'!$C$4:$C$16</c:f>
              <c:numCache>
                <c:formatCode>General</c:formatCode>
                <c:ptCount val="12"/>
                <c:pt idx="0">
                  <c:v>1512610</c:v>
                </c:pt>
                <c:pt idx="1">
                  <c:v>1521895</c:v>
                </c:pt>
                <c:pt idx="2">
                  <c:v>1530504</c:v>
                </c:pt>
                <c:pt idx="3">
                  <c:v>1538929</c:v>
                </c:pt>
                <c:pt idx="4">
                  <c:v>1546883</c:v>
                </c:pt>
                <c:pt idx="5">
                  <c:v>1554385</c:v>
                </c:pt>
                <c:pt idx="6">
                  <c:v>1561392</c:v>
                </c:pt>
                <c:pt idx="7">
                  <c:v>1568113</c:v>
                </c:pt>
                <c:pt idx="8">
                  <c:v>1574272</c:v>
                </c:pt>
                <c:pt idx="9">
                  <c:v>1635294</c:v>
                </c:pt>
                <c:pt idx="10">
                  <c:v>1644400</c:v>
                </c:pt>
                <c:pt idx="11">
                  <c:v>1656020</c:v>
                </c:pt>
              </c:numCache>
            </c:numRef>
          </c:val>
          <c:extLst>
            <c:ext xmlns:c16="http://schemas.microsoft.com/office/drawing/2014/chart" uri="{C3380CC4-5D6E-409C-BE32-E72D297353CC}">
              <c16:uniqueId val="{00000000-F5D1-471F-9D78-D33D8BBD44CE}"/>
            </c:ext>
          </c:extLst>
        </c:ser>
        <c:dLbls>
          <c:showLegendKey val="0"/>
          <c:showVal val="0"/>
          <c:showCatName val="0"/>
          <c:showSerName val="0"/>
          <c:showPercent val="0"/>
          <c:showBubbleSize val="0"/>
        </c:dLbls>
        <c:gapWidth val="150"/>
        <c:axId val="265166863"/>
        <c:axId val="787063087"/>
      </c:barChart>
      <c:lineChart>
        <c:grouping val="standard"/>
        <c:varyColors val="0"/>
        <c:ser>
          <c:idx val="1"/>
          <c:order val="1"/>
          <c:tx>
            <c:strRef>
              <c:f>'Pivot Table'!$D$3</c:f>
              <c:strCache>
                <c:ptCount val="1"/>
                <c:pt idx="0">
                  <c:v>Sum of Kepadatan Penduduk</c:v>
                </c:pt>
              </c:strCache>
            </c:strRef>
          </c:tx>
          <c:spPr>
            <a:ln w="34925" cap="rnd">
              <a:solidFill>
                <a:srgbClr val="FFCC99"/>
              </a:solidFill>
              <a:round/>
            </a:ln>
            <a:effectLst/>
          </c:spPr>
          <c:marker>
            <c:symbol val="none"/>
          </c:marker>
          <c:cat>
            <c:strRef>
              <c:f>'Pivot Table'!$B$4:$B$16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Table'!$D$4:$D$16</c:f>
              <c:numCache>
                <c:formatCode>General</c:formatCode>
                <c:ptCount val="12"/>
                <c:pt idx="0">
                  <c:v>1091.3098373074565</c:v>
                </c:pt>
                <c:pt idx="1">
                  <c:v>1098.0087298438007</c:v>
                </c:pt>
                <c:pt idx="2">
                  <c:v>1104.2199054868152</c:v>
                </c:pt>
                <c:pt idx="3">
                  <c:v>1110.2983297860828</c:v>
                </c:pt>
                <c:pt idx="4">
                  <c:v>1116.0369395043469</c:v>
                </c:pt>
                <c:pt idx="5">
                  <c:v>1121.4494426607987</c:v>
                </c:pt>
                <c:pt idx="6">
                  <c:v>1127</c:v>
                </c:pt>
                <c:pt idx="7">
                  <c:v>1131</c:v>
                </c:pt>
                <c:pt idx="8">
                  <c:v>1136</c:v>
                </c:pt>
                <c:pt idx="9">
                  <c:v>1180</c:v>
                </c:pt>
                <c:pt idx="10">
                  <c:v>1186</c:v>
                </c:pt>
                <c:pt idx="11">
                  <c:v>1195</c:v>
                </c:pt>
              </c:numCache>
            </c:numRef>
          </c:val>
          <c:smooth val="1"/>
          <c:extLst>
            <c:ext xmlns:c16="http://schemas.microsoft.com/office/drawing/2014/chart" uri="{C3380CC4-5D6E-409C-BE32-E72D297353CC}">
              <c16:uniqueId val="{00000002-7CBF-44E7-A656-0EC9024BF09A}"/>
            </c:ext>
          </c:extLst>
        </c:ser>
        <c:dLbls>
          <c:showLegendKey val="0"/>
          <c:showVal val="0"/>
          <c:showCatName val="0"/>
          <c:showSerName val="0"/>
          <c:showPercent val="0"/>
          <c:showBubbleSize val="0"/>
        </c:dLbls>
        <c:marker val="1"/>
        <c:smooth val="0"/>
        <c:axId val="553997872"/>
        <c:axId val="472942688"/>
      </c:lineChart>
      <c:catAx>
        <c:axId val="26516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787063087"/>
        <c:crosses val="autoZero"/>
        <c:auto val="1"/>
        <c:lblAlgn val="ctr"/>
        <c:lblOffset val="100"/>
        <c:noMultiLvlLbl val="0"/>
      </c:catAx>
      <c:valAx>
        <c:axId val="787063087"/>
        <c:scaling>
          <c:orientation val="minMax"/>
        </c:scaling>
        <c:delete val="0"/>
        <c:axPos val="l"/>
        <c:majorGridlines>
          <c:spPr>
            <a:ln w="9525" cap="flat" cmpd="sng" algn="ctr">
              <a:solidFill>
                <a:srgbClr val="F4CADE"/>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265166863"/>
        <c:crosses val="autoZero"/>
        <c:crossBetween val="between"/>
      </c:valAx>
      <c:valAx>
        <c:axId val="472942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553997872"/>
        <c:crosses val="max"/>
        <c:crossBetween val="between"/>
      </c:valAx>
      <c:catAx>
        <c:axId val="553997872"/>
        <c:scaling>
          <c:orientation val="minMax"/>
        </c:scaling>
        <c:delete val="1"/>
        <c:axPos val="b"/>
        <c:numFmt formatCode="General" sourceLinked="1"/>
        <c:majorTickMark val="out"/>
        <c:minorTickMark val="none"/>
        <c:tickLblPos val="nextTo"/>
        <c:crossAx val="472942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Table'!$G$30</c:f>
              <c:strCache>
                <c:ptCount val="1"/>
                <c:pt idx="0">
                  <c:v>Kepadatan Penduduk</c:v>
                </c:pt>
              </c:strCache>
            </c:strRef>
          </c:tx>
          <c:spPr>
            <a:solidFill>
              <a:srgbClr val="CC0099"/>
            </a:solidFill>
            <a:ln>
              <a:noFill/>
            </a:ln>
            <a:effectLst/>
          </c:spPr>
          <c:invertIfNegative val="0"/>
          <c:cat>
            <c:numRef>
              <c:f>'Pivot Table'!$F$31:$F$42</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'Pivot Table'!$G$31:$G$42</c:f>
              <c:numCache>
                <c:formatCode>#,##0</c:formatCode>
                <c:ptCount val="12"/>
                <c:pt idx="0">
                  <c:v>1091.3098373074565</c:v>
                </c:pt>
                <c:pt idx="1">
                  <c:v>1098.0087298438007</c:v>
                </c:pt>
                <c:pt idx="2">
                  <c:v>1104.2199054868152</c:v>
                </c:pt>
                <c:pt idx="3">
                  <c:v>1110.2983297860828</c:v>
                </c:pt>
                <c:pt idx="4">
                  <c:v>1116.0369395043469</c:v>
                </c:pt>
                <c:pt idx="5">
                  <c:v>1121.4494426607987</c:v>
                </c:pt>
                <c:pt idx="6">
                  <c:v>1127</c:v>
                </c:pt>
                <c:pt idx="7">
                  <c:v>1131</c:v>
                </c:pt>
                <c:pt idx="8">
                  <c:v>1136</c:v>
                </c:pt>
                <c:pt idx="9">
                  <c:v>1180</c:v>
                </c:pt>
                <c:pt idx="10">
                  <c:v>1186</c:v>
                </c:pt>
                <c:pt idx="11">
                  <c:v>1195</c:v>
                </c:pt>
              </c:numCache>
            </c:numRef>
          </c:val>
          <c:extLst>
            <c:ext xmlns:c16="http://schemas.microsoft.com/office/drawing/2014/chart" uri="{C3380CC4-5D6E-409C-BE32-E72D297353CC}">
              <c16:uniqueId val="{00000000-86F5-4B7C-AA6D-351106401068}"/>
            </c:ext>
          </c:extLst>
        </c:ser>
        <c:dLbls>
          <c:showLegendKey val="0"/>
          <c:showVal val="0"/>
          <c:showCatName val="0"/>
          <c:showSerName val="0"/>
          <c:showPercent val="0"/>
          <c:showBubbleSize val="0"/>
        </c:dLbls>
        <c:gapWidth val="219"/>
        <c:overlap val="-27"/>
        <c:axId val="1080135023"/>
        <c:axId val="1045522783"/>
      </c:barChart>
      <c:lineChart>
        <c:grouping val="standard"/>
        <c:varyColors val="0"/>
        <c:ser>
          <c:idx val="1"/>
          <c:order val="1"/>
          <c:tx>
            <c:strRef>
              <c:f>'Pivot Table'!$H$30</c:f>
              <c:strCache>
                <c:ptCount val="1"/>
                <c:pt idx="0">
                  <c:v>Laju Pertumbuhan</c:v>
                </c:pt>
              </c:strCache>
            </c:strRef>
          </c:tx>
          <c:spPr>
            <a:ln w="44450" cap="rnd">
              <a:solidFill>
                <a:srgbClr val="FFCC99"/>
              </a:solidFill>
              <a:round/>
            </a:ln>
            <a:effectLst/>
          </c:spPr>
          <c:marker>
            <c:symbol val="circle"/>
            <c:size val="5"/>
            <c:spPr>
              <a:solidFill>
                <a:srgbClr val="CC0099"/>
              </a:solidFill>
              <a:ln w="25400">
                <a:solidFill>
                  <a:srgbClr val="FFCC99"/>
                </a:solidFill>
              </a:ln>
              <a:effectLst/>
            </c:spPr>
          </c:marker>
          <c:val>
            <c:numRef>
              <c:f>'Pivot Table'!$H$31:$H$42</c:f>
              <c:numCache>
                <c:formatCode>0.00</c:formatCode>
                <c:ptCount val="12"/>
                <c:pt idx="0">
                  <c:v>0.63</c:v>
                </c:pt>
                <c:pt idx="1">
                  <c:v>0.61</c:v>
                </c:pt>
                <c:pt idx="2">
                  <c:v>0.56000000000000005</c:v>
                </c:pt>
                <c:pt idx="3">
                  <c:v>0.55000000000000004</c:v>
                </c:pt>
                <c:pt idx="4">
                  <c:v>0.52</c:v>
                </c:pt>
                <c:pt idx="5">
                  <c:v>0.48</c:v>
                </c:pt>
                <c:pt idx="6">
                  <c:v>0.45</c:v>
                </c:pt>
                <c:pt idx="7">
                  <c:v>0.43</c:v>
                </c:pt>
                <c:pt idx="8">
                  <c:v>0.39</c:v>
                </c:pt>
                <c:pt idx="9">
                  <c:v>0.87</c:v>
                </c:pt>
                <c:pt idx="10">
                  <c:v>0.74</c:v>
                </c:pt>
                <c:pt idx="11">
                  <c:v>0.71</c:v>
                </c:pt>
              </c:numCache>
            </c:numRef>
          </c:val>
          <c:smooth val="0"/>
          <c:extLst>
            <c:ext xmlns:c16="http://schemas.microsoft.com/office/drawing/2014/chart" uri="{C3380CC4-5D6E-409C-BE32-E72D297353CC}">
              <c16:uniqueId val="{00000001-86F5-4B7C-AA6D-351106401068}"/>
            </c:ext>
          </c:extLst>
        </c:ser>
        <c:dLbls>
          <c:showLegendKey val="0"/>
          <c:showVal val="0"/>
          <c:showCatName val="0"/>
          <c:showSerName val="0"/>
          <c:showPercent val="0"/>
          <c:showBubbleSize val="0"/>
        </c:dLbls>
        <c:marker val="1"/>
        <c:smooth val="0"/>
        <c:axId val="1080111359"/>
        <c:axId val="1045547263"/>
      </c:lineChart>
      <c:catAx>
        <c:axId val="1080135023"/>
        <c:scaling>
          <c:orientation val="minMax"/>
        </c:scaling>
        <c:delete val="0"/>
        <c:axPos val="b"/>
        <c:numFmt formatCode="General" sourceLinked="1"/>
        <c:majorTickMark val="none"/>
        <c:minorTickMark val="none"/>
        <c:tickLblPos val="nextTo"/>
        <c:spPr>
          <a:noFill/>
          <a:ln w="9525" cap="flat" cmpd="sng" algn="ctr">
            <a:solidFill>
              <a:srgbClr val="FF99CC"/>
            </a:solidFill>
            <a:round/>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1045522783"/>
        <c:crosses val="autoZero"/>
        <c:auto val="1"/>
        <c:lblAlgn val="ctr"/>
        <c:lblOffset val="100"/>
        <c:noMultiLvlLbl val="0"/>
      </c:catAx>
      <c:valAx>
        <c:axId val="1045522783"/>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1080135023"/>
        <c:crosses val="autoZero"/>
        <c:crossBetween val="between"/>
      </c:valAx>
      <c:valAx>
        <c:axId val="10455472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1080111359"/>
        <c:crosses val="max"/>
        <c:crossBetween val="between"/>
      </c:valAx>
      <c:catAx>
        <c:axId val="1080111359"/>
        <c:scaling>
          <c:orientation val="minMax"/>
        </c:scaling>
        <c:delete val="1"/>
        <c:axPos val="b"/>
        <c:majorTickMark val="out"/>
        <c:minorTickMark val="none"/>
        <c:tickLblPos val="nextTo"/>
        <c:crossAx val="10455472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FFCC99"/>
              </a:solidFill>
              <a:round/>
            </a:ln>
            <a:effectLst/>
          </c:spPr>
          <c:marker>
            <c:symbol val="none"/>
          </c:marker>
          <c:cat>
            <c:numRef>
              <c:f>'Pivot Table'!$E$50:$E$61</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'Pivot Table'!$F$50:$F$61</c:f>
              <c:numCache>
                <c:formatCode>0.00</c:formatCode>
                <c:ptCount val="12"/>
                <c:pt idx="0">
                  <c:v>6.03</c:v>
                </c:pt>
                <c:pt idx="1">
                  <c:v>6.11</c:v>
                </c:pt>
                <c:pt idx="2">
                  <c:v>5.82</c:v>
                </c:pt>
                <c:pt idx="3">
                  <c:v>5.32</c:v>
                </c:pt>
                <c:pt idx="4">
                  <c:v>4.88</c:v>
                </c:pt>
                <c:pt idx="5">
                  <c:v>5.0199999999999996</c:v>
                </c:pt>
                <c:pt idx="6">
                  <c:v>4.9000000000000004</c:v>
                </c:pt>
                <c:pt idx="7">
                  <c:v>5.08</c:v>
                </c:pt>
                <c:pt idx="8">
                  <c:v>5.07</c:v>
                </c:pt>
                <c:pt idx="9">
                  <c:v>-2.41</c:v>
                </c:pt>
                <c:pt idx="10">
                  <c:v>3.06</c:v>
                </c:pt>
                <c:pt idx="11">
                  <c:v>4.9000000000000004</c:v>
                </c:pt>
              </c:numCache>
            </c:numRef>
          </c:val>
          <c:smooth val="1"/>
          <c:extLst>
            <c:ext xmlns:c16="http://schemas.microsoft.com/office/drawing/2014/chart" uri="{C3380CC4-5D6E-409C-BE32-E72D297353CC}">
              <c16:uniqueId val="{00000000-AA9A-44E7-B730-5114B38D9459}"/>
            </c:ext>
          </c:extLst>
        </c:ser>
        <c:dLbls>
          <c:showLegendKey val="0"/>
          <c:showVal val="0"/>
          <c:showCatName val="0"/>
          <c:showSerName val="0"/>
          <c:showPercent val="0"/>
          <c:showBubbleSize val="0"/>
        </c:dLbls>
        <c:smooth val="0"/>
        <c:axId val="2005199183"/>
        <c:axId val="1906348063"/>
      </c:lineChart>
      <c:catAx>
        <c:axId val="2005199183"/>
        <c:scaling>
          <c:orientation val="minMax"/>
        </c:scaling>
        <c:delete val="0"/>
        <c:axPos val="b"/>
        <c:numFmt formatCode="General" sourceLinked="1"/>
        <c:majorTickMark val="none"/>
        <c:minorTickMark val="none"/>
        <c:tickLblPos val="nextTo"/>
        <c:spPr>
          <a:noFill/>
          <a:ln w="9525" cap="flat" cmpd="sng" algn="ctr">
            <a:solidFill>
              <a:srgbClr val="F4CADE"/>
            </a:solidFill>
            <a:round/>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1906348063"/>
        <c:crosses val="autoZero"/>
        <c:auto val="1"/>
        <c:lblAlgn val="ctr"/>
        <c:lblOffset val="100"/>
        <c:noMultiLvlLbl val="0"/>
      </c:catAx>
      <c:valAx>
        <c:axId val="190634806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200519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Fix.xlsx]Pivot Table!PDRB</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Table'!$C$82</c:f>
              <c:strCache>
                <c:ptCount val="1"/>
                <c:pt idx="0">
                  <c:v>Total</c:v>
                </c:pt>
              </c:strCache>
            </c:strRef>
          </c:tx>
          <c:spPr>
            <a:solidFill>
              <a:srgbClr val="CC0099"/>
            </a:solidFill>
            <a:ln>
              <a:noFill/>
            </a:ln>
            <a:effectLst/>
          </c:spPr>
          <c:invertIfNegative val="0"/>
          <c:cat>
            <c:strRef>
              <c:f>'Pivot Table'!$B$83:$B$95</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Table'!$C$83:$C$95</c:f>
              <c:numCache>
                <c:formatCode>#,##0</c:formatCode>
                <c:ptCount val="12"/>
                <c:pt idx="0">
                  <c:v>19354905</c:v>
                </c:pt>
                <c:pt idx="1">
                  <c:v>20538323</c:v>
                </c:pt>
                <c:pt idx="2">
                  <c:v>21733458</c:v>
                </c:pt>
                <c:pt idx="3">
                  <c:v>22889972</c:v>
                </c:pt>
                <c:pt idx="4">
                  <c:v>24007724</c:v>
                </c:pt>
                <c:pt idx="5">
                  <c:v>25211901</c:v>
                </c:pt>
                <c:pt idx="6">
                  <c:v>26446174</c:v>
                </c:pt>
                <c:pt idx="7">
                  <c:v>27786420</c:v>
                </c:pt>
                <c:pt idx="8">
                  <c:v>29193722</c:v>
                </c:pt>
                <c:pt idx="9">
                  <c:v>28490953</c:v>
                </c:pt>
                <c:pt idx="10">
                  <c:v>29361672</c:v>
                </c:pt>
                <c:pt idx="11">
                  <c:v>30800705</c:v>
                </c:pt>
              </c:numCache>
            </c:numRef>
          </c:val>
          <c:extLst>
            <c:ext xmlns:c16="http://schemas.microsoft.com/office/drawing/2014/chart" uri="{C3380CC4-5D6E-409C-BE32-E72D297353CC}">
              <c16:uniqueId val="{00000000-D5D2-49DD-A199-BEF997CFB0CA}"/>
            </c:ext>
          </c:extLst>
        </c:ser>
        <c:dLbls>
          <c:showLegendKey val="0"/>
          <c:showVal val="0"/>
          <c:showCatName val="0"/>
          <c:showSerName val="0"/>
          <c:showPercent val="0"/>
          <c:showBubbleSize val="0"/>
        </c:dLbls>
        <c:gapWidth val="182"/>
        <c:axId val="988842335"/>
        <c:axId val="600967279"/>
      </c:barChart>
      <c:catAx>
        <c:axId val="98884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600967279"/>
        <c:crosses val="autoZero"/>
        <c:auto val="1"/>
        <c:lblAlgn val="ctr"/>
        <c:lblOffset val="100"/>
        <c:noMultiLvlLbl val="0"/>
      </c:catAx>
      <c:valAx>
        <c:axId val="600967279"/>
        <c:scaling>
          <c:orientation val="minMax"/>
          <c:max val="35000000"/>
          <c:min val="500000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4CADE"/>
                </a:solidFill>
                <a:latin typeface="+mn-lt"/>
                <a:ea typeface="+mn-ea"/>
                <a:cs typeface="+mn-cs"/>
              </a:defRPr>
            </a:pPr>
            <a:endParaRPr lang="en-US"/>
          </a:p>
        </c:txPr>
        <c:crossAx val="98884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CC0099"/>
              </a:solidFill>
              <a:ln w="19050">
                <a:noFill/>
              </a:ln>
              <a:effectLst/>
            </c:spPr>
            <c:extLst>
              <c:ext xmlns:c16="http://schemas.microsoft.com/office/drawing/2014/chart" uri="{C3380CC4-5D6E-409C-BE32-E72D297353CC}">
                <c16:uniqueId val="{00000001-2962-4B9C-88E9-F4A4C1B07012}"/>
              </c:ext>
            </c:extLst>
          </c:dPt>
          <c:dPt>
            <c:idx val="1"/>
            <c:bubble3D val="0"/>
            <c:spPr>
              <a:solidFill>
                <a:srgbClr val="F4CADE"/>
              </a:solidFill>
              <a:ln w="19050">
                <a:noFill/>
              </a:ln>
              <a:effectLst/>
            </c:spPr>
            <c:extLst>
              <c:ext xmlns:c16="http://schemas.microsoft.com/office/drawing/2014/chart" uri="{C3380CC4-5D6E-409C-BE32-E72D297353CC}">
                <c16:uniqueId val="{00000003-2962-4B9C-88E9-F4A4C1B07012}"/>
              </c:ext>
            </c:extLst>
          </c:dPt>
          <c:dLbls>
            <c:dLbl>
              <c:idx val="0"/>
              <c:layout>
                <c:manualLayout>
                  <c:x val="-3.7913185345899617E-2"/>
                  <c:y val="0.32613245104247013"/>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rgbClr val="F4CADE"/>
                      </a:solidFill>
                      <a:latin typeface="Almond Nougat" panose="020006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173317371697516"/>
                      <c:h val="0.20546771115382761"/>
                    </c:manualLayout>
                  </c15:layout>
                </c:ext>
                <c:ext xmlns:c16="http://schemas.microsoft.com/office/drawing/2014/chart" uri="{C3380CC4-5D6E-409C-BE32-E72D297353CC}">
                  <c16:uniqueId val="{00000001-2962-4B9C-88E9-F4A4C1B07012}"/>
                </c:ext>
              </c:extLst>
            </c:dLbl>
            <c:dLbl>
              <c:idx val="1"/>
              <c:delete val="1"/>
              <c:extLst>
                <c:ext xmlns:c15="http://schemas.microsoft.com/office/drawing/2012/chart" uri="{CE6537A1-D6FC-4f65-9D91-7224C49458BB}"/>
                <c:ext xmlns:c16="http://schemas.microsoft.com/office/drawing/2014/chart" uri="{C3380CC4-5D6E-409C-BE32-E72D297353CC}">
                  <c16:uniqueId val="{00000003-2962-4B9C-88E9-F4A4C1B07012}"/>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4CADE"/>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Table'!$D$102:$E$102</c:f>
              <c:numCache>
                <c:formatCode>General</c:formatCode>
                <c:ptCount val="2"/>
                <c:pt idx="0">
                  <c:v>59.67</c:v>
                </c:pt>
                <c:pt idx="1">
                  <c:v>40.33</c:v>
                </c:pt>
              </c:numCache>
            </c:numRef>
          </c:val>
          <c:extLst>
            <c:ext xmlns:c16="http://schemas.microsoft.com/office/drawing/2014/chart" uri="{C3380CC4-5D6E-409C-BE32-E72D297353CC}">
              <c16:uniqueId val="{00000004-2962-4B9C-88E9-F4A4C1B0701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1'!$C$1</c:f>
              <c:strCache>
                <c:ptCount val="1"/>
                <c:pt idx="0">
                  <c:v>Laki-laki</c:v>
                </c:pt>
              </c:strCache>
            </c:strRef>
          </c:tx>
          <c:spPr>
            <a:solidFill>
              <a:srgbClr val="660066"/>
            </a:solidFill>
            <a:ln>
              <a:solidFill>
                <a:srgbClr val="660066"/>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1'!$C$2:$C$13</c:f>
              <c:numCache>
                <c:formatCode>General</c:formatCode>
                <c:ptCount val="12"/>
                <c:pt idx="0">
                  <c:v>758174</c:v>
                </c:pt>
                <c:pt idx="1">
                  <c:v>763091</c:v>
                </c:pt>
                <c:pt idx="2">
                  <c:v>766696</c:v>
                </c:pt>
                <c:pt idx="3">
                  <c:v>772006</c:v>
                </c:pt>
                <c:pt idx="4">
                  <c:v>776212</c:v>
                </c:pt>
                <c:pt idx="5">
                  <c:v>780097</c:v>
                </c:pt>
                <c:pt idx="6">
                  <c:v>783589</c:v>
                </c:pt>
                <c:pt idx="7">
                  <c:v>787023</c:v>
                </c:pt>
                <c:pt idx="8">
                  <c:v>790210</c:v>
                </c:pt>
                <c:pt idx="9">
                  <c:v>825867</c:v>
                </c:pt>
                <c:pt idx="10">
                  <c:v>830315</c:v>
                </c:pt>
                <c:pt idx="11">
                  <c:v>836025</c:v>
                </c:pt>
              </c:numCache>
            </c:numRef>
          </c:val>
          <c:extLst>
            <c:ext xmlns:c16="http://schemas.microsoft.com/office/drawing/2014/chart" uri="{C3380CC4-5D6E-409C-BE32-E72D297353CC}">
              <c16:uniqueId val="{00000000-13BF-49CF-A248-40141A689F17}"/>
            </c:ext>
          </c:extLst>
        </c:ser>
        <c:dLbls>
          <c:showLegendKey val="0"/>
          <c:showVal val="0"/>
          <c:showCatName val="0"/>
          <c:showSerName val="0"/>
          <c:showPercent val="0"/>
          <c:showBubbleSize val="0"/>
        </c:dLbls>
        <c:gapWidth val="219"/>
        <c:overlap val="-27"/>
        <c:axId val="2075365136"/>
        <c:axId val="2134908960"/>
      </c:barChart>
      <c:catAx>
        <c:axId val="20753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34908960"/>
        <c:crosses val="autoZero"/>
        <c:auto val="1"/>
        <c:lblAlgn val="ctr"/>
        <c:lblOffset val="100"/>
        <c:noMultiLvlLbl val="0"/>
      </c:catAx>
      <c:valAx>
        <c:axId val="21349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7536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1'!$D$1</c:f>
              <c:strCache>
                <c:ptCount val="1"/>
                <c:pt idx="0">
                  <c:v>Perempuan</c:v>
                </c:pt>
              </c:strCache>
            </c:strRef>
          </c:tx>
          <c:spPr>
            <a:solidFill>
              <a:srgbClr val="660066"/>
            </a:solidFill>
            <a:ln>
              <a:solidFill>
                <a:srgbClr val="660066"/>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1'!$D$2:$D$13</c:f>
              <c:numCache>
                <c:formatCode>General</c:formatCode>
                <c:ptCount val="12"/>
                <c:pt idx="0">
                  <c:v>754436</c:v>
                </c:pt>
                <c:pt idx="1">
                  <c:v>758804</c:v>
                </c:pt>
                <c:pt idx="2">
                  <c:v>763808</c:v>
                </c:pt>
                <c:pt idx="3">
                  <c:v>766923</c:v>
                </c:pt>
                <c:pt idx="4">
                  <c:v>770671</c:v>
                </c:pt>
                <c:pt idx="5">
                  <c:v>774288</c:v>
                </c:pt>
                <c:pt idx="6">
                  <c:v>777803</c:v>
                </c:pt>
                <c:pt idx="7">
                  <c:v>781090</c:v>
                </c:pt>
                <c:pt idx="8">
                  <c:v>784062</c:v>
                </c:pt>
                <c:pt idx="9">
                  <c:v>809427</c:v>
                </c:pt>
                <c:pt idx="10">
                  <c:v>814085</c:v>
                </c:pt>
                <c:pt idx="11">
                  <c:v>819995</c:v>
                </c:pt>
              </c:numCache>
            </c:numRef>
          </c:val>
          <c:extLst>
            <c:ext xmlns:c16="http://schemas.microsoft.com/office/drawing/2014/chart" uri="{C3380CC4-5D6E-409C-BE32-E72D297353CC}">
              <c16:uniqueId val="{00000000-5BFA-4D32-B561-DC3E340CC9FD}"/>
            </c:ext>
          </c:extLst>
        </c:ser>
        <c:dLbls>
          <c:showLegendKey val="0"/>
          <c:showVal val="0"/>
          <c:showCatName val="0"/>
          <c:showSerName val="0"/>
          <c:showPercent val="0"/>
          <c:showBubbleSize val="0"/>
        </c:dLbls>
        <c:gapWidth val="219"/>
        <c:overlap val="-27"/>
        <c:axId val="2067973856"/>
        <c:axId val="2134924800"/>
      </c:barChart>
      <c:catAx>
        <c:axId val="206797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34924800"/>
        <c:crosses val="autoZero"/>
        <c:auto val="1"/>
        <c:lblAlgn val="ctr"/>
        <c:lblOffset val="100"/>
        <c:noMultiLvlLbl val="0"/>
      </c:catAx>
      <c:valAx>
        <c:axId val="213492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6797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1'!$E$1</c:f>
              <c:strCache>
                <c:ptCount val="1"/>
                <c:pt idx="0">
                  <c:v>Sex Rasio</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1'!$E$2:$E$13</c:f>
              <c:numCache>
                <c:formatCode>0</c:formatCode>
                <c:ptCount val="12"/>
                <c:pt idx="0">
                  <c:v>100.49546946328118</c:v>
                </c:pt>
                <c:pt idx="1">
                  <c:v>100.56496802863452</c:v>
                </c:pt>
                <c:pt idx="2">
                  <c:v>100.37810549247979</c:v>
                </c:pt>
                <c:pt idx="3">
                  <c:v>100.66277840148229</c:v>
                </c:pt>
                <c:pt idx="4">
                  <c:v>100.71898384654412</c:v>
                </c:pt>
                <c:pt idx="5">
                  <c:v>100.75023763767487</c:v>
                </c:pt>
                <c:pt idx="6">
                  <c:v>100.74389016241902</c:v>
                </c:pt>
                <c:pt idx="7">
                  <c:v>100.75957956189427</c:v>
                </c:pt>
                <c:pt idx="8">
                  <c:v>100.784121663848</c:v>
                </c:pt>
                <c:pt idx="9">
                  <c:v>102.03106642106083</c:v>
                </c:pt>
                <c:pt idx="10">
                  <c:v>101.99364931180406</c:v>
                </c:pt>
                <c:pt idx="11">
                  <c:v>101.95488996884127</c:v>
                </c:pt>
              </c:numCache>
            </c:numRef>
          </c:val>
          <c:extLst>
            <c:ext xmlns:c16="http://schemas.microsoft.com/office/drawing/2014/chart" uri="{C3380CC4-5D6E-409C-BE32-E72D297353CC}">
              <c16:uniqueId val="{00000000-41B2-4B9E-9941-5F80223BF165}"/>
            </c:ext>
          </c:extLst>
        </c:ser>
        <c:dLbls>
          <c:showLegendKey val="0"/>
          <c:showVal val="0"/>
          <c:showCatName val="0"/>
          <c:showSerName val="0"/>
          <c:showPercent val="0"/>
          <c:showBubbleSize val="0"/>
        </c:dLbls>
        <c:gapWidth val="219"/>
        <c:overlap val="-27"/>
        <c:axId val="483985600"/>
        <c:axId val="1792010368"/>
      </c:barChart>
      <c:catAx>
        <c:axId val="4839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92010368"/>
        <c:crosses val="autoZero"/>
        <c:auto val="1"/>
        <c:lblAlgn val="ctr"/>
        <c:lblOffset val="100"/>
        <c:noMultiLvlLbl val="0"/>
      </c:catAx>
      <c:valAx>
        <c:axId val="179201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8398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1'!$F$1</c:f>
              <c:strCache>
                <c:ptCount val="1"/>
                <c:pt idx="0">
                  <c:v>Kepadatan Penduduk</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1'!$F$2:$F$13</c:f>
              <c:numCache>
                <c:formatCode>0</c:formatCode>
                <c:ptCount val="12"/>
                <c:pt idx="0">
                  <c:v>1091.3098373074565</c:v>
                </c:pt>
                <c:pt idx="1">
                  <c:v>1098.0087298438007</c:v>
                </c:pt>
                <c:pt idx="2">
                  <c:v>1104.2199054868152</c:v>
                </c:pt>
                <c:pt idx="3">
                  <c:v>1110.2983297860828</c:v>
                </c:pt>
                <c:pt idx="4">
                  <c:v>1116.0369395043469</c:v>
                </c:pt>
                <c:pt idx="5">
                  <c:v>1121.4494426607987</c:v>
                </c:pt>
                <c:pt idx="6">
                  <c:v>1127</c:v>
                </c:pt>
                <c:pt idx="7">
                  <c:v>1131</c:v>
                </c:pt>
                <c:pt idx="8">
                  <c:v>1136</c:v>
                </c:pt>
                <c:pt idx="9">
                  <c:v>1180</c:v>
                </c:pt>
                <c:pt idx="10">
                  <c:v>1186</c:v>
                </c:pt>
                <c:pt idx="11">
                  <c:v>1195</c:v>
                </c:pt>
              </c:numCache>
            </c:numRef>
          </c:val>
          <c:extLst>
            <c:ext xmlns:c16="http://schemas.microsoft.com/office/drawing/2014/chart" uri="{C3380CC4-5D6E-409C-BE32-E72D297353CC}">
              <c16:uniqueId val="{00000000-7315-410A-91BE-8209E5B19097}"/>
            </c:ext>
          </c:extLst>
        </c:ser>
        <c:dLbls>
          <c:showLegendKey val="0"/>
          <c:showVal val="0"/>
          <c:showCatName val="0"/>
          <c:showSerName val="0"/>
          <c:showPercent val="0"/>
          <c:showBubbleSize val="0"/>
        </c:dLbls>
        <c:gapWidth val="219"/>
        <c:overlap val="-27"/>
        <c:axId val="2075363744"/>
        <c:axId val="1935429664"/>
      </c:barChart>
      <c:catAx>
        <c:axId val="207536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5429664"/>
        <c:crosses val="autoZero"/>
        <c:auto val="1"/>
        <c:lblAlgn val="ctr"/>
        <c:lblOffset val="100"/>
        <c:noMultiLvlLbl val="0"/>
      </c:catAx>
      <c:valAx>
        <c:axId val="1935429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7536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1'!$G$1</c:f>
              <c:strCache>
                <c:ptCount val="1"/>
                <c:pt idx="0">
                  <c:v>Laju Pertumbuhan</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1'!$G$2:$G$13</c:f>
              <c:numCache>
                <c:formatCode>General</c:formatCode>
                <c:ptCount val="12"/>
                <c:pt idx="0">
                  <c:v>0.63</c:v>
                </c:pt>
                <c:pt idx="1">
                  <c:v>0.61</c:v>
                </c:pt>
                <c:pt idx="2">
                  <c:v>0.56000000000000005</c:v>
                </c:pt>
                <c:pt idx="3">
                  <c:v>0.55000000000000004</c:v>
                </c:pt>
                <c:pt idx="4">
                  <c:v>0.52</c:v>
                </c:pt>
                <c:pt idx="5">
                  <c:v>0.48</c:v>
                </c:pt>
                <c:pt idx="6">
                  <c:v>0.45</c:v>
                </c:pt>
                <c:pt idx="7">
                  <c:v>0.43</c:v>
                </c:pt>
                <c:pt idx="8">
                  <c:v>0.39</c:v>
                </c:pt>
                <c:pt idx="9">
                  <c:v>0.87</c:v>
                </c:pt>
                <c:pt idx="10">
                  <c:v>0.74</c:v>
                </c:pt>
                <c:pt idx="11">
                  <c:v>0.71</c:v>
                </c:pt>
              </c:numCache>
            </c:numRef>
          </c:val>
          <c:extLst>
            <c:ext xmlns:c16="http://schemas.microsoft.com/office/drawing/2014/chart" uri="{C3380CC4-5D6E-409C-BE32-E72D297353CC}">
              <c16:uniqueId val="{00000000-8D1D-4FB6-8D24-48208599AD30}"/>
            </c:ext>
          </c:extLst>
        </c:ser>
        <c:dLbls>
          <c:showLegendKey val="0"/>
          <c:showVal val="0"/>
          <c:showCatName val="0"/>
          <c:showSerName val="0"/>
          <c:showPercent val="0"/>
          <c:showBubbleSize val="0"/>
        </c:dLbls>
        <c:gapWidth val="219"/>
        <c:overlap val="-27"/>
        <c:axId val="470696704"/>
        <c:axId val="1935395104"/>
      </c:barChart>
      <c:catAx>
        <c:axId val="47069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5395104"/>
        <c:crosses val="autoZero"/>
        <c:auto val="1"/>
        <c:lblAlgn val="ctr"/>
        <c:lblOffset val="100"/>
        <c:noMultiLvlLbl val="0"/>
      </c:catAx>
      <c:valAx>
        <c:axId val="193539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069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1'!$M$1</c:f>
              <c:strCache>
                <c:ptCount val="1"/>
                <c:pt idx="0">
                  <c:v>PDRB</c:v>
                </c:pt>
              </c:strCache>
            </c:strRef>
          </c:tx>
          <c:spPr>
            <a:solidFill>
              <a:srgbClr val="660066"/>
            </a:solidFill>
            <a:ln>
              <a:solidFill>
                <a:srgbClr val="660066"/>
              </a:solidFill>
            </a:ln>
            <a:effectLst/>
          </c:spPr>
          <c:invertIfNegative val="0"/>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1'!$M$2:$M$13</c:f>
              <c:numCache>
                <c:formatCode>General</c:formatCode>
                <c:ptCount val="12"/>
                <c:pt idx="0">
                  <c:v>19354905</c:v>
                </c:pt>
                <c:pt idx="1">
                  <c:v>20538323</c:v>
                </c:pt>
                <c:pt idx="2">
                  <c:v>21733458</c:v>
                </c:pt>
                <c:pt idx="3">
                  <c:v>22889972</c:v>
                </c:pt>
                <c:pt idx="4">
                  <c:v>24007724</c:v>
                </c:pt>
                <c:pt idx="5">
                  <c:v>25211901</c:v>
                </c:pt>
                <c:pt idx="6">
                  <c:v>26446174</c:v>
                </c:pt>
                <c:pt idx="7">
                  <c:v>27786420</c:v>
                </c:pt>
                <c:pt idx="8">
                  <c:v>29193722</c:v>
                </c:pt>
                <c:pt idx="9">
                  <c:v>28490953</c:v>
                </c:pt>
                <c:pt idx="10">
                  <c:v>29361672</c:v>
                </c:pt>
                <c:pt idx="11">
                  <c:v>30800705</c:v>
                </c:pt>
              </c:numCache>
            </c:numRef>
          </c:val>
          <c:extLst>
            <c:ext xmlns:c16="http://schemas.microsoft.com/office/drawing/2014/chart" uri="{C3380CC4-5D6E-409C-BE32-E72D297353CC}">
              <c16:uniqueId val="{00000000-8C66-45FC-A77A-26DEC2DCB4EF}"/>
            </c:ext>
          </c:extLst>
        </c:ser>
        <c:dLbls>
          <c:showLegendKey val="0"/>
          <c:showVal val="0"/>
          <c:showCatName val="0"/>
          <c:showSerName val="0"/>
          <c:showPercent val="0"/>
          <c:showBubbleSize val="0"/>
        </c:dLbls>
        <c:gapWidth val="219"/>
        <c:overlap val="-27"/>
        <c:axId val="2076701472"/>
        <c:axId val="1935414784"/>
      </c:barChart>
      <c:catAx>
        <c:axId val="207670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5414784"/>
        <c:crosses val="autoZero"/>
        <c:auto val="1"/>
        <c:lblAlgn val="ctr"/>
        <c:lblOffset val="100"/>
        <c:noMultiLvlLbl val="0"/>
      </c:catAx>
      <c:valAx>
        <c:axId val="193541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7670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1'!$N$1</c:f>
              <c:strCache>
                <c:ptCount val="1"/>
                <c:pt idx="0">
                  <c:v>Tingkat Pengangguran</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1'!$N$2:$N$13</c:f>
              <c:numCache>
                <c:formatCode>General</c:formatCode>
                <c:ptCount val="12"/>
                <c:pt idx="0">
                  <c:v>8.33</c:v>
                </c:pt>
                <c:pt idx="1">
                  <c:v>4.08</c:v>
                </c:pt>
                <c:pt idx="2">
                  <c:v>4.6500000000000004</c:v>
                </c:pt>
                <c:pt idx="3">
                  <c:v>4.91</c:v>
                </c:pt>
                <c:pt idx="4">
                  <c:v>5.0199999999999996</c:v>
                </c:pt>
                <c:pt idx="5">
                  <c:v>4.55</c:v>
                </c:pt>
                <c:pt idx="6">
                  <c:v>3.18</c:v>
                </c:pt>
                <c:pt idx="7">
                  <c:v>4.1500000000000004</c:v>
                </c:pt>
                <c:pt idx="8">
                  <c:v>3.58</c:v>
                </c:pt>
                <c:pt idx="9">
                  <c:v>5.24</c:v>
                </c:pt>
                <c:pt idx="10">
                  <c:v>5.15</c:v>
                </c:pt>
                <c:pt idx="11">
                  <c:v>6.83</c:v>
                </c:pt>
              </c:numCache>
            </c:numRef>
          </c:val>
          <c:extLst>
            <c:ext xmlns:c16="http://schemas.microsoft.com/office/drawing/2014/chart" uri="{C3380CC4-5D6E-409C-BE32-E72D297353CC}">
              <c16:uniqueId val="{00000000-D54B-4326-A81E-FACE6148464F}"/>
            </c:ext>
          </c:extLst>
        </c:ser>
        <c:dLbls>
          <c:showLegendKey val="0"/>
          <c:showVal val="0"/>
          <c:showCatName val="0"/>
          <c:showSerName val="0"/>
          <c:showPercent val="0"/>
          <c:showBubbleSize val="0"/>
        </c:dLbls>
        <c:gapWidth val="219"/>
        <c:overlap val="-27"/>
        <c:axId val="470640096"/>
        <c:axId val="738369184"/>
      </c:barChart>
      <c:catAx>
        <c:axId val="47064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8369184"/>
        <c:crosses val="autoZero"/>
        <c:auto val="1"/>
        <c:lblAlgn val="ctr"/>
        <c:lblOffset val="100"/>
        <c:noMultiLvlLbl val="0"/>
      </c:catAx>
      <c:valAx>
        <c:axId val="73836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064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1'!$I$1</c:f>
              <c:strCache>
                <c:ptCount val="1"/>
                <c:pt idx="0">
                  <c:v>TK/RA</c:v>
                </c:pt>
              </c:strCache>
            </c:strRef>
          </c:tx>
          <c:spPr>
            <a:solidFill>
              <a:srgbClr val="660066"/>
            </a:solidFill>
            <a:ln>
              <a:solidFill>
                <a:srgbClr val="66006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1'!$A$2:$A$13</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'Data 1'!$I$2:$I$13</c:f>
              <c:numCache>
                <c:formatCode>General</c:formatCode>
                <c:ptCount val="12"/>
                <c:pt idx="0">
                  <c:v>949</c:v>
                </c:pt>
                <c:pt idx="1">
                  <c:v>955</c:v>
                </c:pt>
                <c:pt idx="2">
                  <c:v>958</c:v>
                </c:pt>
                <c:pt idx="3">
                  <c:v>966</c:v>
                </c:pt>
                <c:pt idx="4">
                  <c:v>968</c:v>
                </c:pt>
                <c:pt idx="5">
                  <c:v>972</c:v>
                </c:pt>
                <c:pt idx="6">
                  <c:v>969</c:v>
                </c:pt>
                <c:pt idx="7">
                  <c:v>986</c:v>
                </c:pt>
                <c:pt idx="8">
                  <c:v>997</c:v>
                </c:pt>
                <c:pt idx="9">
                  <c:v>997</c:v>
                </c:pt>
                <c:pt idx="10">
                  <c:v>1013</c:v>
                </c:pt>
                <c:pt idx="11">
                  <c:v>1022</c:v>
                </c:pt>
              </c:numCache>
            </c:numRef>
          </c:val>
          <c:extLst>
            <c:ext xmlns:c16="http://schemas.microsoft.com/office/drawing/2014/chart" uri="{C3380CC4-5D6E-409C-BE32-E72D297353CC}">
              <c16:uniqueId val="{00000000-2BB3-4ABD-886C-0607B1DA38EE}"/>
            </c:ext>
          </c:extLst>
        </c:ser>
        <c:dLbls>
          <c:showLegendKey val="0"/>
          <c:showVal val="0"/>
          <c:showCatName val="0"/>
          <c:showSerName val="0"/>
          <c:showPercent val="0"/>
          <c:showBubbleSize val="0"/>
        </c:dLbls>
        <c:gapWidth val="219"/>
        <c:overlap val="-27"/>
        <c:axId val="2129691296"/>
        <c:axId val="1958109360"/>
      </c:barChart>
      <c:catAx>
        <c:axId val="212969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8109360"/>
        <c:crosses val="autoZero"/>
        <c:auto val="1"/>
        <c:lblAlgn val="ctr"/>
        <c:lblOffset val="100"/>
        <c:noMultiLvlLbl val="0"/>
      </c:catAx>
      <c:valAx>
        <c:axId val="195810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969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9.png"/><Relationship Id="rId18"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chart" Target="../charts/chart17.xml"/><Relationship Id="rId17" Type="http://schemas.openxmlformats.org/officeDocument/2006/relationships/image" Target="../media/image11.png"/><Relationship Id="rId2" Type="http://schemas.openxmlformats.org/officeDocument/2006/relationships/image" Target="../media/image2.png"/><Relationship Id="rId16"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8.png"/><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image" Target="../media/image7.png"/><Relationship Id="rId19" Type="http://schemas.openxmlformats.org/officeDocument/2006/relationships/image" Target="../media/image13.png"/><Relationship Id="rId4" Type="http://schemas.openxmlformats.org/officeDocument/2006/relationships/chart" Target="../charts/chart14.xml"/><Relationship Id="rId9" Type="http://schemas.openxmlformats.org/officeDocument/2006/relationships/chart" Target="../charts/chart16.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600075</xdr:colOff>
      <xdr:row>22</xdr:row>
      <xdr:rowOff>6</xdr:rowOff>
    </xdr:from>
    <xdr:to>
      <xdr:col>8</xdr:col>
      <xdr:colOff>244475</xdr:colOff>
      <xdr:row>36</xdr:row>
      <xdr:rowOff>165106</xdr:rowOff>
    </xdr:to>
    <xdr:graphicFrame macro="">
      <xdr:nvGraphicFramePr>
        <xdr:cNvPr id="2" name="Chart 1">
          <a:extLst>
            <a:ext uri="{FF2B5EF4-FFF2-40B4-BE49-F238E27FC236}">
              <a16:creationId xmlns:a16="http://schemas.microsoft.com/office/drawing/2014/main" id="{839EE6A8-914E-59C5-044A-403D64CFB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485775</xdr:colOff>
      <xdr:row>21</xdr:row>
      <xdr:rowOff>177806</xdr:rowOff>
    </xdr:from>
    <xdr:to>
      <xdr:col>16</xdr:col>
      <xdr:colOff>66675</xdr:colOff>
      <xdr:row>36</xdr:row>
      <xdr:rowOff>158756</xdr:rowOff>
    </xdr:to>
    <xdr:graphicFrame macro="">
      <xdr:nvGraphicFramePr>
        <xdr:cNvPr id="3" name="Chart 2">
          <a:extLst>
            <a:ext uri="{FF2B5EF4-FFF2-40B4-BE49-F238E27FC236}">
              <a16:creationId xmlns:a16="http://schemas.microsoft.com/office/drawing/2014/main" id="{C28E8BBA-8856-C524-0698-D2269E206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3175</xdr:colOff>
      <xdr:row>37</xdr:row>
      <xdr:rowOff>165106</xdr:rowOff>
    </xdr:from>
    <xdr:to>
      <xdr:col>8</xdr:col>
      <xdr:colOff>257175</xdr:colOff>
      <xdr:row>52</xdr:row>
      <xdr:rowOff>146056</xdr:rowOff>
    </xdr:to>
    <xdr:graphicFrame macro="">
      <xdr:nvGraphicFramePr>
        <xdr:cNvPr id="4" name="Chart 3">
          <a:extLst>
            <a:ext uri="{FF2B5EF4-FFF2-40B4-BE49-F238E27FC236}">
              <a16:creationId xmlns:a16="http://schemas.microsoft.com/office/drawing/2014/main" id="{31F936D8-2F8D-D1FE-21B8-9934C2CC6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492125</xdr:colOff>
      <xdr:row>38</xdr:row>
      <xdr:rowOff>6356</xdr:rowOff>
    </xdr:from>
    <xdr:to>
      <xdr:col>16</xdr:col>
      <xdr:colOff>73025</xdr:colOff>
      <xdr:row>52</xdr:row>
      <xdr:rowOff>171456</xdr:rowOff>
    </xdr:to>
    <xdr:graphicFrame macro="">
      <xdr:nvGraphicFramePr>
        <xdr:cNvPr id="5" name="Chart 4">
          <a:extLst>
            <a:ext uri="{FF2B5EF4-FFF2-40B4-BE49-F238E27FC236}">
              <a16:creationId xmlns:a16="http://schemas.microsoft.com/office/drawing/2014/main" id="{49A417B8-0453-5B71-7B2C-0072E86DB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3175</xdr:colOff>
      <xdr:row>53</xdr:row>
      <xdr:rowOff>63506</xdr:rowOff>
    </xdr:from>
    <xdr:to>
      <xdr:col>8</xdr:col>
      <xdr:colOff>257175</xdr:colOff>
      <xdr:row>68</xdr:row>
      <xdr:rowOff>44456</xdr:rowOff>
    </xdr:to>
    <xdr:graphicFrame macro="">
      <xdr:nvGraphicFramePr>
        <xdr:cNvPr id="6" name="Chart 5">
          <a:extLst>
            <a:ext uri="{FF2B5EF4-FFF2-40B4-BE49-F238E27FC236}">
              <a16:creationId xmlns:a16="http://schemas.microsoft.com/office/drawing/2014/main" id="{BAC68C4C-29DC-CB53-CE3B-A60FF48F2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498475</xdr:colOff>
      <xdr:row>53</xdr:row>
      <xdr:rowOff>146056</xdr:rowOff>
    </xdr:from>
    <xdr:to>
      <xdr:col>16</xdr:col>
      <xdr:colOff>79375</xdr:colOff>
      <xdr:row>68</xdr:row>
      <xdr:rowOff>127006</xdr:rowOff>
    </xdr:to>
    <xdr:graphicFrame macro="">
      <xdr:nvGraphicFramePr>
        <xdr:cNvPr id="7" name="Chart 6">
          <a:extLst>
            <a:ext uri="{FF2B5EF4-FFF2-40B4-BE49-F238E27FC236}">
              <a16:creationId xmlns:a16="http://schemas.microsoft.com/office/drawing/2014/main" id="{3DD71020-7CDD-1A23-DB3E-CEDF2FDAB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34925</xdr:colOff>
      <xdr:row>69</xdr:row>
      <xdr:rowOff>44456</xdr:rowOff>
    </xdr:from>
    <xdr:to>
      <xdr:col>8</xdr:col>
      <xdr:colOff>288925</xdr:colOff>
      <xdr:row>84</xdr:row>
      <xdr:rowOff>25406</xdr:rowOff>
    </xdr:to>
    <xdr:graphicFrame macro="">
      <xdr:nvGraphicFramePr>
        <xdr:cNvPr id="8" name="Chart 7">
          <a:extLst>
            <a:ext uri="{FF2B5EF4-FFF2-40B4-BE49-F238E27FC236}">
              <a16:creationId xmlns:a16="http://schemas.microsoft.com/office/drawing/2014/main" id="{FA662CBF-034C-2B19-4D54-7B7C7E712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517525</xdr:colOff>
      <xdr:row>69</xdr:row>
      <xdr:rowOff>76206</xdr:rowOff>
    </xdr:from>
    <xdr:to>
      <xdr:col>16</xdr:col>
      <xdr:colOff>98425</xdr:colOff>
      <xdr:row>84</xdr:row>
      <xdr:rowOff>57156</xdr:rowOff>
    </xdr:to>
    <xdr:graphicFrame macro="">
      <xdr:nvGraphicFramePr>
        <xdr:cNvPr id="10" name="Chart 9">
          <a:extLst>
            <a:ext uri="{FF2B5EF4-FFF2-40B4-BE49-F238E27FC236}">
              <a16:creationId xmlns:a16="http://schemas.microsoft.com/office/drawing/2014/main" id="{88B464EB-B9D4-FDB9-ED87-86FC720B0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130175</xdr:colOff>
      <xdr:row>26</xdr:row>
      <xdr:rowOff>95256</xdr:rowOff>
    </xdr:from>
    <xdr:to>
      <xdr:col>9</xdr:col>
      <xdr:colOff>390525</xdr:colOff>
      <xdr:row>41</xdr:row>
      <xdr:rowOff>76206</xdr:rowOff>
    </xdr:to>
    <xdr:graphicFrame macro="">
      <xdr:nvGraphicFramePr>
        <xdr:cNvPr id="11" name="Chart 10">
          <a:extLst>
            <a:ext uri="{FF2B5EF4-FFF2-40B4-BE49-F238E27FC236}">
              <a16:creationId xmlns:a16="http://schemas.microsoft.com/office/drawing/2014/main" id="{FFBDB858-DEDF-0B39-CD75-BE875D57F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339725</xdr:colOff>
      <xdr:row>27</xdr:row>
      <xdr:rowOff>57156</xdr:rowOff>
    </xdr:from>
    <xdr:to>
      <xdr:col>14</xdr:col>
      <xdr:colOff>523875</xdr:colOff>
      <xdr:row>42</xdr:row>
      <xdr:rowOff>38106</xdr:rowOff>
    </xdr:to>
    <xdr:graphicFrame macro="">
      <xdr:nvGraphicFramePr>
        <xdr:cNvPr id="12" name="Chart 11">
          <a:extLst>
            <a:ext uri="{FF2B5EF4-FFF2-40B4-BE49-F238E27FC236}">
              <a16:creationId xmlns:a16="http://schemas.microsoft.com/office/drawing/2014/main" id="{DE3231CE-5594-A427-B794-02E1F918B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339725</xdr:colOff>
      <xdr:row>30</xdr:row>
      <xdr:rowOff>101606</xdr:rowOff>
    </xdr:from>
    <xdr:to>
      <xdr:col>17</xdr:col>
      <xdr:colOff>542925</xdr:colOff>
      <xdr:row>45</xdr:row>
      <xdr:rowOff>82556</xdr:rowOff>
    </xdr:to>
    <xdr:graphicFrame macro="">
      <xdr:nvGraphicFramePr>
        <xdr:cNvPr id="13" name="Chart 12">
          <a:extLst>
            <a:ext uri="{FF2B5EF4-FFF2-40B4-BE49-F238E27FC236}">
              <a16:creationId xmlns:a16="http://schemas.microsoft.com/office/drawing/2014/main" id="{465F9745-C5B8-913B-5AB3-5C325B35F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485775</xdr:colOff>
      <xdr:row>27</xdr:row>
      <xdr:rowOff>177806</xdr:rowOff>
    </xdr:from>
    <xdr:to>
      <xdr:col>9</xdr:col>
      <xdr:colOff>123825</xdr:colOff>
      <xdr:row>42</xdr:row>
      <xdr:rowOff>158756</xdr:rowOff>
    </xdr:to>
    <xdr:graphicFrame macro="">
      <xdr:nvGraphicFramePr>
        <xdr:cNvPr id="14" name="Chart 13">
          <a:extLst>
            <a:ext uri="{FF2B5EF4-FFF2-40B4-BE49-F238E27FC236}">
              <a16:creationId xmlns:a16="http://schemas.microsoft.com/office/drawing/2014/main" id="{58061370-09E8-35C7-92F4-175C88941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390525</xdr:colOff>
      <xdr:row>28</xdr:row>
      <xdr:rowOff>19056</xdr:rowOff>
    </xdr:from>
    <xdr:to>
      <xdr:col>12</xdr:col>
      <xdr:colOff>650875</xdr:colOff>
      <xdr:row>43</xdr:row>
      <xdr:rowOff>6</xdr:rowOff>
    </xdr:to>
    <xdr:graphicFrame macro="">
      <xdr:nvGraphicFramePr>
        <xdr:cNvPr id="15" name="Chart 14">
          <a:extLst>
            <a:ext uri="{FF2B5EF4-FFF2-40B4-BE49-F238E27FC236}">
              <a16:creationId xmlns:a16="http://schemas.microsoft.com/office/drawing/2014/main" id="{C65CEF1F-CF53-FD72-C275-47314CAEF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86799</xdr:colOff>
      <xdr:row>0</xdr:row>
      <xdr:rowOff>0</xdr:rowOff>
    </xdr:from>
    <xdr:to>
      <xdr:col>31</xdr:col>
      <xdr:colOff>23381</xdr:colOff>
      <xdr:row>4</xdr:row>
      <xdr:rowOff>162501</xdr:rowOff>
    </xdr:to>
    <xdr:sp macro="" textlink="">
      <xdr:nvSpPr>
        <xdr:cNvPr id="23" name="Rectangle: Rounded Corners 22">
          <a:extLst>
            <a:ext uri="{FF2B5EF4-FFF2-40B4-BE49-F238E27FC236}">
              <a16:creationId xmlns:a16="http://schemas.microsoft.com/office/drawing/2014/main" id="{337BC714-AB38-9835-DBFB-0929DCC38550}"/>
            </a:ext>
          </a:extLst>
        </xdr:cNvPr>
        <xdr:cNvSpPr/>
      </xdr:nvSpPr>
      <xdr:spPr>
        <a:xfrm>
          <a:off x="86799" y="0"/>
          <a:ext cx="19822449" cy="888215"/>
        </a:xfrm>
        <a:prstGeom prst="roundRect">
          <a:avLst>
            <a:gd name="adj" fmla="val 9068"/>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clientData/>
  </xdr:twoCellAnchor>
  <xdr:twoCellAnchor>
    <xdr:from>
      <xdr:col>0</xdr:col>
      <xdr:colOff>340548</xdr:colOff>
      <xdr:row>0</xdr:row>
      <xdr:rowOff>143625</xdr:rowOff>
    </xdr:from>
    <xdr:to>
      <xdr:col>16</xdr:col>
      <xdr:colOff>229997</xdr:colOff>
      <xdr:row>3</xdr:row>
      <xdr:rowOff>158264</xdr:rowOff>
    </xdr:to>
    <xdr:sp macro="" textlink="">
      <xdr:nvSpPr>
        <xdr:cNvPr id="26" name="TextBox 25">
          <a:extLst>
            <a:ext uri="{FF2B5EF4-FFF2-40B4-BE49-F238E27FC236}">
              <a16:creationId xmlns:a16="http://schemas.microsoft.com/office/drawing/2014/main" id="{7DDFAE9E-D212-B40D-6161-35FF9AA2E7E3}"/>
            </a:ext>
          </a:extLst>
        </xdr:cNvPr>
        <xdr:cNvSpPr txBox="1"/>
      </xdr:nvSpPr>
      <xdr:spPr>
        <a:xfrm>
          <a:off x="340548" y="143625"/>
          <a:ext cx="10153122" cy="558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aseline="0">
              <a:solidFill>
                <a:srgbClr val="F4CADE"/>
              </a:solidFill>
              <a:latin typeface="Almond Nougat" panose="02000600000000000000" pitchFamily="2" charset="0"/>
            </a:rPr>
            <a:t>Welcome to Dashboard Kabupaten Kediri Tahun 2011 - 2022</a:t>
          </a:r>
          <a:endParaRPr lang="id-ID" sz="3600">
            <a:solidFill>
              <a:srgbClr val="F4CADE"/>
            </a:solidFill>
            <a:latin typeface="Almond Nougat" panose="02000600000000000000" pitchFamily="2" charset="0"/>
          </a:endParaRPr>
        </a:p>
      </xdr:txBody>
    </xdr:sp>
    <xdr:clientData/>
  </xdr:twoCellAnchor>
  <xdr:twoCellAnchor>
    <xdr:from>
      <xdr:col>14</xdr:col>
      <xdr:colOff>496814</xdr:colOff>
      <xdr:row>0</xdr:row>
      <xdr:rowOff>57756</xdr:rowOff>
    </xdr:from>
    <xdr:to>
      <xdr:col>14</xdr:col>
      <xdr:colOff>496814</xdr:colOff>
      <xdr:row>4</xdr:row>
      <xdr:rowOff>104744</xdr:rowOff>
    </xdr:to>
    <xdr:cxnSp macro="">
      <xdr:nvCxnSpPr>
        <xdr:cNvPr id="8" name="Straight Connector 7">
          <a:extLst>
            <a:ext uri="{FF2B5EF4-FFF2-40B4-BE49-F238E27FC236}">
              <a16:creationId xmlns:a16="http://schemas.microsoft.com/office/drawing/2014/main" id="{F50FD209-62FF-6434-8B5E-6643BF0AFB27}"/>
            </a:ext>
          </a:extLst>
        </xdr:cNvPr>
        <xdr:cNvCxnSpPr/>
      </xdr:nvCxnSpPr>
      <xdr:spPr>
        <a:xfrm>
          <a:off x="9477528" y="57756"/>
          <a:ext cx="0" cy="772702"/>
        </a:xfrm>
        <a:prstGeom prst="line">
          <a:avLst/>
        </a:prstGeom>
        <a:ln w="57150">
          <a:gradFill flip="none" rotWithShape="1">
            <a:gsLst>
              <a:gs pos="0">
                <a:srgbClr val="4A1C58">
                  <a:alpha val="0"/>
                </a:srgbClr>
              </a:gs>
              <a:gs pos="31000">
                <a:srgbClr val="4A1C58"/>
              </a:gs>
              <a:gs pos="77000">
                <a:srgbClr val="4A1C58"/>
              </a:gs>
              <a:gs pos="100000">
                <a:srgbClr val="4A1C58">
                  <a:alpha val="0"/>
                </a:srgbClr>
              </a:gs>
            </a:gsLst>
            <a:lin ang="162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402500</xdr:colOff>
      <xdr:row>0</xdr:row>
      <xdr:rowOff>0</xdr:rowOff>
    </xdr:from>
    <xdr:to>
      <xdr:col>30</xdr:col>
      <xdr:colOff>397695</xdr:colOff>
      <xdr:row>4</xdr:row>
      <xdr:rowOff>103738</xdr:rowOff>
    </xdr:to>
    <xdr:grpSp>
      <xdr:nvGrpSpPr>
        <xdr:cNvPr id="32" name="Group 31">
          <a:extLst>
            <a:ext uri="{FF2B5EF4-FFF2-40B4-BE49-F238E27FC236}">
              <a16:creationId xmlns:a16="http://schemas.microsoft.com/office/drawing/2014/main" id="{BFC8F8CE-8BE1-0F00-1870-765C74BC549B}"/>
            </a:ext>
          </a:extLst>
        </xdr:cNvPr>
        <xdr:cNvGrpSpPr/>
      </xdr:nvGrpSpPr>
      <xdr:grpSpPr>
        <a:xfrm>
          <a:off x="16277500" y="0"/>
          <a:ext cx="3170195" cy="829452"/>
          <a:chOff x="17310614" y="0"/>
          <a:chExt cx="3192449" cy="835990"/>
        </a:xfrm>
      </xdr:grpSpPr>
      <xdr:cxnSp macro="">
        <xdr:nvCxnSpPr>
          <xdr:cNvPr id="10" name="Straight Connector 9">
            <a:extLst>
              <a:ext uri="{FF2B5EF4-FFF2-40B4-BE49-F238E27FC236}">
                <a16:creationId xmlns:a16="http://schemas.microsoft.com/office/drawing/2014/main" id="{6E48D7E0-5D82-F9BC-0162-BD51BC315847}"/>
              </a:ext>
            </a:extLst>
          </xdr:cNvPr>
          <xdr:cNvCxnSpPr/>
        </xdr:nvCxnSpPr>
        <xdr:spPr>
          <a:xfrm>
            <a:off x="17310614" y="58762"/>
            <a:ext cx="0" cy="777228"/>
          </a:xfrm>
          <a:prstGeom prst="line">
            <a:avLst/>
          </a:prstGeom>
          <a:ln w="57150">
            <a:gradFill flip="none" rotWithShape="1">
              <a:gsLst>
                <a:gs pos="0">
                  <a:srgbClr val="4A1C58">
                    <a:alpha val="0"/>
                  </a:srgbClr>
                </a:gs>
                <a:gs pos="31000">
                  <a:srgbClr val="4A1C58"/>
                </a:gs>
                <a:gs pos="77000">
                  <a:srgbClr val="4A1C58"/>
                </a:gs>
                <a:gs pos="100000">
                  <a:srgbClr val="4A1C58">
                    <a:alpha val="0"/>
                  </a:srgbClr>
                </a:gs>
              </a:gsLst>
              <a:lin ang="1620000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109" name="Group 108">
            <a:extLst>
              <a:ext uri="{FF2B5EF4-FFF2-40B4-BE49-F238E27FC236}">
                <a16:creationId xmlns:a16="http://schemas.microsoft.com/office/drawing/2014/main" id="{8584A1D6-8DDB-0A0F-6643-7994FAC0F830}"/>
              </a:ext>
            </a:extLst>
          </xdr:cNvPr>
          <xdr:cNvGrpSpPr/>
        </xdr:nvGrpSpPr>
        <xdr:grpSpPr>
          <a:xfrm>
            <a:off x="17495696" y="0"/>
            <a:ext cx="3007367" cy="830951"/>
            <a:chOff x="16870058" y="0"/>
            <a:chExt cx="2507165" cy="829288"/>
          </a:xfrm>
        </xdr:grpSpPr>
        <xdr:sp macro="" textlink="">
          <xdr:nvSpPr>
            <xdr:cNvPr id="93" name="TextBox 92">
              <a:extLst>
                <a:ext uri="{FF2B5EF4-FFF2-40B4-BE49-F238E27FC236}">
                  <a16:creationId xmlns:a16="http://schemas.microsoft.com/office/drawing/2014/main" id="{32580024-E787-F133-24D0-F315F67DA89C}"/>
                </a:ext>
              </a:extLst>
            </xdr:cNvPr>
            <xdr:cNvSpPr txBox="1"/>
          </xdr:nvSpPr>
          <xdr:spPr>
            <a:xfrm>
              <a:off x="17770767" y="441436"/>
              <a:ext cx="1466787" cy="387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0">
                  <a:solidFill>
                    <a:srgbClr val="F4CADE"/>
                  </a:solidFill>
                  <a:latin typeface="Almond Nougat" panose="02000600000000000000" pitchFamily="2" charset="0"/>
                </a:rPr>
                <a:t>Sex</a:t>
              </a:r>
              <a:r>
                <a:rPr lang="en-ID" sz="1800" b="0" baseline="0">
                  <a:solidFill>
                    <a:srgbClr val="F4CADE"/>
                  </a:solidFill>
                  <a:latin typeface="Almond Nougat" panose="02000600000000000000" pitchFamily="2" charset="0"/>
                </a:rPr>
                <a:t> Ratio</a:t>
              </a:r>
              <a:endParaRPr lang="en-ID" sz="1800" b="0">
                <a:solidFill>
                  <a:srgbClr val="F4CADE"/>
                </a:solidFill>
                <a:latin typeface="Almond Nougat" panose="02000600000000000000" pitchFamily="2" charset="0"/>
              </a:endParaRPr>
            </a:p>
          </xdr:txBody>
        </xdr:sp>
        <xdr:sp macro="" textlink="'Pivot Table'!$H$23">
          <xdr:nvSpPr>
            <xdr:cNvPr id="94" name="TextBox 93">
              <a:extLst>
                <a:ext uri="{FF2B5EF4-FFF2-40B4-BE49-F238E27FC236}">
                  <a16:creationId xmlns:a16="http://schemas.microsoft.com/office/drawing/2014/main" id="{316D5FB3-BF11-CDC4-BB85-DC25FCF4BB7C}"/>
                </a:ext>
              </a:extLst>
            </xdr:cNvPr>
            <xdr:cNvSpPr txBox="1"/>
          </xdr:nvSpPr>
          <xdr:spPr>
            <a:xfrm>
              <a:off x="17767202" y="0"/>
              <a:ext cx="1610021" cy="520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2192902-17B2-436A-A319-09D19DECA7AE}" type="TxLink">
                <a:rPr lang="en-US" sz="3600" b="1" i="0" u="none" strike="noStrike">
                  <a:solidFill>
                    <a:srgbClr val="F4CADE"/>
                  </a:solidFill>
                  <a:latin typeface="Almond Nougat" panose="02000600000000000000" pitchFamily="2" charset="0"/>
                  <a:ea typeface="Calibri"/>
                  <a:cs typeface="Calibri"/>
                </a:rPr>
                <a:pPr algn="l"/>
                <a:t>1212</a:t>
              </a:fld>
              <a:endParaRPr lang="en-US" sz="3600" b="1">
                <a:solidFill>
                  <a:srgbClr val="F4CADE"/>
                </a:solidFill>
                <a:latin typeface="Almond Nougat" panose="02000600000000000000" pitchFamily="2" charset="0"/>
              </a:endParaRPr>
            </a:p>
          </xdr:txBody>
        </xdr:sp>
        <xdr:pic>
          <xdr:nvPicPr>
            <xdr:cNvPr id="55" name="Picture 54">
              <a:extLst>
                <a:ext uri="{FF2B5EF4-FFF2-40B4-BE49-F238E27FC236}">
                  <a16:creationId xmlns:a16="http://schemas.microsoft.com/office/drawing/2014/main" id="{953E779D-B566-63D8-FE81-4B6BCF311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70058" y="105848"/>
              <a:ext cx="702156" cy="684000"/>
            </a:xfrm>
            <a:prstGeom prst="rect">
              <a:avLst/>
            </a:prstGeom>
          </xdr:spPr>
        </xdr:pic>
      </xdr:grpSp>
    </xdr:grpSp>
    <xdr:clientData/>
  </xdr:twoCellAnchor>
  <xdr:twoCellAnchor>
    <xdr:from>
      <xdr:col>20</xdr:col>
      <xdr:colOff>164365</xdr:colOff>
      <xdr:row>0</xdr:row>
      <xdr:rowOff>31743</xdr:rowOff>
    </xdr:from>
    <xdr:to>
      <xdr:col>24</xdr:col>
      <xdr:colOff>82527</xdr:colOff>
      <xdr:row>4</xdr:row>
      <xdr:rowOff>130757</xdr:rowOff>
    </xdr:to>
    <xdr:grpSp>
      <xdr:nvGrpSpPr>
        <xdr:cNvPr id="31" name="Group 30">
          <a:extLst>
            <a:ext uri="{FF2B5EF4-FFF2-40B4-BE49-F238E27FC236}">
              <a16:creationId xmlns:a16="http://schemas.microsoft.com/office/drawing/2014/main" id="{B8992FAC-9265-F47A-F3B2-70A18D75724E}"/>
            </a:ext>
          </a:extLst>
        </xdr:cNvPr>
        <xdr:cNvGrpSpPr/>
      </xdr:nvGrpSpPr>
      <xdr:grpSpPr>
        <a:xfrm>
          <a:off x="12864365" y="31743"/>
          <a:ext cx="2458162" cy="824728"/>
          <a:chOff x="12185898" y="31743"/>
          <a:chExt cx="2484080" cy="824728"/>
        </a:xfrm>
      </xdr:grpSpPr>
      <xdr:cxnSp macro="">
        <xdr:nvCxnSpPr>
          <xdr:cNvPr id="9" name="Straight Connector 8">
            <a:extLst>
              <a:ext uri="{FF2B5EF4-FFF2-40B4-BE49-F238E27FC236}">
                <a16:creationId xmlns:a16="http://schemas.microsoft.com/office/drawing/2014/main" id="{A2078A0B-4AB9-2A25-FB21-EBB9E162F69F}"/>
              </a:ext>
            </a:extLst>
          </xdr:cNvPr>
          <xdr:cNvCxnSpPr/>
        </xdr:nvCxnSpPr>
        <xdr:spPr>
          <a:xfrm>
            <a:off x="12185898" y="58762"/>
            <a:ext cx="0" cy="770690"/>
          </a:xfrm>
          <a:prstGeom prst="line">
            <a:avLst/>
          </a:prstGeom>
          <a:ln w="57150">
            <a:gradFill flip="none" rotWithShape="1">
              <a:gsLst>
                <a:gs pos="0">
                  <a:srgbClr val="4A1C58">
                    <a:alpha val="0"/>
                  </a:srgbClr>
                </a:gs>
                <a:gs pos="31000">
                  <a:srgbClr val="4A1C58"/>
                </a:gs>
                <a:gs pos="77000">
                  <a:srgbClr val="4A1C58"/>
                </a:gs>
                <a:gs pos="100000">
                  <a:srgbClr val="4A1C58">
                    <a:alpha val="0"/>
                  </a:srgbClr>
                </a:gs>
              </a:gsLst>
              <a:lin ang="1620000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108" name="Group 107">
            <a:extLst>
              <a:ext uri="{FF2B5EF4-FFF2-40B4-BE49-F238E27FC236}">
                <a16:creationId xmlns:a16="http://schemas.microsoft.com/office/drawing/2014/main" id="{F973CFAF-48E4-1A14-FCAA-5D8C79E70EC1}"/>
              </a:ext>
            </a:extLst>
          </xdr:cNvPr>
          <xdr:cNvGrpSpPr/>
        </xdr:nvGrpSpPr>
        <xdr:grpSpPr>
          <a:xfrm>
            <a:off x="12331057" y="31743"/>
            <a:ext cx="2338921" cy="824728"/>
            <a:chOff x="14290386" y="0"/>
            <a:chExt cx="2342138" cy="829616"/>
          </a:xfrm>
        </xdr:grpSpPr>
        <xdr:sp macro="" textlink="">
          <xdr:nvSpPr>
            <xdr:cNvPr id="90" name="TextBox 89">
              <a:extLst>
                <a:ext uri="{FF2B5EF4-FFF2-40B4-BE49-F238E27FC236}">
                  <a16:creationId xmlns:a16="http://schemas.microsoft.com/office/drawing/2014/main" id="{050E70CF-1B65-4BC6-73F4-235B531F9B39}"/>
                </a:ext>
              </a:extLst>
            </xdr:cNvPr>
            <xdr:cNvSpPr txBox="1"/>
          </xdr:nvSpPr>
          <xdr:spPr>
            <a:xfrm>
              <a:off x="15028671" y="441781"/>
              <a:ext cx="1467433" cy="387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0">
                  <a:solidFill>
                    <a:srgbClr val="F4CADE"/>
                  </a:solidFill>
                  <a:latin typeface="Almond Nougat" panose="02000600000000000000" pitchFamily="2" charset="0"/>
                </a:rPr>
                <a:t>Perempuan</a:t>
              </a:r>
            </a:p>
          </xdr:txBody>
        </xdr:sp>
        <xdr:sp macro="" textlink="'Pivot Table'!$H$19">
          <xdr:nvSpPr>
            <xdr:cNvPr id="91" name="TextBox 90">
              <a:extLst>
                <a:ext uri="{FF2B5EF4-FFF2-40B4-BE49-F238E27FC236}">
                  <a16:creationId xmlns:a16="http://schemas.microsoft.com/office/drawing/2014/main" id="{4ACA2FDE-BB59-C328-6D09-051D99718CD0}"/>
                </a:ext>
              </a:extLst>
            </xdr:cNvPr>
            <xdr:cNvSpPr txBox="1"/>
          </xdr:nvSpPr>
          <xdr:spPr>
            <a:xfrm>
              <a:off x="15021913" y="0"/>
              <a:ext cx="1610611" cy="519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F62AAAB-2D6D-41CA-8C9B-6F90D5B6F3B2}" type="TxLink">
                <a:rPr lang="en-US" sz="3600" b="1" i="0" u="none" strike="noStrike">
                  <a:solidFill>
                    <a:srgbClr val="F4CADE"/>
                  </a:solidFill>
                  <a:latin typeface="Almond Nougat" panose="02000600000000000000" pitchFamily="2" charset="0"/>
                  <a:ea typeface="Calibri"/>
                  <a:cs typeface="Calibri"/>
                </a:rPr>
                <a:pPr algn="l"/>
                <a:t>9.375.392</a:t>
              </a:fld>
              <a:endParaRPr lang="en-US" sz="3600" b="1">
                <a:solidFill>
                  <a:srgbClr val="F4CADE"/>
                </a:solidFill>
                <a:latin typeface="Almond Nougat" panose="02000600000000000000" pitchFamily="2" charset="0"/>
              </a:endParaRPr>
            </a:p>
          </xdr:txBody>
        </xdr:sp>
        <xdr:pic>
          <xdr:nvPicPr>
            <xdr:cNvPr id="59" name="Picture 58">
              <a:extLst>
                <a:ext uri="{FF2B5EF4-FFF2-40B4-BE49-F238E27FC236}">
                  <a16:creationId xmlns:a16="http://schemas.microsoft.com/office/drawing/2014/main" id="{7AE92BB4-795B-B7B9-7A9D-41F33CAB8F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90386" y="123848"/>
              <a:ext cx="667846" cy="648000"/>
            </a:xfrm>
            <a:prstGeom prst="rect">
              <a:avLst/>
            </a:prstGeom>
          </xdr:spPr>
        </xdr:pic>
      </xdr:grpSp>
    </xdr:grpSp>
    <xdr:clientData/>
  </xdr:twoCellAnchor>
  <xdr:twoCellAnchor>
    <xdr:from>
      <xdr:col>15</xdr:col>
      <xdr:colOff>6586</xdr:colOff>
      <xdr:row>0</xdr:row>
      <xdr:rowOff>31743</xdr:rowOff>
    </xdr:from>
    <xdr:to>
      <xdr:col>18</xdr:col>
      <xdr:colOff>398761</xdr:colOff>
      <xdr:row>4</xdr:row>
      <xdr:rowOff>130757</xdr:rowOff>
    </xdr:to>
    <xdr:grpSp>
      <xdr:nvGrpSpPr>
        <xdr:cNvPr id="101" name="Group 100">
          <a:extLst>
            <a:ext uri="{FF2B5EF4-FFF2-40B4-BE49-F238E27FC236}">
              <a16:creationId xmlns:a16="http://schemas.microsoft.com/office/drawing/2014/main" id="{E7D20BBA-85FD-0045-1CFB-F84A574CEFB5}"/>
            </a:ext>
          </a:extLst>
        </xdr:cNvPr>
        <xdr:cNvGrpSpPr/>
      </xdr:nvGrpSpPr>
      <xdr:grpSpPr>
        <a:xfrm>
          <a:off x="9531586" y="31743"/>
          <a:ext cx="2297175" cy="824728"/>
          <a:chOff x="11708154" y="0"/>
          <a:chExt cx="2324887" cy="826878"/>
        </a:xfrm>
      </xdr:grpSpPr>
      <xdr:sp macro="" textlink="">
        <xdr:nvSpPr>
          <xdr:cNvPr id="84" name="TextBox 83">
            <a:extLst>
              <a:ext uri="{FF2B5EF4-FFF2-40B4-BE49-F238E27FC236}">
                <a16:creationId xmlns:a16="http://schemas.microsoft.com/office/drawing/2014/main" id="{CA61A268-1DAF-5941-3AD0-4FF49DC7D5B3}"/>
              </a:ext>
            </a:extLst>
          </xdr:cNvPr>
          <xdr:cNvSpPr txBox="1"/>
        </xdr:nvSpPr>
        <xdr:spPr>
          <a:xfrm>
            <a:off x="12439660" y="440337"/>
            <a:ext cx="1471123" cy="386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0">
                <a:solidFill>
                  <a:srgbClr val="F4CADE"/>
                </a:solidFill>
                <a:latin typeface="Almond Nougat" panose="02000600000000000000" pitchFamily="2" charset="0"/>
              </a:rPr>
              <a:t>Laki-laki</a:t>
            </a:r>
          </a:p>
        </xdr:txBody>
      </xdr:sp>
      <xdr:sp macro="" textlink="'Pivot Table'!$E$21">
        <xdr:nvSpPr>
          <xdr:cNvPr id="85" name="TextBox 84">
            <a:extLst>
              <a:ext uri="{FF2B5EF4-FFF2-40B4-BE49-F238E27FC236}">
                <a16:creationId xmlns:a16="http://schemas.microsoft.com/office/drawing/2014/main" id="{76F09C71-7AD1-DDE8-2C97-FF4098EAFA61}"/>
              </a:ext>
            </a:extLst>
          </xdr:cNvPr>
          <xdr:cNvSpPr txBox="1"/>
        </xdr:nvSpPr>
        <xdr:spPr>
          <a:xfrm>
            <a:off x="12418921" y="0"/>
            <a:ext cx="1614120" cy="51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04B9C3A-7C3E-4AF0-A15B-4CB22A12D1C2}" type="TxLink">
              <a:rPr lang="en-US" sz="3600" b="1" i="0" u="none" strike="noStrike">
                <a:solidFill>
                  <a:srgbClr val="F4CADE"/>
                </a:solidFill>
                <a:latin typeface="Almond Nougat" panose="02000600000000000000" pitchFamily="2" charset="0"/>
                <a:ea typeface="Calibri"/>
                <a:cs typeface="Calibri"/>
              </a:rPr>
              <a:pPr algn="l"/>
              <a:t>9.469.305</a:t>
            </a:fld>
            <a:endParaRPr lang="en-US" sz="3600" b="1">
              <a:solidFill>
                <a:srgbClr val="F4CADE"/>
              </a:solidFill>
              <a:latin typeface="Almond Nougat" panose="02000600000000000000" pitchFamily="2" charset="0"/>
            </a:endParaRPr>
          </a:p>
        </xdr:txBody>
      </xdr:sp>
      <xdr:pic>
        <xdr:nvPicPr>
          <xdr:cNvPr id="62" name="Picture 61">
            <a:extLst>
              <a:ext uri="{FF2B5EF4-FFF2-40B4-BE49-F238E27FC236}">
                <a16:creationId xmlns:a16="http://schemas.microsoft.com/office/drawing/2014/main" id="{6AF4FF5E-965F-DE82-856E-E77D212D26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08154" y="122479"/>
            <a:ext cx="680428" cy="648000"/>
          </a:xfrm>
          <a:prstGeom prst="rect">
            <a:avLst/>
          </a:prstGeom>
        </xdr:spPr>
      </xdr:pic>
    </xdr:grpSp>
    <xdr:clientData/>
  </xdr:twoCellAnchor>
  <xdr:twoCellAnchor>
    <xdr:from>
      <xdr:col>26</xdr:col>
      <xdr:colOff>236657</xdr:colOff>
      <xdr:row>25</xdr:row>
      <xdr:rowOff>9113</xdr:rowOff>
    </xdr:from>
    <xdr:to>
      <xdr:col>31</xdr:col>
      <xdr:colOff>307578</xdr:colOff>
      <xdr:row>41</xdr:row>
      <xdr:rowOff>0</xdr:rowOff>
    </xdr:to>
    <xdr:grpSp>
      <xdr:nvGrpSpPr>
        <xdr:cNvPr id="115" name="Group 114">
          <a:extLst>
            <a:ext uri="{FF2B5EF4-FFF2-40B4-BE49-F238E27FC236}">
              <a16:creationId xmlns:a16="http://schemas.microsoft.com/office/drawing/2014/main" id="{CC33154D-53C7-61FD-0F55-8F7B9436E2DB}"/>
            </a:ext>
          </a:extLst>
        </xdr:cNvPr>
        <xdr:cNvGrpSpPr/>
      </xdr:nvGrpSpPr>
      <xdr:grpSpPr>
        <a:xfrm>
          <a:off x="16746657" y="4544827"/>
          <a:ext cx="3245921" cy="2893744"/>
          <a:chOff x="16679114" y="4617771"/>
          <a:chExt cx="2839928" cy="3338885"/>
        </a:xfrm>
      </xdr:grpSpPr>
      <xdr:sp macro="" textlink="">
        <xdr:nvSpPr>
          <xdr:cNvPr id="11" name="Rectangle: Rounded Corners 10">
            <a:extLst>
              <a:ext uri="{FF2B5EF4-FFF2-40B4-BE49-F238E27FC236}">
                <a16:creationId xmlns:a16="http://schemas.microsoft.com/office/drawing/2014/main" id="{2F83CD08-7331-E08E-E998-4D050DBEA426}"/>
              </a:ext>
            </a:extLst>
          </xdr:cNvPr>
          <xdr:cNvSpPr/>
        </xdr:nvSpPr>
        <xdr:spPr>
          <a:xfrm>
            <a:off x="16839464" y="4617771"/>
            <a:ext cx="2448330" cy="3234219"/>
          </a:xfrm>
          <a:prstGeom prst="roundRect">
            <a:avLst>
              <a:gd name="adj" fmla="val 4216"/>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graphicFrame macro="">
        <xdr:nvGraphicFramePr>
          <xdr:cNvPr id="17" name="Chart 16">
            <a:extLst>
              <a:ext uri="{FF2B5EF4-FFF2-40B4-BE49-F238E27FC236}">
                <a16:creationId xmlns:a16="http://schemas.microsoft.com/office/drawing/2014/main" id="{95063DA6-F6C7-45CC-BC9B-F0ABDFF98F7B}"/>
              </a:ext>
            </a:extLst>
          </xdr:cNvPr>
          <xdr:cNvGraphicFramePr>
            <a:graphicFrameLocks/>
          </xdr:cNvGraphicFramePr>
        </xdr:nvGraphicFramePr>
        <xdr:xfrm>
          <a:off x="16679114" y="4697066"/>
          <a:ext cx="2839928" cy="325959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2" name="TextBox 21">
            <a:extLst>
              <a:ext uri="{FF2B5EF4-FFF2-40B4-BE49-F238E27FC236}">
                <a16:creationId xmlns:a16="http://schemas.microsoft.com/office/drawing/2014/main" id="{0ECB146B-CF73-4353-8169-D90A0C3BF123}"/>
              </a:ext>
            </a:extLst>
          </xdr:cNvPr>
          <xdr:cNvSpPr txBox="1"/>
        </xdr:nvSpPr>
        <xdr:spPr>
          <a:xfrm>
            <a:off x="17655576" y="4758932"/>
            <a:ext cx="1022888" cy="389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2000" b="0">
                <a:solidFill>
                  <a:srgbClr val="F4CADE"/>
                </a:solidFill>
                <a:latin typeface="Almond Nougat" panose="02000600000000000000" pitchFamily="2" charset="0"/>
              </a:rPr>
              <a:t>Sekolah</a:t>
            </a:r>
          </a:p>
        </xdr:txBody>
      </xdr:sp>
      <xdr:pic>
        <xdr:nvPicPr>
          <xdr:cNvPr id="73" name="Picture 72">
            <a:extLst>
              <a:ext uri="{FF2B5EF4-FFF2-40B4-BE49-F238E27FC236}">
                <a16:creationId xmlns:a16="http://schemas.microsoft.com/office/drawing/2014/main" id="{AAAFB930-B922-F322-FFF4-C7A228DD42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015030" y="4703380"/>
            <a:ext cx="584842" cy="571866"/>
          </a:xfrm>
          <a:prstGeom prst="rect">
            <a:avLst/>
          </a:prstGeom>
        </xdr:spPr>
      </xdr:pic>
    </xdr:grpSp>
    <xdr:clientData/>
  </xdr:twoCellAnchor>
  <xdr:twoCellAnchor>
    <xdr:from>
      <xdr:col>0</xdr:col>
      <xdr:colOff>77055</xdr:colOff>
      <xdr:row>5</xdr:row>
      <xdr:rowOff>30979</xdr:rowOff>
    </xdr:from>
    <xdr:to>
      <xdr:col>31</xdr:col>
      <xdr:colOff>31134</xdr:colOff>
      <xdr:row>40</xdr:row>
      <xdr:rowOff>96265</xdr:rowOff>
    </xdr:to>
    <xdr:grpSp>
      <xdr:nvGrpSpPr>
        <xdr:cNvPr id="74" name="Group 73">
          <a:extLst>
            <a:ext uri="{FF2B5EF4-FFF2-40B4-BE49-F238E27FC236}">
              <a16:creationId xmlns:a16="http://schemas.microsoft.com/office/drawing/2014/main" id="{DFB180C8-A435-CDAA-1C9F-121E5F1A895F}"/>
            </a:ext>
          </a:extLst>
        </xdr:cNvPr>
        <xdr:cNvGrpSpPr/>
      </xdr:nvGrpSpPr>
      <xdr:grpSpPr>
        <a:xfrm>
          <a:off x="77055" y="938122"/>
          <a:ext cx="19639079" cy="6415286"/>
          <a:chOff x="77055" y="983479"/>
          <a:chExt cx="20032779" cy="6732786"/>
        </a:xfrm>
      </xdr:grpSpPr>
      <xdr:grpSp>
        <xdr:nvGrpSpPr>
          <xdr:cNvPr id="67" name="Group 66">
            <a:extLst>
              <a:ext uri="{FF2B5EF4-FFF2-40B4-BE49-F238E27FC236}">
                <a16:creationId xmlns:a16="http://schemas.microsoft.com/office/drawing/2014/main" id="{C290B560-2035-98D7-A8EF-A690F46694CF}"/>
              </a:ext>
            </a:extLst>
          </xdr:cNvPr>
          <xdr:cNvGrpSpPr/>
        </xdr:nvGrpSpPr>
        <xdr:grpSpPr>
          <a:xfrm>
            <a:off x="2748189" y="1006555"/>
            <a:ext cx="5474009" cy="3196278"/>
            <a:chOff x="2748189" y="1006555"/>
            <a:chExt cx="5474009" cy="3196278"/>
          </a:xfrm>
        </xdr:grpSpPr>
        <xdr:grpSp>
          <xdr:nvGrpSpPr>
            <xdr:cNvPr id="60" name="Group 59">
              <a:extLst>
                <a:ext uri="{FF2B5EF4-FFF2-40B4-BE49-F238E27FC236}">
                  <a16:creationId xmlns:a16="http://schemas.microsoft.com/office/drawing/2014/main" id="{DBF6FB48-1676-C77A-5CFF-6B2071EE4399}"/>
                </a:ext>
              </a:extLst>
            </xdr:cNvPr>
            <xdr:cNvGrpSpPr/>
          </xdr:nvGrpSpPr>
          <xdr:grpSpPr>
            <a:xfrm>
              <a:off x="2748189" y="1006555"/>
              <a:ext cx="5474009" cy="3196278"/>
              <a:chOff x="2268537" y="953871"/>
              <a:chExt cx="5559360" cy="3023320"/>
            </a:xfrm>
          </xdr:grpSpPr>
          <xdr:sp macro="" textlink="">
            <xdr:nvSpPr>
              <xdr:cNvPr id="14" name="Rectangle: Rounded Corners 13">
                <a:extLst>
                  <a:ext uri="{FF2B5EF4-FFF2-40B4-BE49-F238E27FC236}">
                    <a16:creationId xmlns:a16="http://schemas.microsoft.com/office/drawing/2014/main" id="{D46FC967-7F87-AEAC-6A4D-288F4940D387}"/>
                  </a:ext>
                </a:extLst>
              </xdr:cNvPr>
              <xdr:cNvSpPr/>
            </xdr:nvSpPr>
            <xdr:spPr>
              <a:xfrm>
                <a:off x="2268537" y="953871"/>
                <a:ext cx="5559360" cy="3023320"/>
              </a:xfrm>
              <a:prstGeom prst="roundRect">
                <a:avLst>
                  <a:gd name="adj" fmla="val 2835"/>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pic>
            <xdr:nvPicPr>
              <xdr:cNvPr id="49" name="Picture 48">
                <a:extLst>
                  <a:ext uri="{FF2B5EF4-FFF2-40B4-BE49-F238E27FC236}">
                    <a16:creationId xmlns:a16="http://schemas.microsoft.com/office/drawing/2014/main" id="{D278A9FD-C9E9-C1CC-7321-303C9079315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95810" y="1211319"/>
                <a:ext cx="4870549" cy="2603167"/>
              </a:xfrm>
              <a:prstGeom prst="rect">
                <a:avLst/>
              </a:prstGeom>
            </xdr:spPr>
          </xdr:pic>
        </xdr:grpSp>
        <xdr:sp macro="" textlink="">
          <xdr:nvSpPr>
            <xdr:cNvPr id="33" name="TextBox 32">
              <a:extLst>
                <a:ext uri="{FF2B5EF4-FFF2-40B4-BE49-F238E27FC236}">
                  <a16:creationId xmlns:a16="http://schemas.microsoft.com/office/drawing/2014/main" id="{EA009599-BC20-488D-93BC-FEAC24BBF36C}"/>
                </a:ext>
              </a:extLst>
            </xdr:cNvPr>
            <xdr:cNvSpPr txBox="1"/>
          </xdr:nvSpPr>
          <xdr:spPr>
            <a:xfrm>
              <a:off x="3360745" y="1171795"/>
              <a:ext cx="1681197" cy="405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2000" b="0">
                  <a:solidFill>
                    <a:srgbClr val="F4CADE"/>
                  </a:solidFill>
                  <a:latin typeface="Almond Nougat" panose="02000600000000000000" pitchFamily="2" charset="0"/>
                </a:rPr>
                <a:t>Peta Kab. Kediri</a:t>
              </a:r>
            </a:p>
          </xdr:txBody>
        </xdr:sp>
        <xdr:pic>
          <xdr:nvPicPr>
            <xdr:cNvPr id="82" name="Picture 81">
              <a:extLst>
                <a:ext uri="{FF2B5EF4-FFF2-40B4-BE49-F238E27FC236}">
                  <a16:creationId xmlns:a16="http://schemas.microsoft.com/office/drawing/2014/main" id="{AE0C3F3B-C266-3F40-AB7E-1FA4F52792E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74143" y="1061600"/>
              <a:ext cx="674070" cy="682467"/>
            </a:xfrm>
            <a:prstGeom prst="rect">
              <a:avLst/>
            </a:prstGeom>
          </xdr:spPr>
        </xdr:pic>
      </xdr:grpSp>
      <xdr:grpSp>
        <xdr:nvGrpSpPr>
          <xdr:cNvPr id="19" name="Group 18">
            <a:extLst>
              <a:ext uri="{FF2B5EF4-FFF2-40B4-BE49-F238E27FC236}">
                <a16:creationId xmlns:a16="http://schemas.microsoft.com/office/drawing/2014/main" id="{1691058B-65E6-6764-885B-E7573FAD7391}"/>
              </a:ext>
            </a:extLst>
          </xdr:cNvPr>
          <xdr:cNvGrpSpPr/>
        </xdr:nvGrpSpPr>
        <xdr:grpSpPr>
          <a:xfrm>
            <a:off x="17214085" y="986257"/>
            <a:ext cx="2895749" cy="3715772"/>
            <a:chOff x="17022034" y="967609"/>
            <a:chExt cx="2426470" cy="3645781"/>
          </a:xfrm>
        </xdr:grpSpPr>
        <xdr:sp macro="" textlink="">
          <xdr:nvSpPr>
            <xdr:cNvPr id="21" name="Rectangle: Rounded Corners 20">
              <a:extLst>
                <a:ext uri="{FF2B5EF4-FFF2-40B4-BE49-F238E27FC236}">
                  <a16:creationId xmlns:a16="http://schemas.microsoft.com/office/drawing/2014/main" id="{BB4A4A9A-4E6A-EBBA-4BF0-FD9C3D9E24C1}"/>
                </a:ext>
              </a:extLst>
            </xdr:cNvPr>
            <xdr:cNvSpPr/>
          </xdr:nvSpPr>
          <xdr:spPr>
            <a:xfrm>
              <a:off x="17022034" y="967609"/>
              <a:ext cx="2426470" cy="3645781"/>
            </a:xfrm>
            <a:prstGeom prst="roundRect">
              <a:avLst>
                <a:gd name="adj" fmla="val 5725"/>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mc:AlternateContent xmlns:mc="http://schemas.openxmlformats.org/markup-compatibility/2006" xmlns:a14="http://schemas.microsoft.com/office/drawing/2010/main">
          <mc:Choice Requires="a14">
            <xdr:graphicFrame macro="">
              <xdr:nvGraphicFramePr>
                <xdr:cNvPr id="124" name="Tahun">
                  <a:extLst>
                    <a:ext uri="{FF2B5EF4-FFF2-40B4-BE49-F238E27FC236}">
                      <a16:creationId xmlns:a16="http://schemas.microsoft.com/office/drawing/2014/main" id="{293F50AB-1BB7-48DC-BCB2-5047955ECA49}"/>
                    </a:ext>
                  </a:extLst>
                </xdr:cNvPr>
                <xdr:cNvGraphicFramePr/>
              </xdr:nvGraphicFramePr>
              <xdr:xfrm>
                <a:off x="17181462" y="1143266"/>
                <a:ext cx="2123782" cy="3338673"/>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17063817" y="1097527"/>
                  <a:ext cx="2484710" cy="320115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8" name="Group 17">
            <a:extLst>
              <a:ext uri="{FF2B5EF4-FFF2-40B4-BE49-F238E27FC236}">
                <a16:creationId xmlns:a16="http://schemas.microsoft.com/office/drawing/2014/main" id="{0D1837A7-EE25-E248-6CFF-32E11FE2840B}"/>
              </a:ext>
            </a:extLst>
          </xdr:cNvPr>
          <xdr:cNvGrpSpPr/>
        </xdr:nvGrpSpPr>
        <xdr:grpSpPr>
          <a:xfrm>
            <a:off x="2743807" y="4298054"/>
            <a:ext cx="5476169" cy="3415067"/>
            <a:chOff x="2269673" y="4214011"/>
            <a:chExt cx="5584721" cy="3350339"/>
          </a:xfrm>
        </xdr:grpSpPr>
        <xdr:sp macro="" textlink="">
          <xdr:nvSpPr>
            <xdr:cNvPr id="50" name="Rectangle: Rounded Corners 49">
              <a:extLst>
                <a:ext uri="{FF2B5EF4-FFF2-40B4-BE49-F238E27FC236}">
                  <a16:creationId xmlns:a16="http://schemas.microsoft.com/office/drawing/2014/main" id="{FD7F0304-40A0-4F81-B5A6-BB3078A1111F}"/>
                </a:ext>
              </a:extLst>
            </xdr:cNvPr>
            <xdr:cNvSpPr/>
          </xdr:nvSpPr>
          <xdr:spPr>
            <a:xfrm>
              <a:off x="2278225" y="4214011"/>
              <a:ext cx="5576169" cy="3350339"/>
            </a:xfrm>
            <a:prstGeom prst="roundRect">
              <a:avLst>
                <a:gd name="adj" fmla="val 2835"/>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sp macro="" textlink="">
          <xdr:nvSpPr>
            <xdr:cNvPr id="98" name="TextBox 97">
              <a:extLst>
                <a:ext uri="{FF2B5EF4-FFF2-40B4-BE49-F238E27FC236}">
                  <a16:creationId xmlns:a16="http://schemas.microsoft.com/office/drawing/2014/main" id="{B3185848-E9DC-4B9A-B6D2-B511F5DF9A9E}"/>
                </a:ext>
              </a:extLst>
            </xdr:cNvPr>
            <xdr:cNvSpPr txBox="1"/>
          </xdr:nvSpPr>
          <xdr:spPr>
            <a:xfrm>
              <a:off x="3365385" y="4454967"/>
              <a:ext cx="1743883" cy="39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2000" b="0">
                  <a:solidFill>
                    <a:srgbClr val="F4CADE"/>
                  </a:solidFill>
                  <a:latin typeface="Almond Nougat" panose="02000600000000000000" pitchFamily="2" charset="0"/>
                </a:rPr>
                <a:t>Jumlah Penduduk</a:t>
              </a:r>
            </a:p>
          </xdr:txBody>
        </xdr:sp>
        <xdr:graphicFrame macro="">
          <xdr:nvGraphicFramePr>
            <xdr:cNvPr id="129" name="Chart 128">
              <a:extLst>
                <a:ext uri="{FF2B5EF4-FFF2-40B4-BE49-F238E27FC236}">
                  <a16:creationId xmlns:a16="http://schemas.microsoft.com/office/drawing/2014/main" id="{D02FD711-0BD4-4CF9-9428-E96D6B636F58}"/>
                </a:ext>
              </a:extLst>
            </xdr:cNvPr>
            <xdr:cNvGraphicFramePr>
              <a:graphicFrameLocks/>
            </xdr:cNvGraphicFramePr>
          </xdr:nvGraphicFramePr>
          <xdr:xfrm>
            <a:off x="2269673" y="5055740"/>
            <a:ext cx="5578295" cy="2473765"/>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134" name="Group 133">
            <a:extLst>
              <a:ext uri="{FF2B5EF4-FFF2-40B4-BE49-F238E27FC236}">
                <a16:creationId xmlns:a16="http://schemas.microsoft.com/office/drawing/2014/main" id="{B9990F0C-92CC-FD36-4715-89DBB2CA54BF}"/>
              </a:ext>
            </a:extLst>
          </xdr:cNvPr>
          <xdr:cNvGrpSpPr/>
        </xdr:nvGrpSpPr>
        <xdr:grpSpPr>
          <a:xfrm>
            <a:off x="8304995" y="983479"/>
            <a:ext cx="8853766" cy="3496295"/>
            <a:chOff x="7930194" y="954615"/>
            <a:chExt cx="8999449" cy="3393073"/>
          </a:xfrm>
        </xdr:grpSpPr>
        <xdr:grpSp>
          <xdr:nvGrpSpPr>
            <xdr:cNvPr id="116" name="Group 115">
              <a:extLst>
                <a:ext uri="{FF2B5EF4-FFF2-40B4-BE49-F238E27FC236}">
                  <a16:creationId xmlns:a16="http://schemas.microsoft.com/office/drawing/2014/main" id="{632A9A6C-27CF-D742-CE4C-05623B5DD1B2}"/>
                </a:ext>
              </a:extLst>
            </xdr:cNvPr>
            <xdr:cNvGrpSpPr/>
          </xdr:nvGrpSpPr>
          <xdr:grpSpPr>
            <a:xfrm>
              <a:off x="7930194" y="954615"/>
              <a:ext cx="8999449" cy="3393073"/>
              <a:chOff x="7897481" y="957021"/>
              <a:chExt cx="8961284" cy="3401731"/>
            </a:xfrm>
          </xdr:grpSpPr>
          <xdr:sp macro="" textlink="">
            <xdr:nvSpPr>
              <xdr:cNvPr id="15" name="Rectangle: Rounded Corners 14">
                <a:extLst>
                  <a:ext uri="{FF2B5EF4-FFF2-40B4-BE49-F238E27FC236}">
                    <a16:creationId xmlns:a16="http://schemas.microsoft.com/office/drawing/2014/main" id="{4F2D2C57-BEC6-1D1D-6387-DD371F7BB0F5}"/>
                  </a:ext>
                </a:extLst>
              </xdr:cNvPr>
              <xdr:cNvSpPr/>
            </xdr:nvSpPr>
            <xdr:spPr>
              <a:xfrm>
                <a:off x="7897481" y="957021"/>
                <a:ext cx="8961284" cy="3401731"/>
              </a:xfrm>
              <a:prstGeom prst="roundRect">
                <a:avLst>
                  <a:gd name="adj" fmla="val 3016"/>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graphicFrame macro="">
            <xdr:nvGraphicFramePr>
              <xdr:cNvPr id="104" name="Chart 103">
                <a:extLst>
                  <a:ext uri="{FF2B5EF4-FFF2-40B4-BE49-F238E27FC236}">
                    <a16:creationId xmlns:a16="http://schemas.microsoft.com/office/drawing/2014/main" id="{41EB8E0C-5778-4771-8114-886D7D42D26E}"/>
                  </a:ext>
                </a:extLst>
              </xdr:cNvPr>
              <xdr:cNvGraphicFramePr>
                <a:graphicFrameLocks/>
              </xdr:cNvGraphicFramePr>
            </xdr:nvGraphicFramePr>
            <xdr:xfrm>
              <a:off x="8064499" y="2010832"/>
              <a:ext cx="8595430" cy="2283685"/>
            </xdr:xfrm>
            <a:graphic>
              <a:graphicData uri="http://schemas.openxmlformats.org/drawingml/2006/chart">
                <c:chart xmlns:c="http://schemas.openxmlformats.org/drawingml/2006/chart" xmlns:r="http://schemas.openxmlformats.org/officeDocument/2006/relationships" r:id="rId9"/>
              </a:graphicData>
            </a:graphic>
          </xdr:graphicFrame>
          <xdr:grpSp>
            <xdr:nvGrpSpPr>
              <xdr:cNvPr id="113" name="Group 112">
                <a:extLst>
                  <a:ext uri="{FF2B5EF4-FFF2-40B4-BE49-F238E27FC236}">
                    <a16:creationId xmlns:a16="http://schemas.microsoft.com/office/drawing/2014/main" id="{9AD522A5-35C7-9F5E-5525-D2FF7DCC3BCA}"/>
                  </a:ext>
                </a:extLst>
              </xdr:cNvPr>
              <xdr:cNvGrpSpPr/>
            </xdr:nvGrpSpPr>
            <xdr:grpSpPr>
              <a:xfrm>
                <a:off x="13686712" y="1148109"/>
                <a:ext cx="2842968" cy="759447"/>
                <a:chOff x="13541823" y="1095192"/>
                <a:chExt cx="2848007" cy="744329"/>
              </a:xfrm>
            </xdr:grpSpPr>
            <xdr:sp macro="" textlink="">
              <xdr:nvSpPr>
                <xdr:cNvPr id="2" name="TextBox 1">
                  <a:extLst>
                    <a:ext uri="{FF2B5EF4-FFF2-40B4-BE49-F238E27FC236}">
                      <a16:creationId xmlns:a16="http://schemas.microsoft.com/office/drawing/2014/main" id="{CAB15245-4331-456B-A523-51C1584B3CCB}"/>
                    </a:ext>
                  </a:extLst>
                </xdr:cNvPr>
                <xdr:cNvSpPr txBox="1"/>
              </xdr:nvSpPr>
              <xdr:spPr>
                <a:xfrm>
                  <a:off x="14365467" y="1095192"/>
                  <a:ext cx="2024363" cy="38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2000" b="0">
                      <a:solidFill>
                        <a:srgbClr val="F4CADE"/>
                      </a:solidFill>
                      <a:latin typeface="Almond Nougat" panose="02000600000000000000" pitchFamily="2" charset="0"/>
                    </a:rPr>
                    <a:t>Laju Pertumbuhan</a:t>
                  </a:r>
                </a:p>
              </xdr:txBody>
            </xdr:sp>
            <xdr:sp macro="" textlink="'Pivot Table'!$K$41">
              <xdr:nvSpPr>
                <xdr:cNvPr id="3" name="TextBox 2">
                  <a:extLst>
                    <a:ext uri="{FF2B5EF4-FFF2-40B4-BE49-F238E27FC236}">
                      <a16:creationId xmlns:a16="http://schemas.microsoft.com/office/drawing/2014/main" id="{602BCD6F-CCED-4591-9548-F4262CB2B7A8}"/>
                    </a:ext>
                  </a:extLst>
                </xdr:cNvPr>
                <xdr:cNvSpPr txBox="1"/>
              </xdr:nvSpPr>
              <xdr:spPr>
                <a:xfrm>
                  <a:off x="14360429" y="1321374"/>
                  <a:ext cx="880913" cy="50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9B3B28F-9879-420A-BFB4-F9395D82E313}" type="TxLink">
                    <a:rPr lang="en-US" sz="3600" b="1" i="0" u="none" strike="noStrike">
                      <a:solidFill>
                        <a:srgbClr val="F4CADE"/>
                      </a:solidFill>
                      <a:latin typeface="Almond Nougat" panose="02000600000000000000" pitchFamily="2" charset="0"/>
                      <a:ea typeface="Calibri"/>
                      <a:cs typeface="Calibri"/>
                    </a:rPr>
                    <a:pPr algn="l"/>
                    <a:t>6,94</a:t>
                  </a:fld>
                  <a:endParaRPr lang="en-US" sz="3600" b="1">
                    <a:solidFill>
                      <a:srgbClr val="F4CADE"/>
                    </a:solidFill>
                    <a:latin typeface="Almond Nougat" panose="02000600000000000000" pitchFamily="2" charset="0"/>
                  </a:endParaRPr>
                </a:p>
              </xdr:txBody>
            </xdr:sp>
            <xdr:pic>
              <xdr:nvPicPr>
                <xdr:cNvPr id="78" name="Picture 77">
                  <a:extLst>
                    <a:ext uri="{FF2B5EF4-FFF2-40B4-BE49-F238E27FC236}">
                      <a16:creationId xmlns:a16="http://schemas.microsoft.com/office/drawing/2014/main" id="{5F669FC7-773A-FB5E-354C-3EE371FA909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541823" y="1191521"/>
                  <a:ext cx="678323" cy="648000"/>
                </a:xfrm>
                <a:prstGeom prst="rect">
                  <a:avLst/>
                </a:prstGeom>
              </xdr:spPr>
            </xdr:pic>
          </xdr:grpSp>
          <xdr:grpSp>
            <xdr:nvGrpSpPr>
              <xdr:cNvPr id="114" name="Group 113">
                <a:extLst>
                  <a:ext uri="{FF2B5EF4-FFF2-40B4-BE49-F238E27FC236}">
                    <a16:creationId xmlns:a16="http://schemas.microsoft.com/office/drawing/2014/main" id="{9856C710-C741-2419-12B1-80500097625D}"/>
                  </a:ext>
                </a:extLst>
              </xdr:cNvPr>
              <xdr:cNvGrpSpPr/>
            </xdr:nvGrpSpPr>
            <xdr:grpSpPr>
              <a:xfrm>
                <a:off x="8760908" y="1138900"/>
                <a:ext cx="3972458" cy="844281"/>
                <a:chOff x="8575711" y="1075904"/>
                <a:chExt cx="3980294" cy="829163"/>
              </a:xfrm>
            </xdr:grpSpPr>
            <xdr:grpSp>
              <xdr:nvGrpSpPr>
                <xdr:cNvPr id="112" name="Group 111">
                  <a:extLst>
                    <a:ext uri="{FF2B5EF4-FFF2-40B4-BE49-F238E27FC236}">
                      <a16:creationId xmlns:a16="http://schemas.microsoft.com/office/drawing/2014/main" id="{47561014-5BF7-DCAF-0B23-17E8758BD38D}"/>
                    </a:ext>
                  </a:extLst>
                </xdr:cNvPr>
                <xdr:cNvGrpSpPr/>
              </xdr:nvGrpSpPr>
              <xdr:grpSpPr>
                <a:xfrm>
                  <a:off x="9366164" y="1075904"/>
                  <a:ext cx="3189841" cy="829163"/>
                  <a:chOff x="9416561" y="1045666"/>
                  <a:chExt cx="3189841" cy="829163"/>
                </a:xfrm>
              </xdr:grpSpPr>
              <xdr:sp macro="" textlink="">
                <xdr:nvSpPr>
                  <xdr:cNvPr id="105" name="TextBox 104">
                    <a:extLst>
                      <a:ext uri="{FF2B5EF4-FFF2-40B4-BE49-F238E27FC236}">
                        <a16:creationId xmlns:a16="http://schemas.microsoft.com/office/drawing/2014/main" id="{9280C861-6D1D-4D27-AA5F-2DB6E6BA79F9}"/>
                      </a:ext>
                    </a:extLst>
                  </xdr:cNvPr>
                  <xdr:cNvSpPr txBox="1"/>
                </xdr:nvSpPr>
                <xdr:spPr>
                  <a:xfrm>
                    <a:off x="9420755" y="1045666"/>
                    <a:ext cx="2024363" cy="384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2000" b="0">
                        <a:solidFill>
                          <a:srgbClr val="F4CADE"/>
                        </a:solidFill>
                        <a:latin typeface="Almond Nougat" panose="02000600000000000000" pitchFamily="2" charset="0"/>
                      </a:rPr>
                      <a:t>Kepadatan Penduduk</a:t>
                    </a:r>
                  </a:p>
                </xdr:txBody>
              </xdr:sp>
              <xdr:grpSp>
                <xdr:nvGrpSpPr>
                  <xdr:cNvPr id="111" name="Group 110">
                    <a:extLst>
                      <a:ext uri="{FF2B5EF4-FFF2-40B4-BE49-F238E27FC236}">
                        <a16:creationId xmlns:a16="http://schemas.microsoft.com/office/drawing/2014/main" id="{E06EEB80-55D6-0925-FBE9-AA576D59D85A}"/>
                      </a:ext>
                    </a:extLst>
                  </xdr:cNvPr>
                  <xdr:cNvGrpSpPr/>
                </xdr:nvGrpSpPr>
                <xdr:grpSpPr>
                  <a:xfrm>
                    <a:off x="9416561" y="1259371"/>
                    <a:ext cx="3189841" cy="615458"/>
                    <a:chOff x="8650529" y="1259371"/>
                    <a:chExt cx="3189841" cy="615458"/>
                  </a:xfrm>
                </xdr:grpSpPr>
                <xdr:sp macro="" textlink="'Pivot Table'!$K$34">
                  <xdr:nvSpPr>
                    <xdr:cNvPr id="106" name="TextBox 105">
                      <a:extLst>
                        <a:ext uri="{FF2B5EF4-FFF2-40B4-BE49-F238E27FC236}">
                          <a16:creationId xmlns:a16="http://schemas.microsoft.com/office/drawing/2014/main" id="{58C69FB4-D097-49FA-91B5-426A15532405}"/>
                        </a:ext>
                      </a:extLst>
                    </xdr:cNvPr>
                    <xdr:cNvSpPr txBox="1"/>
                  </xdr:nvSpPr>
                  <xdr:spPr>
                    <a:xfrm>
                      <a:off x="8650529" y="1259371"/>
                      <a:ext cx="1071019" cy="60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9B1622A-FA1F-406D-A399-6E21A8CC03D4}" type="TxLink">
                        <a:rPr lang="en-US" sz="3600" b="1" i="0" u="none" strike="noStrike">
                          <a:solidFill>
                            <a:srgbClr val="F4CADE"/>
                          </a:solidFill>
                          <a:latin typeface="Almond Nougat" panose="02000600000000000000" pitchFamily="2" charset="0"/>
                          <a:ea typeface="Calibri"/>
                          <a:cs typeface="Calibri"/>
                        </a:rPr>
                        <a:pPr algn="l"/>
                        <a:t>13.596</a:t>
                      </a:fld>
                      <a:endParaRPr lang="en-US" sz="3600" b="1">
                        <a:solidFill>
                          <a:srgbClr val="F4CADE"/>
                        </a:solidFill>
                        <a:latin typeface="Almond Nougat" panose="02000600000000000000" pitchFamily="2" charset="0"/>
                      </a:endParaRPr>
                    </a:p>
                  </xdr:txBody>
                </xdr:sp>
                <xdr:sp macro="" textlink="">
                  <xdr:nvSpPr>
                    <xdr:cNvPr id="37" name="TextBox 36">
                      <a:extLst>
                        <a:ext uri="{FF2B5EF4-FFF2-40B4-BE49-F238E27FC236}">
                          <a16:creationId xmlns:a16="http://schemas.microsoft.com/office/drawing/2014/main" id="{07083545-4E9E-4B19-A913-25634C808FDF}"/>
                        </a:ext>
                      </a:extLst>
                    </xdr:cNvPr>
                    <xdr:cNvSpPr txBox="1"/>
                  </xdr:nvSpPr>
                  <xdr:spPr>
                    <a:xfrm>
                      <a:off x="9568092" y="1266628"/>
                      <a:ext cx="2272278" cy="60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0" i="0" u="none" strike="noStrike">
                          <a:solidFill>
                            <a:srgbClr val="F4CADE"/>
                          </a:solidFill>
                          <a:latin typeface="Almond Nougat" panose="02000600000000000000" pitchFamily="2" charset="0"/>
                          <a:ea typeface="Calibri"/>
                          <a:cs typeface="Calibri"/>
                        </a:rPr>
                        <a:t>orang/km²</a:t>
                      </a:r>
                    </a:p>
                  </xdr:txBody>
                </xdr:sp>
              </xdr:grpSp>
            </xdr:grpSp>
            <xdr:pic>
              <xdr:nvPicPr>
                <xdr:cNvPr id="80" name="Picture 79">
                  <a:extLst>
                    <a:ext uri="{FF2B5EF4-FFF2-40B4-BE49-F238E27FC236}">
                      <a16:creationId xmlns:a16="http://schemas.microsoft.com/office/drawing/2014/main" id="{DDE92455-1974-91F9-A448-64D5E1DAE18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575711" y="1149841"/>
                  <a:ext cx="685253" cy="648000"/>
                </a:xfrm>
                <a:prstGeom prst="rect">
                  <a:avLst/>
                </a:prstGeom>
              </xdr:spPr>
            </xdr:pic>
          </xdr:grpSp>
        </xdr:grpSp>
        <xdr:sp macro="" textlink="">
          <xdr:nvSpPr>
            <xdr:cNvPr id="133" name="TextBox 132">
              <a:extLst>
                <a:ext uri="{FF2B5EF4-FFF2-40B4-BE49-F238E27FC236}">
                  <a16:creationId xmlns:a16="http://schemas.microsoft.com/office/drawing/2014/main" id="{3DC29592-8543-45FE-A308-1397018747B1}"/>
                </a:ext>
              </a:extLst>
            </xdr:cNvPr>
            <xdr:cNvSpPr txBox="1"/>
          </xdr:nvSpPr>
          <xdr:spPr>
            <a:xfrm>
              <a:off x="15169199" y="1381797"/>
              <a:ext cx="883100" cy="517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i="0" u="none" strike="noStrike">
                  <a:solidFill>
                    <a:srgbClr val="F4CADE"/>
                  </a:solidFill>
                  <a:latin typeface="Almond Nougat" panose="02000600000000000000" pitchFamily="2" charset="0"/>
                  <a:ea typeface="Calibri"/>
                  <a:cs typeface="Calibri"/>
                </a:rPr>
                <a:t>%</a:t>
              </a:r>
            </a:p>
          </xdr:txBody>
        </xdr:sp>
      </xdr:grpSp>
      <xdr:grpSp>
        <xdr:nvGrpSpPr>
          <xdr:cNvPr id="136" name="Group 135">
            <a:extLst>
              <a:ext uri="{FF2B5EF4-FFF2-40B4-BE49-F238E27FC236}">
                <a16:creationId xmlns:a16="http://schemas.microsoft.com/office/drawing/2014/main" id="{1F3E8B32-22DB-1056-8A26-B418C6B6D19A}"/>
              </a:ext>
            </a:extLst>
          </xdr:cNvPr>
          <xdr:cNvGrpSpPr/>
        </xdr:nvGrpSpPr>
        <xdr:grpSpPr>
          <a:xfrm>
            <a:off x="12767063" y="4557728"/>
            <a:ext cx="4393419" cy="3158537"/>
            <a:chOff x="12475062" y="4426429"/>
            <a:chExt cx="4456335" cy="3059600"/>
          </a:xfrm>
        </xdr:grpSpPr>
        <xdr:grpSp>
          <xdr:nvGrpSpPr>
            <xdr:cNvPr id="117" name="Group 116">
              <a:extLst>
                <a:ext uri="{FF2B5EF4-FFF2-40B4-BE49-F238E27FC236}">
                  <a16:creationId xmlns:a16="http://schemas.microsoft.com/office/drawing/2014/main" id="{E0BE72D6-D56F-7042-70DB-905AB7831EA0}"/>
                </a:ext>
              </a:extLst>
            </xdr:cNvPr>
            <xdr:cNvGrpSpPr/>
          </xdr:nvGrpSpPr>
          <xdr:grpSpPr>
            <a:xfrm>
              <a:off x="12475062" y="4426429"/>
              <a:ext cx="4456335" cy="3059600"/>
              <a:chOff x="12395178" y="4398800"/>
              <a:chExt cx="4426904" cy="3039178"/>
            </a:xfrm>
          </xdr:grpSpPr>
          <xdr:sp macro="" textlink="">
            <xdr:nvSpPr>
              <xdr:cNvPr id="57" name="Rectangle: Rounded Corners 56">
                <a:extLst>
                  <a:ext uri="{FF2B5EF4-FFF2-40B4-BE49-F238E27FC236}">
                    <a16:creationId xmlns:a16="http://schemas.microsoft.com/office/drawing/2014/main" id="{2EEFD0E5-DF04-4531-819B-2FF7191848E6}"/>
                  </a:ext>
                </a:extLst>
              </xdr:cNvPr>
              <xdr:cNvSpPr/>
            </xdr:nvSpPr>
            <xdr:spPr>
              <a:xfrm>
                <a:off x="12395178" y="4398800"/>
                <a:ext cx="4426904" cy="3039178"/>
              </a:xfrm>
              <a:prstGeom prst="roundRect">
                <a:avLst>
                  <a:gd name="adj" fmla="val 4216"/>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graphicFrame macro="">
            <xdr:nvGraphicFramePr>
              <xdr:cNvPr id="4" name="Chart 3">
                <a:extLst>
                  <a:ext uri="{FF2B5EF4-FFF2-40B4-BE49-F238E27FC236}">
                    <a16:creationId xmlns:a16="http://schemas.microsoft.com/office/drawing/2014/main" id="{41DB2B47-C8C5-4B10-96F0-45B83CF9653D}"/>
                  </a:ext>
                </a:extLst>
              </xdr:cNvPr>
              <xdr:cNvGraphicFramePr>
                <a:graphicFrameLocks/>
              </xdr:cNvGraphicFramePr>
            </xdr:nvGraphicFramePr>
            <xdr:xfrm>
              <a:off x="12502854" y="5203523"/>
              <a:ext cx="4228615" cy="2129953"/>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2" name="TextBox 11">
                <a:extLst>
                  <a:ext uri="{FF2B5EF4-FFF2-40B4-BE49-F238E27FC236}">
                    <a16:creationId xmlns:a16="http://schemas.microsoft.com/office/drawing/2014/main" id="{8D025574-7EE6-41B9-93FA-E8E743BF903B}"/>
                  </a:ext>
                </a:extLst>
              </xdr:cNvPr>
              <xdr:cNvSpPr txBox="1"/>
            </xdr:nvSpPr>
            <xdr:spPr>
              <a:xfrm>
                <a:off x="13356043" y="4454726"/>
                <a:ext cx="2019766" cy="388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2000" b="0">
                    <a:solidFill>
                      <a:srgbClr val="F4CADE"/>
                    </a:solidFill>
                    <a:latin typeface="Almond Nougat" panose="02000600000000000000" pitchFamily="2" charset="0"/>
                  </a:rPr>
                  <a:t>Pertumbuhan Ekonomi</a:t>
                </a:r>
              </a:p>
            </xdr:txBody>
          </xdr:sp>
          <xdr:sp macro="" textlink="'Pivot Table'!$H$52">
            <xdr:nvSpPr>
              <xdr:cNvPr id="16" name="TextBox 15">
                <a:extLst>
                  <a:ext uri="{FF2B5EF4-FFF2-40B4-BE49-F238E27FC236}">
                    <a16:creationId xmlns:a16="http://schemas.microsoft.com/office/drawing/2014/main" id="{8CC66A8E-650B-488F-9D83-8D4FD42A93FB}"/>
                  </a:ext>
                </a:extLst>
              </xdr:cNvPr>
              <xdr:cNvSpPr txBox="1"/>
            </xdr:nvSpPr>
            <xdr:spPr>
              <a:xfrm>
                <a:off x="13350544" y="4657888"/>
                <a:ext cx="988467" cy="583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C9E1C27-186E-41E9-8321-588BB02DC611}" type="TxLink">
                  <a:rPr lang="en-US" sz="3600" b="1" i="0" u="none" strike="noStrike">
                    <a:solidFill>
                      <a:srgbClr val="F4CADE"/>
                    </a:solidFill>
                    <a:latin typeface="Almond Nougat" panose="02000600000000000000" pitchFamily="2" charset="0"/>
                    <a:ea typeface="Calibri"/>
                    <a:cs typeface="Calibri"/>
                  </a:rPr>
                  <a:pPr algn="l"/>
                  <a:t>53,78</a:t>
                </a:fld>
                <a:endParaRPr lang="en-ID" sz="3600" b="1">
                  <a:solidFill>
                    <a:srgbClr val="F4CADE"/>
                  </a:solidFill>
                  <a:latin typeface="Almond Nougat" panose="02000600000000000000" pitchFamily="2" charset="0"/>
                </a:endParaRPr>
              </a:p>
            </xdr:txBody>
          </xdr:sp>
          <xdr:pic>
            <xdr:nvPicPr>
              <xdr:cNvPr id="69" name="Picture 68">
                <a:extLst>
                  <a:ext uri="{FF2B5EF4-FFF2-40B4-BE49-F238E27FC236}">
                    <a16:creationId xmlns:a16="http://schemas.microsoft.com/office/drawing/2014/main" id="{52805351-25DF-1366-6A55-D7091A502B8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596790" y="4503711"/>
                <a:ext cx="662907" cy="642953"/>
              </a:xfrm>
              <a:prstGeom prst="rect">
                <a:avLst/>
              </a:prstGeom>
            </xdr:spPr>
          </xdr:pic>
        </xdr:grpSp>
        <xdr:sp macro="" textlink="">
          <xdr:nvSpPr>
            <xdr:cNvPr id="135" name="TextBox 134">
              <a:extLst>
                <a:ext uri="{FF2B5EF4-FFF2-40B4-BE49-F238E27FC236}">
                  <a16:creationId xmlns:a16="http://schemas.microsoft.com/office/drawing/2014/main" id="{AC4D5BE6-36F7-466F-84B2-289A91EEB1E1}"/>
                </a:ext>
              </a:extLst>
            </xdr:cNvPr>
            <xdr:cNvSpPr txBox="1"/>
          </xdr:nvSpPr>
          <xdr:spPr>
            <a:xfrm>
              <a:off x="14153197" y="4695341"/>
              <a:ext cx="883100" cy="517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i="0" u="none" strike="noStrike">
                  <a:solidFill>
                    <a:srgbClr val="F4CADE"/>
                  </a:solidFill>
                  <a:latin typeface="Almond Nougat" panose="02000600000000000000" pitchFamily="2" charset="0"/>
                  <a:ea typeface="Calibri"/>
                  <a:cs typeface="Calibri"/>
                </a:rPr>
                <a:t>%</a:t>
              </a:r>
            </a:p>
          </xdr:txBody>
        </xdr:sp>
      </xdr:grpSp>
      <xdr:grpSp>
        <xdr:nvGrpSpPr>
          <xdr:cNvPr id="24" name="Group 23">
            <a:extLst>
              <a:ext uri="{FF2B5EF4-FFF2-40B4-BE49-F238E27FC236}">
                <a16:creationId xmlns:a16="http://schemas.microsoft.com/office/drawing/2014/main" id="{AE909467-CD42-6946-1B5D-1F6BFAEA5117}"/>
              </a:ext>
            </a:extLst>
          </xdr:cNvPr>
          <xdr:cNvGrpSpPr/>
        </xdr:nvGrpSpPr>
        <xdr:grpSpPr>
          <a:xfrm>
            <a:off x="8305694" y="4561034"/>
            <a:ext cx="4393423" cy="3154430"/>
            <a:chOff x="7947873" y="4476630"/>
            <a:chExt cx="4462677" cy="3090088"/>
          </a:xfrm>
        </xdr:grpSpPr>
        <xdr:grpSp>
          <xdr:nvGrpSpPr>
            <xdr:cNvPr id="138" name="Group 137">
              <a:extLst>
                <a:ext uri="{FF2B5EF4-FFF2-40B4-BE49-F238E27FC236}">
                  <a16:creationId xmlns:a16="http://schemas.microsoft.com/office/drawing/2014/main" id="{9B1F97E6-BA9C-746F-7ED8-9AFC7FB2E55D}"/>
                </a:ext>
              </a:extLst>
            </xdr:cNvPr>
            <xdr:cNvGrpSpPr/>
          </xdr:nvGrpSpPr>
          <xdr:grpSpPr>
            <a:xfrm>
              <a:off x="7947873" y="4476630"/>
              <a:ext cx="4462677" cy="3090088"/>
              <a:chOff x="7937005" y="4429769"/>
              <a:chExt cx="4456336" cy="3055452"/>
            </a:xfrm>
          </xdr:grpSpPr>
          <xdr:grpSp>
            <xdr:nvGrpSpPr>
              <xdr:cNvPr id="118" name="Group 117">
                <a:extLst>
                  <a:ext uri="{FF2B5EF4-FFF2-40B4-BE49-F238E27FC236}">
                    <a16:creationId xmlns:a16="http://schemas.microsoft.com/office/drawing/2014/main" id="{D581B42F-0B1F-69A4-20A7-A8F1828FBADF}"/>
                  </a:ext>
                </a:extLst>
              </xdr:cNvPr>
              <xdr:cNvGrpSpPr/>
            </xdr:nvGrpSpPr>
            <xdr:grpSpPr>
              <a:xfrm>
                <a:off x="7937005" y="4429769"/>
                <a:ext cx="4456336" cy="3055452"/>
                <a:chOff x="7860919" y="4371001"/>
                <a:chExt cx="4411951" cy="3012014"/>
              </a:xfrm>
            </xdr:grpSpPr>
            <xdr:sp macro="" textlink="">
              <xdr:nvSpPr>
                <xdr:cNvPr id="13" name="Rectangle: Rounded Corners 12">
                  <a:extLst>
                    <a:ext uri="{FF2B5EF4-FFF2-40B4-BE49-F238E27FC236}">
                      <a16:creationId xmlns:a16="http://schemas.microsoft.com/office/drawing/2014/main" id="{45AE98A5-364D-E43D-E2F3-BCC82E27B9E2}"/>
                    </a:ext>
                  </a:extLst>
                </xdr:cNvPr>
                <xdr:cNvSpPr/>
              </xdr:nvSpPr>
              <xdr:spPr>
                <a:xfrm>
                  <a:off x="7860919" y="4371001"/>
                  <a:ext cx="4411951" cy="3012014"/>
                </a:xfrm>
                <a:prstGeom prst="roundRect">
                  <a:avLst>
                    <a:gd name="adj" fmla="val 4216"/>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sp macro="" textlink="">
              <xdr:nvSpPr>
                <xdr:cNvPr id="103" name="TextBox 102">
                  <a:extLst>
                    <a:ext uri="{FF2B5EF4-FFF2-40B4-BE49-F238E27FC236}">
                      <a16:creationId xmlns:a16="http://schemas.microsoft.com/office/drawing/2014/main" id="{0D90023D-1EFE-4581-A002-F27AB4F50D08}"/>
                    </a:ext>
                  </a:extLst>
                </xdr:cNvPr>
                <xdr:cNvSpPr txBox="1"/>
              </xdr:nvSpPr>
              <xdr:spPr>
                <a:xfrm>
                  <a:off x="8750062" y="4403451"/>
                  <a:ext cx="3262889" cy="385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2000" b="0">
                      <a:solidFill>
                        <a:srgbClr val="F4CADE"/>
                      </a:solidFill>
                      <a:latin typeface="Almond Nougat" panose="02000600000000000000" pitchFamily="2" charset="0"/>
                    </a:rPr>
                    <a:t>Produk Domestik</a:t>
                  </a:r>
                  <a:r>
                    <a:rPr lang="en-ID" sz="2000" b="0" baseline="0">
                      <a:solidFill>
                        <a:srgbClr val="F4CADE"/>
                      </a:solidFill>
                      <a:latin typeface="Almond Nougat" panose="02000600000000000000" pitchFamily="2" charset="0"/>
                    </a:rPr>
                    <a:t> Regional Bruto</a:t>
                  </a:r>
                  <a:endParaRPr lang="en-ID" sz="2000" b="0">
                    <a:solidFill>
                      <a:srgbClr val="F4CADE"/>
                    </a:solidFill>
                    <a:latin typeface="Almond Nougat" panose="02000600000000000000" pitchFamily="2" charset="0"/>
                  </a:endParaRPr>
                </a:p>
              </xdr:txBody>
            </xdr:sp>
          </xdr:grpSp>
          <xdr:graphicFrame macro="">
            <xdr:nvGraphicFramePr>
              <xdr:cNvPr id="137" name="Chart 136">
                <a:extLst>
                  <a:ext uri="{FF2B5EF4-FFF2-40B4-BE49-F238E27FC236}">
                    <a16:creationId xmlns:a16="http://schemas.microsoft.com/office/drawing/2014/main" id="{C7AEA5FB-150C-41E8-90C6-FCA9032D1625}"/>
                  </a:ext>
                </a:extLst>
              </xdr:cNvPr>
              <xdr:cNvGraphicFramePr>
                <a:graphicFrameLocks/>
              </xdr:cNvGraphicFramePr>
            </xdr:nvGraphicFramePr>
            <xdr:xfrm>
              <a:off x="8019484" y="5181436"/>
              <a:ext cx="4309337" cy="2248220"/>
            </xdr:xfrm>
            <a:graphic>
              <a:graphicData uri="http://schemas.openxmlformats.org/drawingml/2006/chart">
                <c:chart xmlns:c="http://schemas.openxmlformats.org/drawingml/2006/chart" xmlns:r="http://schemas.openxmlformats.org/officeDocument/2006/relationships" r:id="rId14"/>
              </a:graphicData>
            </a:graphic>
          </xdr:graphicFrame>
        </xdr:grpSp>
        <xdr:pic>
          <xdr:nvPicPr>
            <xdr:cNvPr id="6" name="Picture 5">
              <a:extLst>
                <a:ext uri="{FF2B5EF4-FFF2-40B4-BE49-F238E27FC236}">
                  <a16:creationId xmlns:a16="http://schemas.microsoft.com/office/drawing/2014/main" id="{951025A0-52A5-3B7D-2CC4-F0ABEFE6C3C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125191" y="4534149"/>
              <a:ext cx="651215" cy="658686"/>
            </a:xfrm>
            <a:prstGeom prst="rect">
              <a:avLst/>
            </a:prstGeom>
          </xdr:spPr>
        </xdr:pic>
      </xdr:grpSp>
      <xdr:grpSp>
        <xdr:nvGrpSpPr>
          <xdr:cNvPr id="65" name="Group 64">
            <a:extLst>
              <a:ext uri="{FF2B5EF4-FFF2-40B4-BE49-F238E27FC236}">
                <a16:creationId xmlns:a16="http://schemas.microsoft.com/office/drawing/2014/main" id="{F75B982B-77A7-8976-D17F-7D143E5B14C6}"/>
              </a:ext>
            </a:extLst>
          </xdr:cNvPr>
          <xdr:cNvGrpSpPr/>
        </xdr:nvGrpSpPr>
        <xdr:grpSpPr>
          <a:xfrm>
            <a:off x="78885" y="4083326"/>
            <a:ext cx="2580221" cy="3620052"/>
            <a:chOff x="78885" y="4083326"/>
            <a:chExt cx="2580221" cy="3620052"/>
          </a:xfrm>
        </xdr:grpSpPr>
        <xdr:sp macro="" textlink="">
          <xdr:nvSpPr>
            <xdr:cNvPr id="35" name="Rectangle: Rounded Corners 34">
              <a:extLst>
                <a:ext uri="{FF2B5EF4-FFF2-40B4-BE49-F238E27FC236}">
                  <a16:creationId xmlns:a16="http://schemas.microsoft.com/office/drawing/2014/main" id="{FA1E492A-8CA4-BAA6-A0AD-1786BDA7BA79}"/>
                </a:ext>
              </a:extLst>
            </xdr:cNvPr>
            <xdr:cNvSpPr/>
          </xdr:nvSpPr>
          <xdr:spPr>
            <a:xfrm>
              <a:off x="78885" y="4083326"/>
              <a:ext cx="2580221" cy="3620052"/>
            </a:xfrm>
            <a:prstGeom prst="roundRect">
              <a:avLst>
                <a:gd name="adj" fmla="val 4216"/>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graphicFrame macro="">
          <xdr:nvGraphicFramePr>
            <xdr:cNvPr id="48" name="Chart 47">
              <a:extLst>
                <a:ext uri="{FF2B5EF4-FFF2-40B4-BE49-F238E27FC236}">
                  <a16:creationId xmlns:a16="http://schemas.microsoft.com/office/drawing/2014/main" id="{F61E6BD5-840F-4E95-B554-7BB9928C9FE0}"/>
                </a:ext>
              </a:extLst>
            </xdr:cNvPr>
            <xdr:cNvGraphicFramePr>
              <a:graphicFrameLocks/>
            </xdr:cNvGraphicFramePr>
          </xdr:nvGraphicFramePr>
          <xdr:xfrm>
            <a:off x="177058" y="5351161"/>
            <a:ext cx="2380735" cy="2286002"/>
          </xdr:xfrm>
          <a:graphic>
            <a:graphicData uri="http://schemas.openxmlformats.org/drawingml/2006/chart">
              <c:chart xmlns:c="http://schemas.openxmlformats.org/drawingml/2006/chart" xmlns:r="http://schemas.openxmlformats.org/officeDocument/2006/relationships" r:id="rId16"/>
            </a:graphicData>
          </a:graphic>
        </xdr:graphicFrame>
        <xdr:pic>
          <xdr:nvPicPr>
            <xdr:cNvPr id="53" name="Picture 52">
              <a:extLst>
                <a:ext uri="{FF2B5EF4-FFF2-40B4-BE49-F238E27FC236}">
                  <a16:creationId xmlns:a16="http://schemas.microsoft.com/office/drawing/2014/main" id="{8E3629F7-928F-4325-6B25-3A4143ED302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56684" y="4364784"/>
              <a:ext cx="733903" cy="750136"/>
            </a:xfrm>
            <a:prstGeom prst="rect">
              <a:avLst/>
            </a:prstGeom>
          </xdr:spPr>
        </xdr:pic>
        <xdr:sp macro="" textlink="">
          <xdr:nvSpPr>
            <xdr:cNvPr id="63" name="TextBox 62">
              <a:extLst>
                <a:ext uri="{FF2B5EF4-FFF2-40B4-BE49-F238E27FC236}">
                  <a16:creationId xmlns:a16="http://schemas.microsoft.com/office/drawing/2014/main" id="{045471FC-3CCA-4E01-8E87-C115F84A633B}"/>
                </a:ext>
              </a:extLst>
            </xdr:cNvPr>
            <xdr:cNvSpPr txBox="1"/>
          </xdr:nvSpPr>
          <xdr:spPr>
            <a:xfrm>
              <a:off x="81435" y="5104180"/>
              <a:ext cx="2575121" cy="401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2000" b="0">
                  <a:solidFill>
                    <a:srgbClr val="F4CADE"/>
                  </a:solidFill>
                  <a:latin typeface="Almond Nougat" panose="02000600000000000000" pitchFamily="2" charset="0"/>
                </a:rPr>
                <a:t>Tingkat Pengangguran</a:t>
              </a:r>
            </a:p>
          </xdr:txBody>
        </xdr:sp>
      </xdr:grpSp>
      <xdr:grpSp>
        <xdr:nvGrpSpPr>
          <xdr:cNvPr id="71" name="Group 70">
            <a:extLst>
              <a:ext uri="{FF2B5EF4-FFF2-40B4-BE49-F238E27FC236}">
                <a16:creationId xmlns:a16="http://schemas.microsoft.com/office/drawing/2014/main" id="{3EC3DA62-059A-4C67-1568-2E81230EBAF1}"/>
              </a:ext>
            </a:extLst>
          </xdr:cNvPr>
          <xdr:cNvGrpSpPr/>
        </xdr:nvGrpSpPr>
        <xdr:grpSpPr>
          <a:xfrm>
            <a:off x="77055" y="1006598"/>
            <a:ext cx="2588402" cy="2969054"/>
            <a:chOff x="77055" y="1006598"/>
            <a:chExt cx="2588402" cy="2969054"/>
          </a:xfrm>
        </xdr:grpSpPr>
        <xdr:sp macro="" textlink="">
          <xdr:nvSpPr>
            <xdr:cNvPr id="20" name="Rectangle: Rounded Corners 19">
              <a:extLst>
                <a:ext uri="{FF2B5EF4-FFF2-40B4-BE49-F238E27FC236}">
                  <a16:creationId xmlns:a16="http://schemas.microsoft.com/office/drawing/2014/main" id="{418DEB08-1376-CE4D-4E25-81F4AB66EDF8}"/>
                </a:ext>
              </a:extLst>
            </xdr:cNvPr>
            <xdr:cNvSpPr/>
          </xdr:nvSpPr>
          <xdr:spPr>
            <a:xfrm>
              <a:off x="83317" y="1006598"/>
              <a:ext cx="2582140" cy="2969054"/>
            </a:xfrm>
            <a:prstGeom prst="roundRect">
              <a:avLst>
                <a:gd name="adj" fmla="val 2381"/>
              </a:avLst>
            </a:prstGeom>
            <a:solidFill>
              <a:srgbClr val="37154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id-ID"/>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id-ID"/>
            </a:p>
          </xdr:txBody>
        </xdr:sp>
        <xdr:grpSp>
          <xdr:nvGrpSpPr>
            <xdr:cNvPr id="42" name="Group 41">
              <a:extLst>
                <a:ext uri="{FF2B5EF4-FFF2-40B4-BE49-F238E27FC236}">
                  <a16:creationId xmlns:a16="http://schemas.microsoft.com/office/drawing/2014/main" id="{283C1D1A-C440-C1F7-C1FE-BF42069E73C0}"/>
                </a:ext>
              </a:extLst>
            </xdr:cNvPr>
            <xdr:cNvGrpSpPr/>
          </xdr:nvGrpSpPr>
          <xdr:grpSpPr>
            <a:xfrm>
              <a:off x="77055" y="1070284"/>
              <a:ext cx="2569778" cy="938800"/>
              <a:chOff x="128797" y="799626"/>
              <a:chExt cx="2238569" cy="891551"/>
            </a:xfrm>
          </xdr:grpSpPr>
          <xdr:sp macro="" textlink="">
            <xdr:nvSpPr>
              <xdr:cNvPr id="27" name="TextBox 26">
                <a:extLst>
                  <a:ext uri="{FF2B5EF4-FFF2-40B4-BE49-F238E27FC236}">
                    <a16:creationId xmlns:a16="http://schemas.microsoft.com/office/drawing/2014/main" id="{E5174C9A-5CB1-4DEE-A745-9235DA73C412}"/>
                  </a:ext>
                </a:extLst>
              </xdr:cNvPr>
              <xdr:cNvSpPr txBox="1"/>
            </xdr:nvSpPr>
            <xdr:spPr>
              <a:xfrm>
                <a:off x="128797" y="799626"/>
                <a:ext cx="2238569" cy="52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aseline="0">
                    <a:solidFill>
                      <a:srgbClr val="F4CADE"/>
                    </a:solidFill>
                    <a:latin typeface="Almond Nougat" panose="02000600000000000000" pitchFamily="2" charset="0"/>
                  </a:rPr>
                  <a:t>Tahun</a:t>
                </a:r>
                <a:endParaRPr lang="id-ID" sz="3200">
                  <a:solidFill>
                    <a:srgbClr val="F4CADE"/>
                  </a:solidFill>
                  <a:latin typeface="Almond Nougat" panose="02000600000000000000" pitchFamily="2" charset="0"/>
                </a:endParaRPr>
              </a:p>
            </xdr:txBody>
          </xdr:sp>
          <xdr:sp macro="" textlink="'Pivot Table'!$B$4">
            <xdr:nvSpPr>
              <xdr:cNvPr id="28" name="TextBox 27">
                <a:extLst>
                  <a:ext uri="{FF2B5EF4-FFF2-40B4-BE49-F238E27FC236}">
                    <a16:creationId xmlns:a16="http://schemas.microsoft.com/office/drawing/2014/main" id="{0B6FEB36-53A5-4CE5-8E00-221205533CAC}"/>
                  </a:ext>
                </a:extLst>
              </xdr:cNvPr>
              <xdr:cNvSpPr txBox="1"/>
            </xdr:nvSpPr>
            <xdr:spPr>
              <a:xfrm>
                <a:off x="131690" y="1170414"/>
                <a:ext cx="2232785" cy="520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6BA85B-2D4A-48FF-B879-45F556F2BBE4}" type="TxLink">
                  <a:rPr lang="en-US" sz="3600" b="1" i="0" u="none" strike="noStrike">
                    <a:solidFill>
                      <a:srgbClr val="F4CADE"/>
                    </a:solidFill>
                    <a:latin typeface="Almond Nougat" panose="02000600000000000000" pitchFamily="2" charset="0"/>
                    <a:ea typeface="Calibri"/>
                    <a:cs typeface="Calibri"/>
                  </a:rPr>
                  <a:pPr algn="ctr"/>
                  <a:t>2011</a:t>
                </a:fld>
                <a:endParaRPr lang="id-ID" sz="3600" b="1">
                  <a:solidFill>
                    <a:srgbClr val="F4CADE"/>
                  </a:solidFill>
                  <a:latin typeface="Almond Nougat" panose="02000600000000000000" pitchFamily="2" charset="0"/>
                </a:endParaRPr>
              </a:p>
            </xdr:txBody>
          </xdr:sp>
        </xdr:grpSp>
        <xdr:pic>
          <xdr:nvPicPr>
            <xdr:cNvPr id="70" name="Picture 69">
              <a:extLst>
                <a:ext uri="{FF2B5EF4-FFF2-40B4-BE49-F238E27FC236}">
                  <a16:creationId xmlns:a16="http://schemas.microsoft.com/office/drawing/2014/main" id="{25924178-3C72-D1E7-3814-CD2AA254EA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46387" y="2133600"/>
              <a:ext cx="1656000" cy="1656000"/>
            </a:xfrm>
            <a:prstGeom prst="rect">
              <a:avLst/>
            </a:prstGeom>
          </xdr:spPr>
        </xdr:pic>
      </xdr:grpSp>
    </xdr:grpSp>
    <xdr:clientData/>
  </xdr:twoCellAnchor>
  <xdr:twoCellAnchor>
    <xdr:from>
      <xdr:col>9</xdr:col>
      <xdr:colOff>333536</xdr:colOff>
      <xdr:row>5</xdr:row>
      <xdr:rowOff>67585</xdr:rowOff>
    </xdr:from>
    <xdr:to>
      <xdr:col>12</xdr:col>
      <xdr:colOff>314494</xdr:colOff>
      <xdr:row>8</xdr:row>
      <xdr:rowOff>29810</xdr:rowOff>
    </xdr:to>
    <xdr:sp macro="" textlink="">
      <xdr:nvSpPr>
        <xdr:cNvPr id="7" name="TextBox 6">
          <a:extLst>
            <a:ext uri="{FF2B5EF4-FFF2-40B4-BE49-F238E27FC236}">
              <a16:creationId xmlns:a16="http://schemas.microsoft.com/office/drawing/2014/main" id="{D306CB09-7C8D-4A49-8C5E-A7CF4EC26010}"/>
            </a:ext>
          </a:extLst>
        </xdr:cNvPr>
        <xdr:cNvSpPr txBox="1"/>
      </xdr:nvSpPr>
      <xdr:spPr>
        <a:xfrm>
          <a:off x="6142225" y="1004470"/>
          <a:ext cx="1917187" cy="524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i="0" u="none" strike="noStrike">
              <a:solidFill>
                <a:srgbClr val="F4CADE"/>
              </a:solidFill>
              <a:latin typeface="Almond Nougat" panose="02000600000000000000" pitchFamily="2" charset="0"/>
              <a:ea typeface="Calibri"/>
              <a:cs typeface="Calibri"/>
            </a:rPr>
            <a:t>1.386,05 </a:t>
          </a:r>
          <a:r>
            <a:rPr lang="en-US" sz="3600" b="0" i="0">
              <a:solidFill>
                <a:srgbClr val="F4CADE"/>
              </a:solidFill>
              <a:effectLst/>
              <a:latin typeface="Almond Nougat" panose="02000600000000000000" pitchFamily="2" charset="0"/>
              <a:ea typeface="+mn-ea"/>
              <a:cs typeface="+mn-cs"/>
            </a:rPr>
            <a:t>km²</a:t>
          </a:r>
          <a:endParaRPr lang="en-US" sz="3600" b="1" i="0" u="none" strike="noStrike">
            <a:solidFill>
              <a:srgbClr val="F4CADE"/>
            </a:solidFill>
            <a:latin typeface="Almond Nougat" panose="02000600000000000000" pitchFamily="2" charset="0"/>
            <a:ea typeface="Calibri"/>
            <a:cs typeface="Calibri"/>
          </a:endParaRPr>
        </a:p>
      </xdr:txBody>
    </xdr:sp>
    <xdr:clientData/>
  </xdr:twoCellAnchor>
  <xdr:twoCellAnchor>
    <xdr:from>
      <xdr:col>9</xdr:col>
      <xdr:colOff>442520</xdr:colOff>
      <xdr:row>22</xdr:row>
      <xdr:rowOff>161080</xdr:rowOff>
    </xdr:from>
    <xdr:to>
      <xdr:col>12</xdr:col>
      <xdr:colOff>124143</xdr:colOff>
      <xdr:row>25</xdr:row>
      <xdr:rowOff>131015</xdr:rowOff>
    </xdr:to>
    <xdr:sp macro="" textlink="'Pivot Table'!$E$27">
      <xdr:nvSpPr>
        <xdr:cNvPr id="25" name="TextBox 24">
          <a:extLst>
            <a:ext uri="{FF2B5EF4-FFF2-40B4-BE49-F238E27FC236}">
              <a16:creationId xmlns:a16="http://schemas.microsoft.com/office/drawing/2014/main" id="{581F87CC-DCE8-4890-90A2-B06BC6353B2D}"/>
            </a:ext>
          </a:extLst>
        </xdr:cNvPr>
        <xdr:cNvSpPr txBox="1"/>
      </xdr:nvSpPr>
      <xdr:spPr>
        <a:xfrm>
          <a:off x="6226375" y="4200598"/>
          <a:ext cx="1609575" cy="520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B4CF6B1-7FAE-4F31-862B-B85F564A66C8}" type="TxLink">
            <a:rPr lang="en-US" sz="3600" b="1" i="0" u="none" strike="noStrike">
              <a:solidFill>
                <a:srgbClr val="F4CADE"/>
              </a:solidFill>
              <a:latin typeface="Almond Nougat" panose="02000600000000000000" pitchFamily="2" charset="0"/>
              <a:ea typeface="Calibri"/>
              <a:cs typeface="Calibri"/>
            </a:rPr>
            <a:pPr algn="l"/>
            <a:t>18.844.697</a:t>
          </a:fld>
          <a:endParaRPr lang="en-US" sz="3600" b="1">
            <a:solidFill>
              <a:srgbClr val="F4CADE"/>
            </a:solidFill>
            <a:latin typeface="Almond Nougat" panose="02000600000000000000" pitchFamily="2" charset="0"/>
          </a:endParaRPr>
        </a:p>
      </xdr:txBody>
    </xdr:sp>
    <xdr:clientData/>
  </xdr:twoCellAnchor>
  <xdr:twoCellAnchor>
    <xdr:from>
      <xdr:col>4</xdr:col>
      <xdr:colOff>460983</xdr:colOff>
      <xdr:row>23</xdr:row>
      <xdr:rowOff>6370</xdr:rowOff>
    </xdr:from>
    <xdr:to>
      <xdr:col>5</xdr:col>
      <xdr:colOff>488758</xdr:colOff>
      <xdr:row>26</xdr:row>
      <xdr:rowOff>112339</xdr:rowOff>
    </xdr:to>
    <xdr:pic>
      <xdr:nvPicPr>
        <xdr:cNvPr id="29" name="Picture 28">
          <a:extLst>
            <a:ext uri="{FF2B5EF4-FFF2-40B4-BE49-F238E27FC236}">
              <a16:creationId xmlns:a16="http://schemas.microsoft.com/office/drawing/2014/main" id="{5AC5AF27-FC93-46CA-94F3-7546CCCEA4AD}"/>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031585" y="4229503"/>
          <a:ext cx="670426" cy="656812"/>
        </a:xfrm>
        <a:prstGeom prst="rect">
          <a:avLst/>
        </a:prstGeom>
      </xdr:spPr>
    </xdr:pic>
    <xdr:clientData/>
  </xdr:twoCellAnchor>
  <xdr:twoCellAnchor>
    <xdr:from>
      <xdr:col>13</xdr:col>
      <xdr:colOff>632597</xdr:colOff>
      <xdr:row>25</xdr:row>
      <xdr:rowOff>39988</xdr:rowOff>
    </xdr:from>
    <xdr:to>
      <xdr:col>18</xdr:col>
      <xdr:colOff>363633</xdr:colOff>
      <xdr:row>28</xdr:row>
      <xdr:rowOff>75021</xdr:rowOff>
    </xdr:to>
    <xdr:sp macro="" textlink="'Pivot Table'!E85">
      <xdr:nvSpPr>
        <xdr:cNvPr id="30" name="TextBox 29">
          <a:extLst>
            <a:ext uri="{FF2B5EF4-FFF2-40B4-BE49-F238E27FC236}">
              <a16:creationId xmlns:a16="http://schemas.microsoft.com/office/drawing/2014/main" id="{4BEFC6C2-39B1-4E72-B745-6D81E801C1B3}"/>
            </a:ext>
          </a:extLst>
        </xdr:cNvPr>
        <xdr:cNvSpPr txBox="1"/>
      </xdr:nvSpPr>
      <xdr:spPr>
        <a:xfrm>
          <a:off x="8958153" y="4653236"/>
          <a:ext cx="2933172" cy="588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B1242D8-BFEA-4AE1-9F42-0EF729BCFED9}" type="TxLink">
            <a:rPr lang="en-US" sz="3600" b="1" i="0" u="none" strike="noStrike">
              <a:solidFill>
                <a:srgbClr val="F4CADE"/>
              </a:solidFill>
              <a:latin typeface="Almond Nougat" panose="02000600000000000000" pitchFamily="2" charset="0"/>
              <a:ea typeface="Calibri"/>
              <a:cs typeface="Calibri"/>
            </a:rPr>
            <a:pPr algn="l"/>
            <a:t> Rp305.815.929 </a:t>
          </a:fld>
          <a:endParaRPr lang="en-ID" sz="3600" b="1">
            <a:solidFill>
              <a:srgbClr val="F4CADE"/>
            </a:solidFill>
            <a:latin typeface="Almond Nougat" panose="02000600000000000000" pitchFamily="2" charset="0"/>
          </a:endParaRPr>
        </a:p>
      </xdr:txBody>
    </xdr:sp>
    <xdr:clientData/>
  </xdr:twoCellAnchor>
  <xdr:twoCellAnchor>
    <xdr:from>
      <xdr:col>9</xdr:col>
      <xdr:colOff>443799</xdr:colOff>
      <xdr:row>25</xdr:row>
      <xdr:rowOff>62973</xdr:rowOff>
    </xdr:from>
    <xdr:to>
      <xdr:col>11</xdr:col>
      <xdr:colOff>626328</xdr:colOff>
      <xdr:row>27</xdr:row>
      <xdr:rowOff>84878</xdr:rowOff>
    </xdr:to>
    <xdr:sp macro="" textlink="">
      <xdr:nvSpPr>
        <xdr:cNvPr id="34" name="TextBox 33">
          <a:extLst>
            <a:ext uri="{FF2B5EF4-FFF2-40B4-BE49-F238E27FC236}">
              <a16:creationId xmlns:a16="http://schemas.microsoft.com/office/drawing/2014/main" id="{3453ED89-AB9A-4CFE-9D33-059FEFF34AB9}"/>
            </a:ext>
          </a:extLst>
        </xdr:cNvPr>
        <xdr:cNvSpPr txBox="1"/>
      </xdr:nvSpPr>
      <xdr:spPr>
        <a:xfrm>
          <a:off x="6252488" y="4747399"/>
          <a:ext cx="1473348" cy="39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0">
              <a:solidFill>
                <a:srgbClr val="F4CADE"/>
              </a:solidFill>
              <a:latin typeface="Almond Nougat" panose="02000600000000000000" pitchFamily="2" charset="0"/>
            </a:rPr>
            <a:t>Penduduk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03.453499421295" createdVersion="8" refreshedVersion="8" minRefreshableVersion="3" recordCount="12" xr:uid="{7D9AEAAA-92B4-498A-A295-6EB0D95675E9}">
  <cacheSource type="worksheet">
    <worksheetSource name="Table3"/>
  </cacheSource>
  <cacheFields count="16">
    <cacheField name="Tahun" numFmtId="0">
      <sharedItems containsSemiMixedTypes="0" containsString="0" containsNumber="1" containsInteger="1" minValue="2011" maxValue="2022" count="12">
        <n v="2011"/>
        <n v="2012"/>
        <n v="2013"/>
        <n v="2014"/>
        <n v="2015"/>
        <n v="2016"/>
        <n v="2017"/>
        <n v="2018"/>
        <n v="2019"/>
        <n v="2020"/>
        <n v="2021"/>
        <n v="2022"/>
      </sharedItems>
    </cacheField>
    <cacheField name="Jumlah Penduduk" numFmtId="1">
      <sharedItems containsSemiMixedTypes="0" containsString="0" containsNumber="1" containsInteger="1" minValue="1512610" maxValue="1656020"/>
    </cacheField>
    <cacheField name="Laki-laki" numFmtId="0">
      <sharedItems containsSemiMixedTypes="0" containsString="0" containsNumber="1" containsInteger="1" minValue="758174" maxValue="836025"/>
    </cacheField>
    <cacheField name="Perempuan" numFmtId="0">
      <sharedItems containsSemiMixedTypes="0" containsString="0" containsNumber="1" containsInteger="1" minValue="754436" maxValue="819995"/>
    </cacheField>
    <cacheField name="Sex Rasio" numFmtId="1">
      <sharedItems containsSemiMixedTypes="0" containsString="0" containsNumber="1" minValue="100.37810549247979" maxValue="102.03106642106083"/>
    </cacheField>
    <cacheField name="Kepadatan Penduduk" numFmtId="1">
      <sharedItems containsSemiMixedTypes="0" containsString="0" containsNumber="1" minValue="1091.3098373074565" maxValue="1195"/>
    </cacheField>
    <cacheField name="Laju Pertumbuhan" numFmtId="0">
      <sharedItems containsSemiMixedTypes="0" containsString="0" containsNumber="1" minValue="0.39" maxValue="0.87"/>
    </cacheField>
    <cacheField name="Pertumbuhan Ekonomi" numFmtId="2">
      <sharedItems containsSemiMixedTypes="0" containsString="0" containsNumber="1" minValue="-2.41" maxValue="6.11"/>
    </cacheField>
    <cacheField name="TK/RA" numFmtId="0">
      <sharedItems containsSemiMixedTypes="0" containsString="0" containsNumber="1" containsInteger="1" minValue="949" maxValue="1022"/>
    </cacheField>
    <cacheField name="SD/MI" numFmtId="0">
      <sharedItems containsSemiMixedTypes="0" containsString="0" containsNumber="1" containsInteger="1" minValue="874" maxValue="942"/>
    </cacheField>
    <cacheField name="SMP/MTs" numFmtId="0">
      <sharedItems containsSemiMixedTypes="0" containsString="0" containsNumber="1" containsInteger="1" minValue="187" maxValue="218"/>
    </cacheField>
    <cacheField name="SMA/SMK/MA" numFmtId="0">
      <sharedItems containsSemiMixedTypes="0" containsString="0" containsNumber="1" containsInteger="1" minValue="95" maxValue="130"/>
    </cacheField>
    <cacheField name="PDRB" numFmtId="0">
      <sharedItems containsSemiMixedTypes="0" containsString="0" containsNumber="1" containsInteger="1" minValue="19354905" maxValue="30800705"/>
    </cacheField>
    <cacheField name="Tingkat Pengangguran" numFmtId="0">
      <sharedItems containsSemiMixedTypes="0" containsString="0" containsNumber="1" minValue="3.18" maxValue="8.33"/>
    </cacheField>
    <cacheField name="Column1" numFmtId="4">
      <sharedItems containsSemiMixedTypes="0" containsString="0" containsNumber="1" minValue="1386.05" maxValue="1386.05"/>
    </cacheField>
    <cacheField name="Column2" numFmtId="1">
      <sharedItems containsSemiMixedTypes="0" containsString="0" containsNumber="1" minValue="1091.3098373074565" maxValue="1194.7765232134484"/>
    </cacheField>
  </cacheFields>
  <extLst>
    <ext xmlns:x14="http://schemas.microsoft.com/office/spreadsheetml/2009/9/main" uri="{725AE2AE-9491-48be-B2B4-4EB974FC3084}">
      <x14:pivotCacheDefinition pivotCacheId="1195555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512610"/>
    <n v="758174"/>
    <n v="754436"/>
    <n v="100.49546946328118"/>
    <n v="1091.3098373074565"/>
    <n v="0.63"/>
    <n v="6.03"/>
    <n v="949"/>
    <n v="876"/>
    <n v="194"/>
    <n v="95"/>
    <n v="19354905"/>
    <n v="8.33"/>
    <n v="1386.05"/>
    <n v="1091.3098373074565"/>
  </r>
  <r>
    <x v="1"/>
    <n v="1521895"/>
    <n v="763091"/>
    <n v="758804"/>
    <n v="100.56496802863452"/>
    <n v="1098.0087298438007"/>
    <n v="0.61"/>
    <n v="6.11"/>
    <n v="955"/>
    <n v="874"/>
    <n v="189"/>
    <n v="96"/>
    <n v="20538323"/>
    <n v="4.08"/>
    <n v="1386.05"/>
    <n v="1098.0087298438007"/>
  </r>
  <r>
    <x v="2"/>
    <n v="1530504"/>
    <n v="766696"/>
    <n v="763808"/>
    <n v="100.37810549247979"/>
    <n v="1104.2199054868152"/>
    <n v="0.56000000000000005"/>
    <n v="5.82"/>
    <n v="958"/>
    <n v="885"/>
    <n v="193"/>
    <n v="102"/>
    <n v="21733458"/>
    <n v="4.6500000000000004"/>
    <n v="1386.05"/>
    <n v="1104.2199054868152"/>
  </r>
  <r>
    <x v="3"/>
    <n v="1538929"/>
    <n v="772006"/>
    <n v="766923"/>
    <n v="100.66277840148229"/>
    <n v="1110.2983297860828"/>
    <n v="0.55000000000000004"/>
    <n v="5.32"/>
    <n v="966"/>
    <n v="884"/>
    <n v="187"/>
    <n v="106"/>
    <n v="22889972"/>
    <n v="4.91"/>
    <n v="1386.05"/>
    <n v="1110.2983297860828"/>
  </r>
  <r>
    <x v="4"/>
    <n v="1546883"/>
    <n v="776212"/>
    <n v="770671"/>
    <n v="100.71898384654412"/>
    <n v="1116.0369395043469"/>
    <n v="0.52"/>
    <n v="4.88"/>
    <n v="968"/>
    <n v="887"/>
    <n v="187"/>
    <n v="112"/>
    <n v="24007724"/>
    <n v="5.0199999999999996"/>
    <n v="1386.05"/>
    <n v="1116.0369395043469"/>
  </r>
  <r>
    <x v="5"/>
    <n v="1554385"/>
    <n v="780097"/>
    <n v="774288"/>
    <n v="100.75023763767487"/>
    <n v="1121.4494426607987"/>
    <n v="0.48"/>
    <n v="5.0199999999999996"/>
    <n v="972"/>
    <n v="898"/>
    <n v="197"/>
    <n v="113"/>
    <n v="25211901"/>
    <n v="4.55"/>
    <n v="1386.05"/>
    <n v="1121.4494426607987"/>
  </r>
  <r>
    <x v="6"/>
    <n v="1561392"/>
    <n v="783589"/>
    <n v="777803"/>
    <n v="100.74389016241902"/>
    <n v="1127"/>
    <n v="0.45"/>
    <n v="4.9000000000000004"/>
    <n v="969"/>
    <n v="907"/>
    <n v="198"/>
    <n v="112"/>
    <n v="26446174"/>
    <n v="3.18"/>
    <n v="1386.05"/>
    <n v="1126.5048158435843"/>
  </r>
  <r>
    <x v="7"/>
    <n v="1568113"/>
    <n v="787023"/>
    <n v="781090"/>
    <n v="100.75957956189427"/>
    <n v="1131"/>
    <n v="0.43"/>
    <n v="5.08"/>
    <n v="986"/>
    <n v="912"/>
    <n v="197"/>
    <n v="129"/>
    <n v="27786420"/>
    <n v="4.1500000000000004"/>
    <n v="1386.05"/>
    <n v="1131.3538472638072"/>
  </r>
  <r>
    <x v="8"/>
    <n v="1574272"/>
    <n v="790210"/>
    <n v="784062"/>
    <n v="100.784121663848"/>
    <n v="1136"/>
    <n v="0.39"/>
    <n v="5.07"/>
    <n v="997"/>
    <n v="930"/>
    <n v="207"/>
    <n v="129"/>
    <n v="29193722"/>
    <n v="3.58"/>
    <n v="1386.05"/>
    <n v="1135.7974099058476"/>
  </r>
  <r>
    <x v="9"/>
    <n v="1635294"/>
    <n v="825867"/>
    <n v="809427"/>
    <n v="102.03106642106083"/>
    <n v="1180"/>
    <n v="0.87"/>
    <n v="-2.41"/>
    <n v="997"/>
    <n v="928"/>
    <n v="203"/>
    <n v="129"/>
    <n v="28490953"/>
    <n v="5.24"/>
    <n v="1386.05"/>
    <n v="1179.8232386999027"/>
  </r>
  <r>
    <x v="10"/>
    <n v="1644400"/>
    <n v="830315"/>
    <n v="814085"/>
    <n v="101.99364931180406"/>
    <n v="1186"/>
    <n v="0.74"/>
    <n v="3.06"/>
    <n v="1013"/>
    <n v="937"/>
    <n v="218"/>
    <n v="130"/>
    <n v="29361672"/>
    <n v="5.15"/>
    <n v="1386.05"/>
    <n v="1186.3929872659717"/>
  </r>
  <r>
    <x v="11"/>
    <n v="1656020"/>
    <n v="836025"/>
    <n v="819995"/>
    <n v="101.95488996884127"/>
    <n v="1195"/>
    <n v="0.71"/>
    <n v="4.9000000000000004"/>
    <n v="1022"/>
    <n v="942"/>
    <n v="215"/>
    <n v="130"/>
    <n v="30800705"/>
    <n v="6.83"/>
    <n v="1386.05"/>
    <n v="1194.77652321344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90B18-3A49-42B0-A9E4-9ADF8ADA9F86}" name="Pertumbuhan ek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1:H52"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showAll="0"/>
    <pivotField numFmtId="1" showAll="0"/>
    <pivotField numFmtId="1" showAll="0"/>
    <pivotField showAll="0"/>
    <pivotField dataField="1" numFmtId="2" showAll="0"/>
    <pivotField showAll="0"/>
    <pivotField showAll="0"/>
    <pivotField showAll="0"/>
    <pivotField showAll="0"/>
    <pivotField showAll="0"/>
    <pivotField showAll="0"/>
    <pivotField numFmtId="4" showAll="0"/>
    <pivotField numFmtId="1" showAll="0"/>
  </pivotFields>
  <rowItems count="1">
    <i/>
  </rowItems>
  <colItems count="1">
    <i/>
  </colItems>
  <pageFields count="1">
    <pageField fld="0" hier="-1"/>
  </pageFields>
  <dataFields count="1">
    <dataField name="Sum of Pertumbuhan Ekonomi"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F7FFEA-E3B0-4DD1-97E5-B4628242C9FF}" name="PDR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2:C95" firstHeaderRow="1" firstDataRow="1" firstDataCol="1"/>
  <pivotFields count="16">
    <pivotField axis="axisRow" showAll="0">
      <items count="13">
        <item x="0"/>
        <item x="1"/>
        <item x="2"/>
        <item x="3"/>
        <item x="4"/>
        <item x="5"/>
        <item x="6"/>
        <item x="7"/>
        <item x="8"/>
        <item x="9"/>
        <item x="10"/>
        <item x="11"/>
        <item t="default"/>
      </items>
    </pivotField>
    <pivotField numFmtId="1" showAll="0"/>
    <pivotField showAll="0"/>
    <pivotField showAll="0"/>
    <pivotField numFmtId="1" showAll="0"/>
    <pivotField numFmtId="1" showAll="0"/>
    <pivotField showAll="0"/>
    <pivotField numFmtId="2" showAll="0"/>
    <pivotField showAll="0"/>
    <pivotField showAll="0"/>
    <pivotField showAll="0"/>
    <pivotField showAll="0"/>
    <pivotField dataField="1" showAll="0"/>
    <pivotField showAll="0"/>
    <pivotField numFmtId="4" showAll="0"/>
    <pivotField numFmtId="1" showAll="0"/>
  </pivotFields>
  <rowFields count="1">
    <field x="0"/>
  </rowFields>
  <rowItems count="13">
    <i>
      <x/>
    </i>
    <i>
      <x v="1"/>
    </i>
    <i>
      <x v="2"/>
    </i>
    <i>
      <x v="3"/>
    </i>
    <i>
      <x v="4"/>
    </i>
    <i>
      <x v="5"/>
    </i>
    <i>
      <x v="6"/>
    </i>
    <i>
      <x v="7"/>
    </i>
    <i>
      <x v="8"/>
    </i>
    <i>
      <x v="9"/>
    </i>
    <i>
      <x v="10"/>
    </i>
    <i>
      <x v="11"/>
    </i>
    <i t="grand">
      <x/>
    </i>
  </rowItems>
  <colItems count="1">
    <i/>
  </colItems>
  <dataFields count="1">
    <dataField name="Sum of PDRB" fld="12"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F920EA-AA24-4F67-9181-88CB6DF1F5E5}" name="Perempu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H19"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dataField="1" showAll="0"/>
    <pivotField numFmtId="1" showAll="0"/>
    <pivotField numFmtId="1" showAll="0"/>
    <pivotField showAll="0"/>
    <pivotField numFmtId="2" showAll="0"/>
    <pivotField showAll="0"/>
    <pivotField showAll="0"/>
    <pivotField showAll="0"/>
    <pivotField showAll="0"/>
    <pivotField showAll="0"/>
    <pivotField showAll="0"/>
    <pivotField numFmtId="4" showAll="0"/>
    <pivotField numFmtId="1" showAll="0"/>
  </pivotFields>
  <rowItems count="1">
    <i/>
  </rowItems>
  <colItems count="1">
    <i/>
  </colItems>
  <pageFields count="1">
    <pageField fld="0" hier="-1"/>
  </pageFields>
  <dataFields count="1">
    <dataField name="Sum of Perempuan"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A8E256-605A-4F8C-A6A2-F6BDFC86B90F}" name="Sekolah"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6:C70" firstHeaderRow="1" firstDataRow="1" firstDataCol="1"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showAll="0"/>
    <pivotField numFmtId="1" showAll="0"/>
    <pivotField numFmtId="1" showAll="0"/>
    <pivotField showAll="0"/>
    <pivotField numFmtId="2" showAll="0"/>
    <pivotField dataField="1" showAll="0"/>
    <pivotField dataField="1" showAll="0"/>
    <pivotField dataField="1" showAll="0"/>
    <pivotField dataField="1" showAll="0"/>
    <pivotField showAll="0"/>
    <pivotField showAll="0"/>
    <pivotField numFmtId="4" showAll="0"/>
    <pivotField numFmtId="1" showAll="0"/>
  </pivotFields>
  <rowFields count="1">
    <field x="-2"/>
  </rowFields>
  <rowItems count="4">
    <i>
      <x/>
    </i>
    <i i="1">
      <x v="1"/>
    </i>
    <i i="2">
      <x v="2"/>
    </i>
    <i i="3">
      <x v="3"/>
    </i>
  </rowItems>
  <colItems count="1">
    <i/>
  </colItems>
  <pageFields count="1">
    <pageField fld="0" hier="-1"/>
  </pageFields>
  <dataFields count="4">
    <dataField name="Sum of TK/RA" fld="8" baseField="0" baseItem="0" numFmtId="3"/>
    <dataField name="Sum of SD/MI" fld="9" baseField="0" baseItem="0"/>
    <dataField name="Sum of SMP/MTs" fld="10" baseField="0" baseItem="0"/>
    <dataField name="Sum of SMA/SMK/MA"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4789AA-CD0A-4EDB-94C0-F2F114A85249}" name="Jumlah pendudu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3:D16" firstHeaderRow="0" firstDataRow="1" firstDataCol="1"/>
  <pivotFields count="16">
    <pivotField axis="axisRow" showAll="0">
      <items count="13">
        <item x="0"/>
        <item x="1"/>
        <item x="2"/>
        <item x="3"/>
        <item x="4"/>
        <item x="5"/>
        <item x="6"/>
        <item x="7"/>
        <item x="8"/>
        <item x="9"/>
        <item x="10"/>
        <item x="11"/>
        <item t="default"/>
      </items>
    </pivotField>
    <pivotField dataField="1" numFmtId="1" showAll="0"/>
    <pivotField showAll="0"/>
    <pivotField showAll="0"/>
    <pivotField numFmtId="1" showAll="0"/>
    <pivotField dataField="1" numFmtId="1" showAll="0"/>
    <pivotField showAll="0"/>
    <pivotField numFmtId="2" showAll="0"/>
    <pivotField showAll="0"/>
    <pivotField showAll="0"/>
    <pivotField showAll="0"/>
    <pivotField showAll="0"/>
    <pivotField showAll="0"/>
    <pivotField showAll="0"/>
    <pivotField numFmtId="4" showAll="0"/>
    <pivotField numFmtI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Jumlah Penduduk" fld="1" baseField="0" baseItem="0"/>
    <dataField name="Sum of Kepadatan Penduduk" fld="5" baseField="0" baseItem="0"/>
  </dataFields>
  <chartFormats count="14">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20" format="4">
      <pivotArea type="data" outline="0" fieldPosition="0">
        <references count="2">
          <reference field="4294967294" count="1" selected="0">
            <x v="1"/>
          </reference>
          <reference field="0" count="1" selected="0">
            <x v="0"/>
          </reference>
        </references>
      </pivotArea>
    </chartFormat>
    <chartFormat chart="20" format="5">
      <pivotArea type="data" outline="0" fieldPosition="0">
        <references count="2">
          <reference field="4294967294" count="1" selected="0">
            <x v="1"/>
          </reference>
          <reference field="0" count="1" selected="0">
            <x v="1"/>
          </reference>
        </references>
      </pivotArea>
    </chartFormat>
    <chartFormat chart="20" format="6">
      <pivotArea type="data" outline="0" fieldPosition="0">
        <references count="2">
          <reference field="4294967294" count="1" selected="0">
            <x v="1"/>
          </reference>
          <reference field="0" count="1" selected="0">
            <x v="2"/>
          </reference>
        </references>
      </pivotArea>
    </chartFormat>
    <chartFormat chart="20" format="7">
      <pivotArea type="data" outline="0" fieldPosition="0">
        <references count="2">
          <reference field="4294967294" count="1" selected="0">
            <x v="1"/>
          </reference>
          <reference field="0" count="1" selected="0">
            <x v="3"/>
          </reference>
        </references>
      </pivotArea>
    </chartFormat>
    <chartFormat chart="20" format="8">
      <pivotArea type="data" outline="0" fieldPosition="0">
        <references count="2">
          <reference field="4294967294" count="1" selected="0">
            <x v="1"/>
          </reference>
          <reference field="0" count="1" selected="0">
            <x v="4"/>
          </reference>
        </references>
      </pivotArea>
    </chartFormat>
    <chartFormat chart="20" format="9">
      <pivotArea type="data" outline="0" fieldPosition="0">
        <references count="2">
          <reference field="4294967294" count="1" selected="0">
            <x v="1"/>
          </reference>
          <reference field="0" count="1" selected="0">
            <x v="5"/>
          </reference>
        </references>
      </pivotArea>
    </chartFormat>
    <chartFormat chart="20" format="10">
      <pivotArea type="data" outline="0" fieldPosition="0">
        <references count="2">
          <reference field="4294967294" count="1" selected="0">
            <x v="1"/>
          </reference>
          <reference field="0" count="1" selected="0">
            <x v="6"/>
          </reference>
        </references>
      </pivotArea>
    </chartFormat>
    <chartFormat chart="20" format="11">
      <pivotArea type="data" outline="0" fieldPosition="0">
        <references count="2">
          <reference field="4294967294" count="1" selected="0">
            <x v="1"/>
          </reference>
          <reference field="0" count="1" selected="0">
            <x v="7"/>
          </reference>
        </references>
      </pivotArea>
    </chartFormat>
    <chartFormat chart="20" format="12">
      <pivotArea type="data" outline="0" fieldPosition="0">
        <references count="2">
          <reference field="4294967294" count="1" selected="0">
            <x v="1"/>
          </reference>
          <reference field="0" count="1" selected="0">
            <x v="8"/>
          </reference>
        </references>
      </pivotArea>
    </chartFormat>
    <chartFormat chart="20" format="13">
      <pivotArea type="data" outline="0" fieldPosition="0">
        <references count="2">
          <reference field="4294967294" count="1" selected="0">
            <x v="1"/>
          </reference>
          <reference field="0" count="1" selected="0">
            <x v="9"/>
          </reference>
        </references>
      </pivotArea>
    </chartFormat>
    <chartFormat chart="20" format="14">
      <pivotArea type="data" outline="0" fieldPosition="0">
        <references count="2">
          <reference field="4294967294" count="1" selected="0">
            <x v="1"/>
          </reference>
          <reference field="0" count="1" selected="0">
            <x v="10"/>
          </reference>
        </references>
      </pivotArea>
    </chartFormat>
    <chartFormat chart="20" format="15">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6120DD-4ACB-44FD-B0C4-4D515F846818}" name="Laki-lak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E21"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dataField="1" showAll="0"/>
    <pivotField showAll="0"/>
    <pivotField numFmtId="1" showAll="0"/>
    <pivotField numFmtId="1" showAll="0"/>
    <pivotField showAll="0"/>
    <pivotField numFmtId="2" showAll="0"/>
    <pivotField showAll="0"/>
    <pivotField showAll="0"/>
    <pivotField showAll="0"/>
    <pivotField showAll="0"/>
    <pivotField showAll="0"/>
    <pivotField showAll="0"/>
    <pivotField numFmtId="4" showAll="0"/>
    <pivotField numFmtId="1" showAll="0"/>
  </pivotFields>
  <rowItems count="1">
    <i/>
  </rowItems>
  <colItems count="1">
    <i/>
  </colItems>
  <pageFields count="1">
    <pageField fld="0" hier="-1"/>
  </pageFields>
  <dataFields count="1">
    <dataField name="Sum of Laki-laki" fld="2"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7BB8C-DDE9-43F7-94B5-9B70805D4403}" name="Kepadatan dan laju pertumbuh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0:D43" firstHeaderRow="0" firstDataRow="1" firstDataCol="1"/>
  <pivotFields count="16">
    <pivotField axis="axisRow" showAll="0">
      <items count="13">
        <item x="0"/>
        <item x="1"/>
        <item x="2"/>
        <item x="3"/>
        <item x="4"/>
        <item x="5"/>
        <item x="6"/>
        <item x="7"/>
        <item x="8"/>
        <item x="9"/>
        <item x="10"/>
        <item x="11"/>
        <item t="default"/>
      </items>
    </pivotField>
    <pivotField numFmtId="1" showAll="0"/>
    <pivotField showAll="0"/>
    <pivotField showAll="0"/>
    <pivotField numFmtId="1" showAll="0"/>
    <pivotField dataField="1" numFmtId="1" showAll="0"/>
    <pivotField dataField="1" showAll="0"/>
    <pivotField numFmtId="2" showAll="0"/>
    <pivotField showAll="0"/>
    <pivotField showAll="0"/>
    <pivotField showAll="0"/>
    <pivotField showAll="0"/>
    <pivotField showAll="0"/>
    <pivotField showAll="0"/>
    <pivotField numFmtId="4" showAll="0"/>
    <pivotField numFmtI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Kepadatan Penduduk" fld="5" baseField="0" baseItem="0"/>
    <dataField name="Sum of Laju Pertumbuha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74625-FE84-4AA0-B655-C4567B7F1B74}" name="Jumlah pd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6:E27"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dataField="1" numFmtId="1" showAll="0"/>
    <pivotField showAll="0"/>
    <pivotField showAll="0"/>
    <pivotField numFmtId="1" showAll="0"/>
    <pivotField numFmtId="1" showAll="0"/>
    <pivotField showAll="0"/>
    <pivotField numFmtId="2" showAll="0"/>
    <pivotField showAll="0"/>
    <pivotField showAll="0"/>
    <pivotField showAll="0"/>
    <pivotField showAll="0"/>
    <pivotField showAll="0"/>
    <pivotField showAll="0"/>
    <pivotField numFmtId="4" showAll="0"/>
    <pivotField numFmtId="1" showAll="0"/>
  </pivotFields>
  <rowItems count="1">
    <i/>
  </rowItems>
  <colItems count="1">
    <i/>
  </colItems>
  <pageFields count="1">
    <pageField fld="0" hier="-1"/>
  </pageFields>
  <dataFields count="1">
    <dataField name="Sum of Jumlah Penduduk"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2727C0-DD6A-40BA-9443-9AFF32CE2AE4}" name="Penganggur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1:B102"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showAll="0"/>
    <pivotField numFmtId="1" showAll="0"/>
    <pivotField numFmtId="1" showAll="0"/>
    <pivotField showAll="0"/>
    <pivotField numFmtId="2" showAll="0"/>
    <pivotField showAll="0"/>
    <pivotField showAll="0"/>
    <pivotField showAll="0"/>
    <pivotField showAll="0"/>
    <pivotField showAll="0"/>
    <pivotField dataField="1" showAll="0"/>
    <pivotField numFmtId="4" showAll="0"/>
    <pivotField numFmtId="1" showAll="0"/>
  </pivotFields>
  <rowItems count="1">
    <i/>
  </rowItems>
  <colItems count="1">
    <i/>
  </colItems>
  <pageFields count="1">
    <pageField fld="0" hier="-1"/>
  </pageFields>
  <dataFields count="1">
    <dataField name="Sum of Tingkat Pengangguran"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7C6549-5FA0-4AF2-A885-B669E57BE970}" name="Laju pertumbuh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0:K41"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showAll="0"/>
    <pivotField numFmtId="1" showAll="0"/>
    <pivotField numFmtId="1" showAll="0"/>
    <pivotField dataField="1" showAll="0"/>
    <pivotField numFmtId="2" showAll="0"/>
    <pivotField showAll="0"/>
    <pivotField showAll="0"/>
    <pivotField showAll="0"/>
    <pivotField showAll="0"/>
    <pivotField showAll="0"/>
    <pivotField showAll="0"/>
    <pivotField numFmtId="4" showAll="0"/>
    <pivotField numFmtId="1" showAll="0"/>
  </pivotFields>
  <rowItems count="1">
    <i/>
  </rowItems>
  <colItems count="1">
    <i/>
  </colItems>
  <pageFields count="1">
    <pageField fld="0" hier="-1"/>
  </pageFields>
  <dataFields count="1">
    <dataField name="Sum of Laju Pertumbuhan" fld="6"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845EF8-8F24-41C0-8C30-3E8742A9DD7B}" name="Sex rati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2:H23"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showAll="0"/>
    <pivotField dataField="1" numFmtId="1" showAll="0"/>
    <pivotField numFmtId="1" showAll="0"/>
    <pivotField showAll="0"/>
    <pivotField numFmtId="2" showAll="0"/>
    <pivotField showAll="0"/>
    <pivotField showAll="0"/>
    <pivotField showAll="0"/>
    <pivotField showAll="0"/>
    <pivotField showAll="0"/>
    <pivotField showAll="0"/>
    <pivotField numFmtId="4" showAll="0"/>
    <pivotField numFmtId="1" showAll="0"/>
  </pivotFields>
  <rowItems count="1">
    <i/>
  </rowItems>
  <colItems count="1">
    <i/>
  </colItems>
  <pageFields count="1">
    <pageField fld="0" hier="-1"/>
  </pageFields>
  <dataFields count="1">
    <dataField name="Sum of Sex Rasio" fld="4"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F6B85E-2EDE-4B00-A6C3-39C10627BB5E}" name="Pertumbuhan ekonom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9:C62" firstHeaderRow="1" firstDataRow="1" firstDataCol="1"/>
  <pivotFields count="16">
    <pivotField axis="axisRow" showAll="0">
      <items count="13">
        <item x="0"/>
        <item x="1"/>
        <item x="2"/>
        <item x="3"/>
        <item x="4"/>
        <item x="5"/>
        <item x="6"/>
        <item x="7"/>
        <item x="8"/>
        <item x="9"/>
        <item x="10"/>
        <item x="11"/>
        <item t="default"/>
      </items>
    </pivotField>
    <pivotField numFmtId="1" showAll="0"/>
    <pivotField showAll="0"/>
    <pivotField showAll="0"/>
    <pivotField numFmtId="1" showAll="0"/>
    <pivotField numFmtId="1" showAll="0"/>
    <pivotField showAll="0"/>
    <pivotField dataField="1" numFmtId="2" showAll="0"/>
    <pivotField showAll="0"/>
    <pivotField showAll="0"/>
    <pivotField showAll="0"/>
    <pivotField showAll="0"/>
    <pivotField showAll="0"/>
    <pivotField showAll="0"/>
    <pivotField numFmtId="4" showAll="0"/>
    <pivotField numFmtId="1" showAll="0"/>
  </pivotFields>
  <rowFields count="1">
    <field x="0"/>
  </rowFields>
  <rowItems count="13">
    <i>
      <x/>
    </i>
    <i>
      <x v="1"/>
    </i>
    <i>
      <x v="2"/>
    </i>
    <i>
      <x v="3"/>
    </i>
    <i>
      <x v="4"/>
    </i>
    <i>
      <x v="5"/>
    </i>
    <i>
      <x v="6"/>
    </i>
    <i>
      <x v="7"/>
    </i>
    <i>
      <x v="8"/>
    </i>
    <i>
      <x v="9"/>
    </i>
    <i>
      <x v="10"/>
    </i>
    <i>
      <x v="11"/>
    </i>
    <i t="grand">
      <x/>
    </i>
  </rowItems>
  <colItems count="1">
    <i/>
  </colItems>
  <dataFields count="1">
    <dataField name="Sum of Pertumbuhan Ekonomi"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85FBC8-6070-462A-A829-1D093274C183}" name="Kepadatan pendudu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3:K34"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showAll="0"/>
    <pivotField numFmtId="1" showAll="0"/>
    <pivotField dataField="1" numFmtId="1" showAll="0"/>
    <pivotField showAll="0"/>
    <pivotField numFmtId="2" showAll="0"/>
    <pivotField showAll="0"/>
    <pivotField showAll="0"/>
    <pivotField showAll="0"/>
    <pivotField showAll="0"/>
    <pivotField showAll="0"/>
    <pivotField showAll="0"/>
    <pivotField numFmtId="4" showAll="0"/>
    <pivotField numFmtId="1" showAll="0"/>
  </pivotFields>
  <rowItems count="1">
    <i/>
  </rowItems>
  <colItems count="1">
    <i/>
  </colItems>
  <pageFields count="1">
    <pageField fld="0" hier="-1"/>
  </pageFields>
  <dataFields count="1">
    <dataField name="Sum of Kepadatan Penduduk"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578D23-7A12-4B91-AA2B-F466D38ED235}" name="PDRB Angk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4:E85" firstHeaderRow="1" firstDataRow="1" firstDataCol="0" rowPageCount="1" colPageCount="1"/>
  <pivotFields count="16">
    <pivotField axis="axisPage" multipleItemSelectionAllowed="1" showAll="0">
      <items count="13">
        <item x="0"/>
        <item x="1"/>
        <item x="2"/>
        <item x="3"/>
        <item x="4"/>
        <item x="5"/>
        <item x="6"/>
        <item x="7"/>
        <item x="8"/>
        <item x="9"/>
        <item x="10"/>
        <item x="11"/>
        <item t="default"/>
      </items>
    </pivotField>
    <pivotField numFmtId="1" showAll="0"/>
    <pivotField showAll="0"/>
    <pivotField showAll="0"/>
    <pivotField numFmtId="1" showAll="0"/>
    <pivotField numFmtId="1" showAll="0"/>
    <pivotField showAll="0"/>
    <pivotField numFmtId="2" showAll="0"/>
    <pivotField showAll="0"/>
    <pivotField showAll="0"/>
    <pivotField showAll="0"/>
    <pivotField showAll="0"/>
    <pivotField dataField="1" showAll="0"/>
    <pivotField showAll="0"/>
    <pivotField numFmtId="4" showAll="0"/>
    <pivotField numFmtId="1" showAll="0"/>
  </pivotFields>
  <rowItems count="1">
    <i/>
  </rowItems>
  <colItems count="1">
    <i/>
  </colItems>
  <pageFields count="1">
    <pageField fld="0" hier="-1"/>
  </pageFields>
  <dataFields count="1">
    <dataField name="Sum of PDRB" fld="12" baseField="0" baseItem="0" numFmtId="4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3A4129CE-FFF9-498E-8B2F-37A135D7C67A}" sourceName="Tahun">
  <pivotTables>
    <pivotTable tabId="6" name="Sekolah"/>
    <pivotTable tabId="6" name="Laki-laki"/>
    <pivotTable tabId="6" name="Perempuan"/>
    <pivotTable tabId="6" name="Sex ratio"/>
    <pivotTable tabId="6" name="Kepadatan penduduk"/>
    <pivotTable tabId="6" name="Laju pertumbuhan"/>
    <pivotTable tabId="6" name="Pertumbuhan eko"/>
    <pivotTable tabId="6" name="Pengangguran"/>
    <pivotTable tabId="6" name="PDRB Angka"/>
    <pivotTable tabId="6" name="Jumlah pdd"/>
  </pivotTables>
  <data>
    <tabular pivotCacheId="1195555510">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xr10:uid="{D70B43FB-2B97-42B3-958F-B6C162EB1A7B}" cache="Slicer_Tahun" caption="Tahu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CC98D4-5237-42EE-932A-483AAF98683C}" name="Table3" displayName="Table3" ref="A1:T13" totalsRowShown="0" headerRowDxfId="24" dataDxfId="23">
  <autoFilter ref="A1:T13" xr:uid="{D8CC98D4-5237-42EE-932A-483AAF98683C}"/>
  <tableColumns count="20">
    <tableColumn id="1" xr3:uid="{8573AE28-98EA-4A4C-9F33-24AE5C33A4D8}" name="Tahun" dataDxfId="22"/>
    <tableColumn id="3" xr3:uid="{64EA012D-FFAC-4C17-B0F3-61C1E9CB704A}" name="Jumlah Penduduk" dataDxfId="21"/>
    <tableColumn id="4" xr3:uid="{90132894-035B-425F-B093-03DF7D4E8459}" name="Laki-laki" dataDxfId="20"/>
    <tableColumn id="5" xr3:uid="{FC8B7FF0-4CE8-4EC7-AFAF-B51AAB7E78A4}" name="Perempuan" dataDxfId="19"/>
    <tableColumn id="15" xr3:uid="{CE37C8B3-D75B-4E76-8168-5294FB17E182}" name="Sex Rasio" dataDxfId="18">
      <calculatedColumnFormula>(C2/D2)*100</calculatedColumnFormula>
    </tableColumn>
    <tableColumn id="16" xr3:uid="{F977D150-155A-4CB2-8147-083889CE228D}" name="Kepadatan Penduduk" dataDxfId="17"/>
    <tableColumn id="17" xr3:uid="{10873F45-F243-4825-9313-BEF62FE42D5A}" name="Laju Pertumbuhan" dataDxfId="16"/>
    <tableColumn id="18" xr3:uid="{D3847AAA-8FDA-45EF-9935-A423977DA7DB}" name="Pertumbuhan Ekonomi" dataDxfId="15"/>
    <tableColumn id="19" xr3:uid="{D3EFCB0B-DA11-408D-8A7C-5CDF114D812C}" name="TK/RA" dataDxfId="14"/>
    <tableColumn id="20" xr3:uid="{2257F0FD-ED93-4F36-8BBB-61A18B335166}" name="SD/MI" dataDxfId="13"/>
    <tableColumn id="21" xr3:uid="{29E9A4B1-B0E5-4CAC-AF53-9A94C7C5C66E}" name="SMP/MTs" dataDxfId="12"/>
    <tableColumn id="22" xr3:uid="{4128481C-E46D-4D2D-82B0-E279F0FD10F3}" name="SMA/SMK/MA" dataDxfId="11"/>
    <tableColumn id="8" xr3:uid="{5C54D401-59A8-4B0D-BE62-A910DB144B93}" name="PDRB" dataDxfId="10"/>
    <tableColumn id="2" xr3:uid="{8422B6F0-31EA-47AE-AAC6-6197111537B9}" name="Tingkat Pengangguran" dataDxfId="9"/>
    <tableColumn id="6" xr3:uid="{733EEEF2-7AD5-43C4-BBDC-7A543D804A57}" name="Column1" dataDxfId="8"/>
    <tableColumn id="7" xr3:uid="{2CC352F8-2E8E-4A17-B674-155E5F52A940}" name="Bukan Usia Kerja" dataDxfId="7">
      <calculatedColumnFormula>Table3[[#This Row],[Jumlah Penduduk]]/Table3[[#This Row],[Column1]]</calculatedColumnFormula>
    </tableColumn>
    <tableColumn id="9" xr3:uid="{B1043D9C-BB73-4333-AF8F-CE6556545C30}" name="Pengangguran Sukarela" dataDxfId="6">
      <calculatedColumnFormula>Table3[[#This Row],[Jumlah Penduduk]]-Table3[[#This Row],[Bukan Usia Kerja]]-Table3[[#This Row],[Pengangguran Terbuka]]-Table3[[#This Row],[Bekerja]]</calculatedColumnFormula>
    </tableColumn>
    <tableColumn id="10" xr3:uid="{2CB987B7-B018-40E9-B1B8-DFA2BDA78077}" name="Pengangguran Terbuka" dataDxfId="5"/>
    <tableColumn id="11" xr3:uid="{865E9F12-5845-490D-9C58-29A6913390D7}" name="Bekerja" dataDxfId="4"/>
    <tableColumn id="12" xr3:uid="{13DEE519-EBD8-405B-8259-0BEC7A5EF379}" name="Angkatan Kerja" dataDxfId="3">
      <calculatedColumnFormula>137+342+6761+3264</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7E7F46-02E4-4B34-8B8B-F8A514BC58BD}" name="Table2" displayName="Table2" ref="A1:D97" totalsRowShown="0" headerRowDxfId="2">
  <autoFilter ref="A1:D97" xr:uid="{CA7E7F46-02E4-4B34-8B8B-F8A514BC58BD}"/>
  <tableColumns count="4">
    <tableColumn id="1" xr3:uid="{33B0A99C-F4A5-4D97-B3F0-761E1A66E402}" name="Tahun"/>
    <tableColumn id="2" xr3:uid="{4F328AD7-6DDD-4324-B12E-70E4BB8359EA}" name="Umur" dataDxfId="1"/>
    <tableColumn id="3" xr3:uid="{98D6F9EE-4E89-4588-A642-3E13FFB9477A}" name="L"/>
    <tableColumn id="4" xr3:uid="{62E3D1A8-9999-42D6-9962-0B2DD2E31415}" name="P"/>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31FB-6214-4F79-BDBB-817FE3B0D99F}">
  <dimension ref="A1:T22"/>
  <sheetViews>
    <sheetView workbookViewId="0">
      <pane xSplit="1" ySplit="1" topLeftCell="D2" activePane="bottomRight" state="frozen"/>
      <selection pane="topRight" activeCell="B1" sqref="B1"/>
      <selection pane="bottomLeft" activeCell="A2" sqref="A2"/>
      <selection pane="bottomRight" activeCell="M2" sqref="M2"/>
    </sheetView>
  </sheetViews>
  <sheetFormatPr defaultRowHeight="14.5" x14ac:dyDescent="0.35"/>
  <cols>
    <col min="2" max="2" width="8.90625" bestFit="1" customWidth="1"/>
    <col min="3" max="12" width="8.81640625" bestFit="1" customWidth="1"/>
    <col min="13" max="13" width="9.90625" bestFit="1" customWidth="1"/>
    <col min="14" max="14" width="8.81640625" bestFit="1" customWidth="1"/>
    <col min="17" max="17" width="11.81640625" bestFit="1" customWidth="1"/>
    <col min="18" max="18" width="12.08984375" bestFit="1" customWidth="1"/>
  </cols>
  <sheetData>
    <row r="1" spans="1:20" ht="56" x14ac:dyDescent="0.35">
      <c r="A1" s="1" t="s">
        <v>0</v>
      </c>
      <c r="B1" s="1" t="s">
        <v>1</v>
      </c>
      <c r="C1" s="1" t="s">
        <v>2</v>
      </c>
      <c r="D1" s="1" t="s">
        <v>3</v>
      </c>
      <c r="E1" s="1" t="s">
        <v>4</v>
      </c>
      <c r="F1" s="1" t="s">
        <v>5</v>
      </c>
      <c r="G1" s="1" t="s">
        <v>6</v>
      </c>
      <c r="H1" s="1" t="s">
        <v>7</v>
      </c>
      <c r="I1" s="1" t="s">
        <v>8</v>
      </c>
      <c r="J1" s="1" t="s">
        <v>9</v>
      </c>
      <c r="K1" s="1" t="s">
        <v>10</v>
      </c>
      <c r="L1" s="1" t="s">
        <v>11</v>
      </c>
      <c r="M1" s="1" t="s">
        <v>37</v>
      </c>
      <c r="N1" s="1" t="s">
        <v>40</v>
      </c>
      <c r="O1" s="1" t="s">
        <v>42</v>
      </c>
      <c r="P1" s="1" t="s">
        <v>44</v>
      </c>
      <c r="Q1" s="1" t="s">
        <v>45</v>
      </c>
      <c r="R1" s="1" t="s">
        <v>46</v>
      </c>
      <c r="S1" s="1" t="s">
        <v>47</v>
      </c>
      <c r="T1" s="1" t="s">
        <v>48</v>
      </c>
    </row>
    <row r="2" spans="1:20" x14ac:dyDescent="0.35">
      <c r="A2" s="2">
        <v>2011</v>
      </c>
      <c r="B2" s="3">
        <v>1512610</v>
      </c>
      <c r="C2" s="2">
        <v>758174</v>
      </c>
      <c r="D2" s="2">
        <v>754436</v>
      </c>
      <c r="E2" s="3">
        <f>(C2/D2)*100</f>
        <v>100.49546946328118</v>
      </c>
      <c r="F2" s="3">
        <f t="shared" ref="F2:F7" si="0">B2/1386.05</f>
        <v>1091.3098373074565</v>
      </c>
      <c r="G2" s="4">
        <v>0.63</v>
      </c>
      <c r="H2" s="5">
        <v>6.03</v>
      </c>
      <c r="I2" s="2">
        <v>949</v>
      </c>
      <c r="J2" s="2">
        <v>876</v>
      </c>
      <c r="K2" s="2">
        <v>194</v>
      </c>
      <c r="L2" s="2">
        <v>95</v>
      </c>
      <c r="M2" s="2">
        <v>19354905</v>
      </c>
      <c r="N2" s="2">
        <v>8.33</v>
      </c>
      <c r="O2" s="16">
        <v>1386.05</v>
      </c>
      <c r="P2" s="3" t="s">
        <v>39</v>
      </c>
      <c r="Q2" s="3"/>
      <c r="R2" s="2"/>
      <c r="S2" s="2"/>
      <c r="T2" s="2"/>
    </row>
    <row r="3" spans="1:20" x14ac:dyDescent="0.35">
      <c r="A3" s="2">
        <v>2012</v>
      </c>
      <c r="B3" s="3">
        <v>1521895</v>
      </c>
      <c r="C3" s="2">
        <v>763091</v>
      </c>
      <c r="D3" s="2">
        <v>758804</v>
      </c>
      <c r="E3" s="3">
        <f t="shared" ref="E3:E11" si="1">(C3/D3)*100</f>
        <v>100.56496802863452</v>
      </c>
      <c r="F3" s="3">
        <f t="shared" si="0"/>
        <v>1098.0087298438007</v>
      </c>
      <c r="G3" s="4">
        <v>0.61</v>
      </c>
      <c r="H3" s="5">
        <v>6.11</v>
      </c>
      <c r="I3" s="2">
        <v>955</v>
      </c>
      <c r="J3" s="2">
        <v>874</v>
      </c>
      <c r="K3" s="2">
        <v>189</v>
      </c>
      <c r="L3" s="2">
        <v>96</v>
      </c>
      <c r="M3" s="2">
        <v>20538323</v>
      </c>
      <c r="N3" s="2">
        <v>4.08</v>
      </c>
      <c r="O3" s="16">
        <v>1386.05</v>
      </c>
      <c r="P3" s="3"/>
      <c r="Q3" s="3"/>
      <c r="R3" s="2"/>
      <c r="S3" s="2"/>
      <c r="T3" s="2"/>
    </row>
    <row r="4" spans="1:20" x14ac:dyDescent="0.35">
      <c r="A4" s="2">
        <v>2013</v>
      </c>
      <c r="B4" s="3">
        <v>1530504</v>
      </c>
      <c r="C4" s="2">
        <v>766696</v>
      </c>
      <c r="D4" s="2">
        <v>763808</v>
      </c>
      <c r="E4" s="3">
        <f t="shared" si="1"/>
        <v>100.37810549247979</v>
      </c>
      <c r="F4" s="3">
        <f t="shared" si="0"/>
        <v>1104.2199054868152</v>
      </c>
      <c r="G4" s="4">
        <v>0.56000000000000005</v>
      </c>
      <c r="H4" s="5">
        <v>5.82</v>
      </c>
      <c r="I4" s="2">
        <f>705+253</f>
        <v>958</v>
      </c>
      <c r="J4" s="2">
        <f>661+224</f>
        <v>885</v>
      </c>
      <c r="K4" s="2">
        <f>96+97</f>
        <v>193</v>
      </c>
      <c r="L4" s="2">
        <f>26+40+36</f>
        <v>102</v>
      </c>
      <c r="M4" s="2">
        <v>21733458</v>
      </c>
      <c r="N4" s="2">
        <v>4.6500000000000004</v>
      </c>
      <c r="O4" s="16">
        <v>1386.05</v>
      </c>
      <c r="P4" s="3"/>
      <c r="Q4" s="3"/>
      <c r="R4" s="2"/>
      <c r="S4" s="2"/>
      <c r="T4" s="2"/>
    </row>
    <row r="5" spans="1:20" x14ac:dyDescent="0.35">
      <c r="A5" s="2">
        <v>2014</v>
      </c>
      <c r="B5" s="3">
        <v>1538929</v>
      </c>
      <c r="C5" s="2">
        <v>772006</v>
      </c>
      <c r="D5" s="2">
        <v>766923</v>
      </c>
      <c r="E5" s="3">
        <f t="shared" si="1"/>
        <v>100.66277840148229</v>
      </c>
      <c r="F5" s="3">
        <f t="shared" si="0"/>
        <v>1110.2983297860828</v>
      </c>
      <c r="G5" s="4">
        <v>0.55000000000000004</v>
      </c>
      <c r="H5" s="5">
        <v>5.32</v>
      </c>
      <c r="I5" s="2">
        <v>966</v>
      </c>
      <c r="J5" s="2">
        <v>884</v>
      </c>
      <c r="K5" s="2">
        <v>187</v>
      </c>
      <c r="L5" s="2">
        <v>106</v>
      </c>
      <c r="M5" s="2">
        <v>22889972</v>
      </c>
      <c r="N5" s="2">
        <v>4.91</v>
      </c>
      <c r="O5" s="16">
        <v>1386.05</v>
      </c>
      <c r="P5" s="3"/>
      <c r="Q5" s="3"/>
      <c r="R5" s="2"/>
      <c r="S5" s="2"/>
      <c r="T5" s="2"/>
    </row>
    <row r="6" spans="1:20" x14ac:dyDescent="0.35">
      <c r="A6" s="2">
        <v>2015</v>
      </c>
      <c r="B6" s="3">
        <v>1546883</v>
      </c>
      <c r="C6" s="2">
        <v>776212</v>
      </c>
      <c r="D6" s="2">
        <v>770671</v>
      </c>
      <c r="E6" s="3">
        <f t="shared" si="1"/>
        <v>100.71898384654412</v>
      </c>
      <c r="F6" s="3">
        <f t="shared" si="0"/>
        <v>1116.0369395043469</v>
      </c>
      <c r="G6" s="4">
        <v>0.52</v>
      </c>
      <c r="H6" s="5">
        <v>4.88</v>
      </c>
      <c r="I6" s="2">
        <v>968</v>
      </c>
      <c r="J6" s="2">
        <v>887</v>
      </c>
      <c r="K6" s="2">
        <v>187</v>
      </c>
      <c r="L6" s="2">
        <v>112</v>
      </c>
      <c r="M6" s="2">
        <v>24007724</v>
      </c>
      <c r="N6" s="2">
        <v>5.0199999999999996</v>
      </c>
      <c r="O6" s="16">
        <v>1386.05</v>
      </c>
      <c r="P6" s="3">
        <v>378095</v>
      </c>
      <c r="Q6" s="3">
        <f>Table3[[#This Row],[Jumlah Penduduk]]-Table3[[#This Row],[Bukan Usia Kerja]]-Table3[[#This Row],[Pengangguran Terbuka]]-Table3[[#This Row],[Bekerja]]</f>
        <v>367894</v>
      </c>
      <c r="R6" s="2">
        <v>40212</v>
      </c>
      <c r="S6" s="2">
        <v>760682</v>
      </c>
      <c r="T6" s="2"/>
    </row>
    <row r="7" spans="1:20" x14ac:dyDescent="0.35">
      <c r="A7" s="2">
        <v>2016</v>
      </c>
      <c r="B7" s="3">
        <v>1554385</v>
      </c>
      <c r="C7" s="2">
        <v>780097</v>
      </c>
      <c r="D7" s="2">
        <v>774288</v>
      </c>
      <c r="E7" s="3">
        <f t="shared" si="1"/>
        <v>100.75023763767487</v>
      </c>
      <c r="F7" s="3">
        <f t="shared" si="0"/>
        <v>1121.4494426607987</v>
      </c>
      <c r="G7" s="4">
        <v>0.48</v>
      </c>
      <c r="H7" s="5">
        <v>5.0199999999999996</v>
      </c>
      <c r="I7" s="2">
        <v>972</v>
      </c>
      <c r="J7" s="2">
        <v>898</v>
      </c>
      <c r="K7" s="2">
        <v>197</v>
      </c>
      <c r="L7" s="2">
        <v>113</v>
      </c>
      <c r="M7" s="2">
        <v>25211901</v>
      </c>
      <c r="N7" s="2">
        <v>4.55</v>
      </c>
      <c r="O7" s="16">
        <v>1386.05</v>
      </c>
      <c r="P7" s="3"/>
      <c r="Q7" s="3"/>
      <c r="R7" s="2"/>
      <c r="S7" s="2"/>
      <c r="T7" s="2"/>
    </row>
    <row r="8" spans="1:20" x14ac:dyDescent="0.35">
      <c r="A8" s="2">
        <v>2017</v>
      </c>
      <c r="B8" s="3">
        <v>1561392</v>
      </c>
      <c r="C8" s="2">
        <v>783589</v>
      </c>
      <c r="D8" s="2">
        <v>777803</v>
      </c>
      <c r="E8" s="3">
        <f t="shared" si="1"/>
        <v>100.74389016241902</v>
      </c>
      <c r="F8" s="3">
        <v>1127</v>
      </c>
      <c r="G8" s="4">
        <v>0.45</v>
      </c>
      <c r="H8" s="5">
        <v>4.9000000000000004</v>
      </c>
      <c r="I8" s="2">
        <v>969</v>
      </c>
      <c r="J8" s="2">
        <v>907</v>
      </c>
      <c r="K8" s="2">
        <v>198</v>
      </c>
      <c r="L8" s="2">
        <v>112</v>
      </c>
      <c r="M8" s="2">
        <v>26446174</v>
      </c>
      <c r="N8" s="2">
        <v>3.18</v>
      </c>
      <c r="O8" s="16">
        <v>1386.05</v>
      </c>
      <c r="P8" s="3">
        <v>345535</v>
      </c>
      <c r="Q8" s="3">
        <f>Table3[[#This Row],[Jumlah Penduduk]]-Table3[[#This Row],[Bukan Usia Kerja]]-Table3[[#This Row],[Pengangguran Terbuka]]-Table3[[#This Row],[Bekerja]]</f>
        <v>361861</v>
      </c>
      <c r="R8" s="2">
        <v>27169</v>
      </c>
      <c r="S8" s="2">
        <v>826827</v>
      </c>
      <c r="T8" s="2"/>
    </row>
    <row r="9" spans="1:20" x14ac:dyDescent="0.35">
      <c r="A9" s="2">
        <v>2018</v>
      </c>
      <c r="B9" s="3">
        <v>1568113</v>
      </c>
      <c r="C9" s="2">
        <v>787023</v>
      </c>
      <c r="D9" s="2">
        <v>781090</v>
      </c>
      <c r="E9" s="3">
        <f t="shared" si="1"/>
        <v>100.75957956189427</v>
      </c>
      <c r="F9" s="3">
        <v>1131</v>
      </c>
      <c r="G9" s="4">
        <v>0.43</v>
      </c>
      <c r="H9" s="5">
        <v>5.08</v>
      </c>
      <c r="I9" s="2">
        <v>986</v>
      </c>
      <c r="J9" s="2">
        <v>912</v>
      </c>
      <c r="K9" s="2">
        <v>197</v>
      </c>
      <c r="L9" s="2">
        <f>27+51+51</f>
        <v>129</v>
      </c>
      <c r="M9" s="2">
        <v>27786420</v>
      </c>
      <c r="N9" s="2">
        <v>4.1500000000000004</v>
      </c>
      <c r="O9" s="16">
        <v>1386.05</v>
      </c>
      <c r="P9" s="3">
        <v>390384</v>
      </c>
      <c r="Q9" s="3">
        <f>Table3[[#This Row],[Jumlah Penduduk]]-Table3[[#This Row],[Bukan Usia Kerja]]-Table3[[#This Row],[Pengangguran Terbuka]]-Table3[[#This Row],[Bekerja]]</f>
        <v>359344</v>
      </c>
      <c r="R9" s="2">
        <v>34807</v>
      </c>
      <c r="S9" s="2">
        <v>783578</v>
      </c>
      <c r="T9" s="2"/>
    </row>
    <row r="10" spans="1:20" x14ac:dyDescent="0.35">
      <c r="A10" s="2">
        <v>2019</v>
      </c>
      <c r="B10" s="3">
        <v>1574272</v>
      </c>
      <c r="C10" s="2">
        <v>790210</v>
      </c>
      <c r="D10" s="2">
        <v>784062</v>
      </c>
      <c r="E10" s="3">
        <f t="shared" si="1"/>
        <v>100.784121663848</v>
      </c>
      <c r="F10" s="3">
        <v>1136</v>
      </c>
      <c r="G10" s="4">
        <v>0.39</v>
      </c>
      <c r="H10" s="5">
        <v>5.07</v>
      </c>
      <c r="I10" s="2">
        <f>729+268</f>
        <v>997</v>
      </c>
      <c r="J10" s="2">
        <f>684+246</f>
        <v>930</v>
      </c>
      <c r="K10" s="2">
        <f>102+105</f>
        <v>207</v>
      </c>
      <c r="L10" s="2">
        <f>27+51+51</f>
        <v>129</v>
      </c>
      <c r="M10" s="2">
        <v>29193722</v>
      </c>
      <c r="N10" s="2">
        <v>3.58</v>
      </c>
      <c r="O10" s="16">
        <v>1386.05</v>
      </c>
      <c r="P10" s="3">
        <v>345718</v>
      </c>
      <c r="Q10" s="3">
        <f>Table3[[#This Row],[Jumlah Penduduk]]-Table3[[#This Row],[Bukan Usia Kerja]]-Table3[[#This Row],[Pengangguran Terbuka]]-Table3[[#This Row],[Bekerja]]</f>
        <v>356397</v>
      </c>
      <c r="R10" s="2">
        <v>32104</v>
      </c>
      <c r="S10" s="2">
        <v>840053</v>
      </c>
      <c r="T10" s="2"/>
    </row>
    <row r="11" spans="1:20" x14ac:dyDescent="0.35">
      <c r="A11" s="2">
        <v>2020</v>
      </c>
      <c r="B11" s="3">
        <v>1635294</v>
      </c>
      <c r="C11" s="2">
        <v>825867</v>
      </c>
      <c r="D11" s="2">
        <v>809427</v>
      </c>
      <c r="E11" s="3">
        <f t="shared" si="1"/>
        <v>102.03106642106083</v>
      </c>
      <c r="F11" s="3">
        <v>1180</v>
      </c>
      <c r="G11" s="4">
        <v>0.87</v>
      </c>
      <c r="H11" s="5">
        <v>-2.41</v>
      </c>
      <c r="I11" s="2">
        <f>731+266</f>
        <v>997</v>
      </c>
      <c r="J11" s="2">
        <f>683+245</f>
        <v>928</v>
      </c>
      <c r="K11" s="2">
        <f>99+104</f>
        <v>203</v>
      </c>
      <c r="L11" s="2">
        <f>27+51+51</f>
        <v>129</v>
      </c>
      <c r="M11" s="2">
        <v>28490953</v>
      </c>
      <c r="N11" s="2">
        <v>5.24</v>
      </c>
      <c r="O11" s="16">
        <v>1386.05</v>
      </c>
      <c r="P11" s="3">
        <v>364972</v>
      </c>
      <c r="Q11" s="3">
        <f>Table3[[#This Row],[Jumlah Penduduk]]-Table3[[#This Row],[Bukan Usia Kerja]]-Table3[[#This Row],[Pengangguran Terbuka]]-Table3[[#This Row],[Bekerja]]</f>
        <v>391711</v>
      </c>
      <c r="R11" s="2">
        <v>46061</v>
      </c>
      <c r="S11" s="2">
        <v>832550</v>
      </c>
      <c r="T11" s="2"/>
    </row>
    <row r="12" spans="1:20" x14ac:dyDescent="0.35">
      <c r="A12" s="2">
        <v>2021</v>
      </c>
      <c r="B12" s="3">
        <v>1644400</v>
      </c>
      <c r="C12" s="2">
        <v>830315</v>
      </c>
      <c r="D12" s="2">
        <v>814085</v>
      </c>
      <c r="E12" s="3">
        <f>(C12/D12)*100</f>
        <v>101.99364931180406</v>
      </c>
      <c r="F12" s="3">
        <v>1186</v>
      </c>
      <c r="G12" s="4">
        <v>0.74</v>
      </c>
      <c r="H12" s="5">
        <v>3.06</v>
      </c>
      <c r="I12" s="2">
        <f>742+271</f>
        <v>1013</v>
      </c>
      <c r="J12" s="2">
        <f>690+247</f>
        <v>937</v>
      </c>
      <c r="K12" s="2">
        <f>111+107</f>
        <v>218</v>
      </c>
      <c r="L12" s="2">
        <f>27+51+52</f>
        <v>130</v>
      </c>
      <c r="M12" s="2">
        <v>29361672</v>
      </c>
      <c r="N12" s="2">
        <v>5.15</v>
      </c>
      <c r="O12" s="16">
        <v>1386.05</v>
      </c>
      <c r="P12" s="3">
        <v>383726</v>
      </c>
      <c r="Q12" s="3">
        <f>Table3[[#This Row],[Jumlah Penduduk]]-Table3[[#This Row],[Bukan Usia Kerja]]-Table3[[#This Row],[Pengangguran Terbuka]]-Table3[[#This Row],[Bekerja]]</f>
        <v>392974</v>
      </c>
      <c r="R12" s="2">
        <v>44706</v>
      </c>
      <c r="S12" s="2">
        <v>822994</v>
      </c>
      <c r="T12" s="2"/>
    </row>
    <row r="13" spans="1:20" x14ac:dyDescent="0.35">
      <c r="A13" s="2">
        <v>2022</v>
      </c>
      <c r="B13" s="3">
        <v>1656020</v>
      </c>
      <c r="C13" s="2">
        <v>836025</v>
      </c>
      <c r="D13" s="2">
        <v>819995</v>
      </c>
      <c r="E13" s="3">
        <f>(C13/D13)*100</f>
        <v>101.95488996884127</v>
      </c>
      <c r="F13" s="3">
        <v>1195</v>
      </c>
      <c r="G13" s="4">
        <v>0.71</v>
      </c>
      <c r="H13" s="5">
        <v>4.9000000000000004</v>
      </c>
      <c r="I13" s="2">
        <f>749+273</f>
        <v>1022</v>
      </c>
      <c r="J13" s="2">
        <f>691+251</f>
        <v>942</v>
      </c>
      <c r="K13" s="2">
        <f>105+110</f>
        <v>215</v>
      </c>
      <c r="L13" s="2">
        <f>27+51+52</f>
        <v>130</v>
      </c>
      <c r="M13" s="2">
        <v>30800705</v>
      </c>
      <c r="N13" s="2">
        <v>6.83</v>
      </c>
      <c r="O13" s="16">
        <v>1386.05</v>
      </c>
      <c r="P13" s="3">
        <v>393573</v>
      </c>
      <c r="Q13" s="3">
        <f>Table3[[#This Row],[Jumlah Penduduk]]-Table3[[#This Row],[Bukan Usia Kerja]]-Table3[[#This Row],[Pengangguran Terbuka]]-Table3[[#This Row],[Bekerja]]</f>
        <v>397241</v>
      </c>
      <c r="R13" s="2">
        <v>59085</v>
      </c>
      <c r="S13" s="2">
        <v>806121</v>
      </c>
      <c r="T13" s="2"/>
    </row>
    <row r="15" spans="1:20" x14ac:dyDescent="0.35">
      <c r="B15" s="11">
        <f>AVERAGE(B2:B13)</f>
        <v>1570391.4166666667</v>
      </c>
      <c r="C15" s="11">
        <f t="shared" ref="C15:N15" si="2">AVERAGE(C2:C13)</f>
        <v>789108.75</v>
      </c>
      <c r="D15" s="11">
        <f t="shared" si="2"/>
        <v>781282.66666666663</v>
      </c>
      <c r="E15" s="11">
        <f t="shared" si="2"/>
        <v>100.98647832999704</v>
      </c>
      <c r="F15" s="11">
        <f t="shared" si="2"/>
        <v>1133.0269320491086</v>
      </c>
      <c r="G15" s="15">
        <f t="shared" si="2"/>
        <v>0.57833333333333337</v>
      </c>
      <c r="H15" s="15">
        <f t="shared" si="2"/>
        <v>4.4816666666666665</v>
      </c>
      <c r="I15" s="11">
        <f t="shared" si="2"/>
        <v>979.33333333333337</v>
      </c>
      <c r="J15" s="11">
        <f t="shared" si="2"/>
        <v>905</v>
      </c>
      <c r="K15" s="11">
        <f t="shared" si="2"/>
        <v>198.75</v>
      </c>
      <c r="L15" s="11">
        <f t="shared" si="2"/>
        <v>115.25</v>
      </c>
      <c r="M15" s="11">
        <f t="shared" si="2"/>
        <v>25484660.75</v>
      </c>
      <c r="N15" s="15">
        <f t="shared" si="2"/>
        <v>4.9725000000000001</v>
      </c>
    </row>
    <row r="16" spans="1:20" x14ac:dyDescent="0.35">
      <c r="B16" s="11">
        <f>MAX(B2:B13)</f>
        <v>1656020</v>
      </c>
      <c r="C16" s="11">
        <f t="shared" ref="C16:N16" si="3">MAX(C2:C13)</f>
        <v>836025</v>
      </c>
      <c r="D16" s="11">
        <f t="shared" si="3"/>
        <v>819995</v>
      </c>
      <c r="E16" s="11">
        <f t="shared" si="3"/>
        <v>102.03106642106083</v>
      </c>
      <c r="F16" s="11">
        <f t="shared" si="3"/>
        <v>1195</v>
      </c>
      <c r="G16" s="15">
        <f t="shared" si="3"/>
        <v>0.87</v>
      </c>
      <c r="H16" s="15">
        <f t="shared" si="3"/>
        <v>6.11</v>
      </c>
      <c r="I16" s="11">
        <f t="shared" si="3"/>
        <v>1022</v>
      </c>
      <c r="J16" s="11">
        <f t="shared" si="3"/>
        <v>942</v>
      </c>
      <c r="K16" s="11">
        <f t="shared" si="3"/>
        <v>218</v>
      </c>
      <c r="L16" s="11">
        <f t="shared" si="3"/>
        <v>130</v>
      </c>
      <c r="M16" s="11">
        <f t="shared" si="3"/>
        <v>30800705</v>
      </c>
      <c r="N16" s="15">
        <f t="shared" si="3"/>
        <v>8.33</v>
      </c>
    </row>
    <row r="17" spans="2:18" x14ac:dyDescent="0.35">
      <c r="B17" s="11">
        <f>MIN(B2:B13)</f>
        <v>1512610</v>
      </c>
      <c r="C17" s="11">
        <f t="shared" ref="C17:N17" si="4">MIN(C2:C13)</f>
        <v>758174</v>
      </c>
      <c r="D17" s="11">
        <f t="shared" si="4"/>
        <v>754436</v>
      </c>
      <c r="E17" s="11">
        <f t="shared" si="4"/>
        <v>100.37810549247979</v>
      </c>
      <c r="F17" s="11">
        <f t="shared" si="4"/>
        <v>1091.3098373074565</v>
      </c>
      <c r="G17" s="15">
        <f t="shared" si="4"/>
        <v>0.39</v>
      </c>
      <c r="H17" s="15">
        <f t="shared" si="4"/>
        <v>-2.41</v>
      </c>
      <c r="I17" s="11">
        <f t="shared" si="4"/>
        <v>949</v>
      </c>
      <c r="J17" s="11">
        <f t="shared" si="4"/>
        <v>874</v>
      </c>
      <c r="K17" s="11">
        <f t="shared" si="4"/>
        <v>187</v>
      </c>
      <c r="L17" s="11">
        <f t="shared" si="4"/>
        <v>95</v>
      </c>
      <c r="M17" s="11">
        <f t="shared" si="4"/>
        <v>19354905</v>
      </c>
      <c r="N17" s="15">
        <f t="shared" si="4"/>
        <v>3.18</v>
      </c>
      <c r="O17" s="14"/>
    </row>
    <row r="18" spans="2:18" x14ac:dyDescent="0.35">
      <c r="B18" s="11">
        <f>MEDIAN(B2:B13)</f>
        <v>1557888.5</v>
      </c>
      <c r="C18" s="11">
        <f t="shared" ref="C18:N18" si="5">MEDIAN(C2:C13)</f>
        <v>781843</v>
      </c>
      <c r="D18" s="11">
        <f t="shared" si="5"/>
        <v>776045.5</v>
      </c>
      <c r="E18" s="14">
        <f t="shared" si="5"/>
        <v>100.74706390004695</v>
      </c>
      <c r="F18" s="14">
        <f t="shared" si="5"/>
        <v>1124.2247213303995</v>
      </c>
      <c r="G18" s="13">
        <f t="shared" si="5"/>
        <v>0.55500000000000005</v>
      </c>
      <c r="H18" s="13">
        <f t="shared" si="5"/>
        <v>5.0449999999999999</v>
      </c>
      <c r="I18" s="14">
        <f t="shared" si="5"/>
        <v>970.5</v>
      </c>
      <c r="J18" s="14">
        <f t="shared" si="5"/>
        <v>902.5</v>
      </c>
      <c r="K18" s="14">
        <f t="shared" si="5"/>
        <v>197</v>
      </c>
      <c r="L18" s="14">
        <f t="shared" si="5"/>
        <v>112.5</v>
      </c>
      <c r="M18" s="11">
        <f t="shared" si="5"/>
        <v>25829037.5</v>
      </c>
      <c r="N18" s="13">
        <f t="shared" si="5"/>
        <v>4.78</v>
      </c>
    </row>
    <row r="19" spans="2:18" x14ac:dyDescent="0.35">
      <c r="B19">
        <f>STDEVP(B2:B13)</f>
        <v>46729.224318511027</v>
      </c>
      <c r="C19">
        <f>STDEVP(C2:C13)</f>
        <v>25759.37455932306</v>
      </c>
      <c r="D19">
        <f t="shared" ref="D19:G19" si="6">_xlfn.STDEV.P(D2:D13)</f>
        <v>20987.579693449381</v>
      </c>
      <c r="E19">
        <f t="shared" si="6"/>
        <v>0.59271141214688905</v>
      </c>
      <c r="F19">
        <f t="shared" si="6"/>
        <v>33.712349882704103</v>
      </c>
      <c r="G19">
        <f t="shared" si="6"/>
        <v>0.13551342696902352</v>
      </c>
      <c r="H19">
        <f>STDEVP(H2:H13)</f>
        <v>2.2091017531013737</v>
      </c>
      <c r="I19">
        <f t="shared" ref="I19:N19" si="7">STDEVP(I2:I13)</f>
        <v>22.46602372967282</v>
      </c>
      <c r="J19">
        <f t="shared" si="7"/>
        <v>23.480488353808433</v>
      </c>
      <c r="K19">
        <f t="shared" si="7"/>
        <v>9.8075226229665162</v>
      </c>
      <c r="L19">
        <f t="shared" si="7"/>
        <v>13.134718624063986</v>
      </c>
      <c r="M19">
        <f t="shared" si="7"/>
        <v>3621796.3894727095</v>
      </c>
      <c r="N19">
        <f t="shared" si="7"/>
        <v>1.3459824478796154</v>
      </c>
    </row>
    <row r="21" spans="2:18" x14ac:dyDescent="0.35">
      <c r="Q21">
        <v>12201</v>
      </c>
      <c r="R21">
        <f>1660+1876+1167</f>
        <v>4703</v>
      </c>
    </row>
    <row r="22" spans="2:18" x14ac:dyDescent="0.35">
      <c r="R22">
        <f>R21/Q21</f>
        <v>0.38546020817965743</v>
      </c>
    </row>
  </sheetData>
  <phoneticPr fontId="4" type="noConversion"/>
  <pageMargins left="0.7" right="0.7" top="0.75" bottom="0.75" header="0.3" footer="0.3"/>
  <ignoredErrors>
    <ignoredError sqref="P12:P13 P6:P11" calculatedColumn="1"/>
  </ignoredErrors>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FEDC4-BDC5-4DC2-83E1-AC04D6531172}">
  <dimension ref="A1:E97"/>
  <sheetViews>
    <sheetView workbookViewId="0">
      <selection sqref="A1:D1048576"/>
    </sheetView>
  </sheetViews>
  <sheetFormatPr defaultRowHeight="14.5" x14ac:dyDescent="0.35"/>
  <sheetData>
    <row r="1" spans="1:5" x14ac:dyDescent="0.35">
      <c r="A1" s="6" t="s">
        <v>0</v>
      </c>
      <c r="B1" s="6" t="s">
        <v>14</v>
      </c>
      <c r="C1" s="6" t="s">
        <v>12</v>
      </c>
      <c r="D1" s="6" t="s">
        <v>13</v>
      </c>
    </row>
    <row r="2" spans="1:5" x14ac:dyDescent="0.35">
      <c r="A2">
        <v>2011</v>
      </c>
      <c r="B2" t="s">
        <v>16</v>
      </c>
      <c r="C2">
        <v>130525</v>
      </c>
      <c r="D2">
        <f>E2-C2</f>
        <v>119631</v>
      </c>
      <c r="E2">
        <v>250156</v>
      </c>
    </row>
    <row r="3" spans="1:5" x14ac:dyDescent="0.35">
      <c r="A3">
        <v>2011</v>
      </c>
      <c r="B3" s="7" t="s">
        <v>15</v>
      </c>
      <c r="C3">
        <v>114255</v>
      </c>
      <c r="D3">
        <f t="shared" ref="D3:D9" si="0">E3-C3</f>
        <v>120036</v>
      </c>
      <c r="E3">
        <v>234291</v>
      </c>
    </row>
    <row r="4" spans="1:5" x14ac:dyDescent="0.35">
      <c r="A4">
        <v>2011</v>
      </c>
      <c r="B4" t="s">
        <v>17</v>
      </c>
      <c r="C4">
        <v>114005</v>
      </c>
      <c r="D4">
        <f t="shared" si="0"/>
        <v>105308</v>
      </c>
      <c r="E4">
        <v>219313</v>
      </c>
    </row>
    <row r="5" spans="1:5" x14ac:dyDescent="0.35">
      <c r="A5">
        <v>2011</v>
      </c>
      <c r="B5" s="7" t="s">
        <v>18</v>
      </c>
      <c r="C5">
        <v>117608</v>
      </c>
      <c r="D5">
        <f t="shared" si="0"/>
        <v>111997</v>
      </c>
      <c r="E5">
        <v>229605</v>
      </c>
    </row>
    <row r="6" spans="1:5" x14ac:dyDescent="0.35">
      <c r="A6">
        <v>2011</v>
      </c>
      <c r="B6" t="s">
        <v>19</v>
      </c>
      <c r="C6">
        <v>115236</v>
      </c>
      <c r="D6">
        <f t="shared" si="0"/>
        <v>114478</v>
      </c>
      <c r="E6">
        <v>229714</v>
      </c>
    </row>
    <row r="7" spans="1:5" x14ac:dyDescent="0.35">
      <c r="A7">
        <v>2011</v>
      </c>
      <c r="B7" s="7" t="s">
        <v>20</v>
      </c>
      <c r="C7">
        <v>87323</v>
      </c>
      <c r="D7">
        <f t="shared" si="0"/>
        <v>84422</v>
      </c>
      <c r="E7">
        <v>171745</v>
      </c>
    </row>
    <row r="8" spans="1:5" x14ac:dyDescent="0.35">
      <c r="A8">
        <v>2011</v>
      </c>
      <c r="B8" t="s">
        <v>21</v>
      </c>
      <c r="C8">
        <v>51402</v>
      </c>
      <c r="D8">
        <f t="shared" si="0"/>
        <v>50029</v>
      </c>
      <c r="E8">
        <v>101431</v>
      </c>
    </row>
    <row r="9" spans="1:5" x14ac:dyDescent="0.35">
      <c r="A9">
        <v>2011</v>
      </c>
      <c r="B9" s="7" t="s">
        <v>22</v>
      </c>
      <c r="C9">
        <v>32520</v>
      </c>
      <c r="D9">
        <f t="shared" si="0"/>
        <v>43835</v>
      </c>
      <c r="E9">
        <v>76355</v>
      </c>
    </row>
    <row r="10" spans="1:5" x14ac:dyDescent="0.35">
      <c r="A10">
        <v>2012</v>
      </c>
      <c r="B10" t="s">
        <v>16</v>
      </c>
      <c r="C10">
        <v>130643</v>
      </c>
      <c r="D10">
        <v>121004</v>
      </c>
      <c r="E10">
        <f t="shared" ref="E10:E41" si="1">C10+D10</f>
        <v>251647</v>
      </c>
    </row>
    <row r="11" spans="1:5" x14ac:dyDescent="0.35">
      <c r="A11">
        <v>2012</v>
      </c>
      <c r="B11" s="7" t="s">
        <v>15</v>
      </c>
      <c r="C11">
        <v>124432</v>
      </c>
      <c r="D11">
        <v>111265</v>
      </c>
      <c r="E11">
        <f t="shared" si="1"/>
        <v>235697</v>
      </c>
    </row>
    <row r="12" spans="1:5" x14ac:dyDescent="0.35">
      <c r="A12">
        <v>2012</v>
      </c>
      <c r="B12" t="s">
        <v>17</v>
      </c>
      <c r="C12">
        <v>114298</v>
      </c>
      <c r="D12">
        <v>106302</v>
      </c>
      <c r="E12">
        <f t="shared" si="1"/>
        <v>220600</v>
      </c>
    </row>
    <row r="13" spans="1:5" x14ac:dyDescent="0.35">
      <c r="A13">
        <v>2012</v>
      </c>
      <c r="B13" s="7" t="s">
        <v>18</v>
      </c>
      <c r="C13">
        <v>117710</v>
      </c>
      <c r="D13">
        <v>113266</v>
      </c>
      <c r="E13">
        <f t="shared" si="1"/>
        <v>230976</v>
      </c>
    </row>
    <row r="14" spans="1:5" x14ac:dyDescent="0.35">
      <c r="A14">
        <v>2012</v>
      </c>
      <c r="B14" t="s">
        <v>19</v>
      </c>
      <c r="C14">
        <v>115420</v>
      </c>
      <c r="D14">
        <v>115718</v>
      </c>
      <c r="E14">
        <f t="shared" si="1"/>
        <v>231138</v>
      </c>
    </row>
    <row r="15" spans="1:5" x14ac:dyDescent="0.35">
      <c r="A15">
        <v>2012</v>
      </c>
      <c r="B15" s="7" t="s">
        <v>20</v>
      </c>
      <c r="C15">
        <v>87524</v>
      </c>
      <c r="D15">
        <v>85330</v>
      </c>
      <c r="E15">
        <f t="shared" si="1"/>
        <v>172854</v>
      </c>
    </row>
    <row r="16" spans="1:5" x14ac:dyDescent="0.35">
      <c r="A16">
        <v>2012</v>
      </c>
      <c r="B16" t="s">
        <v>21</v>
      </c>
      <c r="C16">
        <v>51590</v>
      </c>
      <c r="D16">
        <v>50514</v>
      </c>
      <c r="E16">
        <f t="shared" si="1"/>
        <v>102104</v>
      </c>
    </row>
    <row r="17" spans="1:5" x14ac:dyDescent="0.35">
      <c r="A17">
        <v>2012</v>
      </c>
      <c r="B17" s="7" t="s">
        <v>22</v>
      </c>
      <c r="C17">
        <v>32750</v>
      </c>
      <c r="D17">
        <v>44129</v>
      </c>
      <c r="E17">
        <f t="shared" si="1"/>
        <v>76879</v>
      </c>
    </row>
    <row r="18" spans="1:5" x14ac:dyDescent="0.35">
      <c r="A18">
        <v>2013</v>
      </c>
      <c r="B18" t="s">
        <v>16</v>
      </c>
      <c r="C18">
        <v>130760</v>
      </c>
      <c r="D18">
        <v>122268</v>
      </c>
      <c r="E18">
        <f t="shared" si="1"/>
        <v>253028</v>
      </c>
    </row>
    <row r="19" spans="1:5" x14ac:dyDescent="0.35">
      <c r="A19">
        <v>2013</v>
      </c>
      <c r="B19" s="7" t="s">
        <v>15</v>
      </c>
      <c r="C19">
        <v>124555</v>
      </c>
      <c r="D19">
        <v>112443</v>
      </c>
      <c r="E19">
        <f t="shared" si="1"/>
        <v>236998</v>
      </c>
    </row>
    <row r="20" spans="1:5" x14ac:dyDescent="0.35">
      <c r="A20">
        <v>2013</v>
      </c>
      <c r="B20" t="s">
        <v>17</v>
      </c>
      <c r="C20">
        <v>114456</v>
      </c>
      <c r="D20">
        <v>107337</v>
      </c>
      <c r="E20">
        <f t="shared" si="1"/>
        <v>221793</v>
      </c>
    </row>
    <row r="21" spans="1:5" x14ac:dyDescent="0.35">
      <c r="A21">
        <v>2013</v>
      </c>
      <c r="B21" s="7" t="s">
        <v>18</v>
      </c>
      <c r="C21">
        <v>117810</v>
      </c>
      <c r="D21">
        <v>114439</v>
      </c>
      <c r="E21">
        <f t="shared" si="1"/>
        <v>232249</v>
      </c>
    </row>
    <row r="22" spans="1:5" x14ac:dyDescent="0.35">
      <c r="A22">
        <v>2013</v>
      </c>
      <c r="B22" t="s">
        <v>19</v>
      </c>
      <c r="C22">
        <v>115520</v>
      </c>
      <c r="D22">
        <v>116939</v>
      </c>
      <c r="E22">
        <f t="shared" si="1"/>
        <v>232459</v>
      </c>
    </row>
    <row r="23" spans="1:5" x14ac:dyDescent="0.35">
      <c r="A23">
        <v>2013</v>
      </c>
      <c r="B23" s="7" t="s">
        <v>20</v>
      </c>
      <c r="C23">
        <v>87434</v>
      </c>
      <c r="D23">
        <v>86449</v>
      </c>
      <c r="E23">
        <f t="shared" si="1"/>
        <v>173883</v>
      </c>
    </row>
    <row r="24" spans="1:5" x14ac:dyDescent="0.35">
      <c r="A24">
        <v>2013</v>
      </c>
      <c r="B24" t="s">
        <v>21</v>
      </c>
      <c r="C24">
        <v>51641</v>
      </c>
      <c r="D24">
        <v>51091</v>
      </c>
      <c r="E24">
        <f t="shared" si="1"/>
        <v>102732</v>
      </c>
    </row>
    <row r="25" spans="1:5" x14ac:dyDescent="0.35">
      <c r="A25">
        <v>2013</v>
      </c>
      <c r="B25" s="7" t="s">
        <v>22</v>
      </c>
      <c r="C25">
        <v>32845</v>
      </c>
      <c r="D25">
        <v>44517</v>
      </c>
      <c r="E25">
        <f t="shared" si="1"/>
        <v>77362</v>
      </c>
    </row>
    <row r="26" spans="1:5" x14ac:dyDescent="0.35">
      <c r="A26">
        <v>2014</v>
      </c>
      <c r="B26" t="s">
        <v>16</v>
      </c>
      <c r="C26">
        <v>130895</v>
      </c>
      <c r="D26">
        <v>123482</v>
      </c>
      <c r="E26">
        <f t="shared" si="1"/>
        <v>254377</v>
      </c>
    </row>
    <row r="27" spans="1:5" x14ac:dyDescent="0.35">
      <c r="A27">
        <v>2014</v>
      </c>
      <c r="B27" s="7" t="s">
        <v>15</v>
      </c>
      <c r="C27">
        <v>124867</v>
      </c>
      <c r="D27">
        <v>113401</v>
      </c>
      <c r="E27">
        <f t="shared" si="1"/>
        <v>238268</v>
      </c>
    </row>
    <row r="28" spans="1:5" x14ac:dyDescent="0.35">
      <c r="A28">
        <v>2014</v>
      </c>
      <c r="B28" t="s">
        <v>17</v>
      </c>
      <c r="C28">
        <v>114670</v>
      </c>
      <c r="D28">
        <v>108289</v>
      </c>
      <c r="E28">
        <f t="shared" si="1"/>
        <v>222959</v>
      </c>
    </row>
    <row r="29" spans="1:5" x14ac:dyDescent="0.35">
      <c r="A29">
        <v>2014</v>
      </c>
      <c r="B29" s="7" t="s">
        <v>18</v>
      </c>
      <c r="C29">
        <v>117970</v>
      </c>
      <c r="D29">
        <v>115519</v>
      </c>
      <c r="E29">
        <f t="shared" si="1"/>
        <v>233489</v>
      </c>
    </row>
    <row r="30" spans="1:5" x14ac:dyDescent="0.35">
      <c r="A30">
        <v>2014</v>
      </c>
      <c r="B30" t="s">
        <v>19</v>
      </c>
      <c r="C30">
        <v>115786</v>
      </c>
      <c r="D30">
        <v>117964</v>
      </c>
      <c r="E30">
        <f t="shared" si="1"/>
        <v>233750</v>
      </c>
    </row>
    <row r="31" spans="1:5" x14ac:dyDescent="0.35">
      <c r="A31">
        <v>2014</v>
      </c>
      <c r="B31" s="7" t="s">
        <v>20</v>
      </c>
      <c r="C31">
        <v>87590</v>
      </c>
      <c r="D31">
        <v>87304</v>
      </c>
      <c r="E31">
        <f t="shared" si="1"/>
        <v>174894</v>
      </c>
    </row>
    <row r="32" spans="1:5" x14ac:dyDescent="0.35">
      <c r="A32">
        <v>2014</v>
      </c>
      <c r="B32" t="s">
        <v>21</v>
      </c>
      <c r="C32">
        <v>51860</v>
      </c>
      <c r="D32">
        <v>51491</v>
      </c>
      <c r="E32">
        <f t="shared" si="1"/>
        <v>103351</v>
      </c>
    </row>
    <row r="33" spans="1:5" x14ac:dyDescent="0.35">
      <c r="A33">
        <v>2014</v>
      </c>
      <c r="B33" s="7" t="s">
        <v>22</v>
      </c>
      <c r="C33">
        <v>33005</v>
      </c>
      <c r="D33">
        <v>44836</v>
      </c>
      <c r="E33">
        <f t="shared" si="1"/>
        <v>77841</v>
      </c>
    </row>
    <row r="34" spans="1:5" x14ac:dyDescent="0.35">
      <c r="A34">
        <v>2015</v>
      </c>
      <c r="B34" t="s">
        <v>16</v>
      </c>
      <c r="C34">
        <v>131035</v>
      </c>
      <c r="D34">
        <v>124613</v>
      </c>
      <c r="E34">
        <f t="shared" si="1"/>
        <v>255648</v>
      </c>
    </row>
    <row r="35" spans="1:5" x14ac:dyDescent="0.35">
      <c r="A35">
        <v>2015</v>
      </c>
      <c r="B35" s="7" t="s">
        <v>15</v>
      </c>
      <c r="C35">
        <v>125102</v>
      </c>
      <c r="D35">
        <v>114363</v>
      </c>
      <c r="E35">
        <f t="shared" si="1"/>
        <v>239465</v>
      </c>
    </row>
    <row r="36" spans="1:5" x14ac:dyDescent="0.35">
      <c r="A36">
        <v>2015</v>
      </c>
      <c r="B36" t="s">
        <v>17</v>
      </c>
      <c r="C36">
        <v>115109</v>
      </c>
      <c r="D36">
        <v>108944</v>
      </c>
      <c r="E36">
        <f t="shared" si="1"/>
        <v>224053</v>
      </c>
    </row>
    <row r="37" spans="1:5" x14ac:dyDescent="0.35">
      <c r="A37">
        <v>2015</v>
      </c>
      <c r="B37" s="7" t="s">
        <v>18</v>
      </c>
      <c r="C37">
        <v>118001</v>
      </c>
      <c r="D37">
        <v>116655</v>
      </c>
      <c r="E37">
        <f t="shared" si="1"/>
        <v>234656</v>
      </c>
    </row>
    <row r="38" spans="1:5" x14ac:dyDescent="0.35">
      <c r="A38">
        <v>2015</v>
      </c>
      <c r="B38" t="s">
        <v>19</v>
      </c>
      <c r="C38">
        <v>115989</v>
      </c>
      <c r="D38">
        <v>118982</v>
      </c>
      <c r="E38">
        <f t="shared" si="1"/>
        <v>234971</v>
      </c>
    </row>
    <row r="39" spans="1:5" x14ac:dyDescent="0.35">
      <c r="A39">
        <v>2015</v>
      </c>
      <c r="B39" s="7" t="s">
        <v>20</v>
      </c>
      <c r="C39">
        <v>87899</v>
      </c>
      <c r="D39">
        <v>87957</v>
      </c>
      <c r="E39">
        <f t="shared" si="1"/>
        <v>175856</v>
      </c>
    </row>
    <row r="40" spans="1:5" x14ac:dyDescent="0.35">
      <c r="A40">
        <v>2015</v>
      </c>
      <c r="B40" t="s">
        <v>21</v>
      </c>
      <c r="C40">
        <v>51975</v>
      </c>
      <c r="D40">
        <v>51966</v>
      </c>
      <c r="E40">
        <f t="shared" si="1"/>
        <v>103941</v>
      </c>
    </row>
    <row r="41" spans="1:5" x14ac:dyDescent="0.35">
      <c r="A41">
        <v>2015</v>
      </c>
      <c r="B41" s="7" t="s">
        <v>22</v>
      </c>
      <c r="C41">
        <v>33275</v>
      </c>
      <c r="D41">
        <v>45018</v>
      </c>
      <c r="E41">
        <f t="shared" si="1"/>
        <v>78293</v>
      </c>
    </row>
    <row r="42" spans="1:5" x14ac:dyDescent="0.35">
      <c r="A42">
        <v>2016</v>
      </c>
      <c r="B42" t="s">
        <v>16</v>
      </c>
      <c r="C42">
        <f>66107+64981</f>
        <v>131088</v>
      </c>
      <c r="D42">
        <f>63729+62023</f>
        <v>125752</v>
      </c>
      <c r="E42">
        <f>C42+D42</f>
        <v>256840</v>
      </c>
    </row>
    <row r="43" spans="1:5" x14ac:dyDescent="0.35">
      <c r="A43">
        <v>2016</v>
      </c>
      <c r="B43" s="7" t="s">
        <v>15</v>
      </c>
      <c r="C43">
        <f>63679+61474</f>
        <v>125153</v>
      </c>
      <c r="D43">
        <f>59988+55450</f>
        <v>115438</v>
      </c>
      <c r="E43">
        <f t="shared" ref="E43:E97" si="2">C43+D43</f>
        <v>240591</v>
      </c>
    </row>
    <row r="44" spans="1:5" x14ac:dyDescent="0.35">
      <c r="A44">
        <v>2016</v>
      </c>
      <c r="B44" t="s">
        <v>17</v>
      </c>
      <c r="C44">
        <f>56735+58729</f>
        <v>115464</v>
      </c>
      <c r="D44">
        <f>53134+56479</f>
        <v>109613</v>
      </c>
      <c r="E44">
        <f t="shared" si="2"/>
        <v>225077</v>
      </c>
    </row>
    <row r="45" spans="1:5" x14ac:dyDescent="0.35">
      <c r="A45">
        <v>2016</v>
      </c>
      <c r="B45" s="7" t="s">
        <v>18</v>
      </c>
      <c r="C45">
        <f>58959+59329</f>
        <v>118288</v>
      </c>
      <c r="D45">
        <f>57878+59589</f>
        <v>117467</v>
      </c>
      <c r="E45">
        <f t="shared" si="2"/>
        <v>235755</v>
      </c>
    </row>
    <row r="46" spans="1:5" x14ac:dyDescent="0.35">
      <c r="A46">
        <v>2016</v>
      </c>
      <c r="B46" t="s">
        <v>19</v>
      </c>
      <c r="C46">
        <f>60323+56147</f>
        <v>116470</v>
      </c>
      <c r="D46">
        <f>61295+58361</f>
        <v>119656</v>
      </c>
      <c r="E46">
        <f t="shared" si="2"/>
        <v>236126</v>
      </c>
    </row>
    <row r="47" spans="1:5" x14ac:dyDescent="0.35">
      <c r="A47">
        <v>2016</v>
      </c>
      <c r="B47" s="7" t="s">
        <v>20</v>
      </c>
      <c r="C47">
        <f>48025+40019</f>
        <v>88044</v>
      </c>
      <c r="D47">
        <f>49113+39608</f>
        <v>88721</v>
      </c>
      <c r="E47">
        <f t="shared" si="2"/>
        <v>176765</v>
      </c>
    </row>
    <row r="48" spans="1:5" x14ac:dyDescent="0.35">
      <c r="A48">
        <v>2016</v>
      </c>
      <c r="B48" t="s">
        <v>21</v>
      </c>
      <c r="C48">
        <f>30064+22071</f>
        <v>52135</v>
      </c>
      <c r="D48">
        <f>28449+23914</f>
        <v>52363</v>
      </c>
      <c r="E48">
        <f t="shared" si="2"/>
        <v>104498</v>
      </c>
    </row>
    <row r="49" spans="1:5" x14ac:dyDescent="0.35">
      <c r="A49">
        <v>2016</v>
      </c>
      <c r="B49" s="7" t="s">
        <v>22</v>
      </c>
      <c r="C49">
        <f>15681+17774</f>
        <v>33455</v>
      </c>
      <c r="D49">
        <f>18546+26732</f>
        <v>45278</v>
      </c>
      <c r="E49">
        <f t="shared" si="2"/>
        <v>78733</v>
      </c>
    </row>
    <row r="50" spans="1:5" x14ac:dyDescent="0.35">
      <c r="A50">
        <v>2017</v>
      </c>
      <c r="B50" t="s">
        <v>16</v>
      </c>
      <c r="C50">
        <f>66329+65260</f>
        <v>131589</v>
      </c>
      <c r="D50">
        <f>64008+62292</f>
        <v>126300</v>
      </c>
      <c r="E50">
        <f t="shared" si="2"/>
        <v>257889</v>
      </c>
    </row>
    <row r="51" spans="1:5" x14ac:dyDescent="0.35">
      <c r="A51">
        <v>2017</v>
      </c>
      <c r="B51" s="7" t="s">
        <v>15</v>
      </c>
      <c r="C51">
        <f>63956+61840</f>
        <v>125796</v>
      </c>
      <c r="D51">
        <f>60252+55693</f>
        <v>115945</v>
      </c>
      <c r="E51">
        <f t="shared" si="2"/>
        <v>241741</v>
      </c>
    </row>
    <row r="52" spans="1:5" x14ac:dyDescent="0.35">
      <c r="A52">
        <v>2017</v>
      </c>
      <c r="B52" t="s">
        <v>17</v>
      </c>
      <c r="C52">
        <f>57047+58928</f>
        <v>115975</v>
      </c>
      <c r="D52">
        <f>53362+56722</f>
        <v>110084</v>
      </c>
      <c r="E52">
        <f t="shared" si="2"/>
        <v>226059</v>
      </c>
    </row>
    <row r="53" spans="1:5" x14ac:dyDescent="0.35">
      <c r="A53">
        <v>2017</v>
      </c>
      <c r="B53" s="7" t="s">
        <v>18</v>
      </c>
      <c r="C53">
        <f>59087+59588</f>
        <v>118675</v>
      </c>
      <c r="D53">
        <f>58128+59851</f>
        <v>117979</v>
      </c>
      <c r="E53">
        <f t="shared" si="2"/>
        <v>236654</v>
      </c>
    </row>
    <row r="54" spans="1:5" x14ac:dyDescent="0.35">
      <c r="A54">
        <v>2017</v>
      </c>
      <c r="B54" t="s">
        <v>19</v>
      </c>
      <c r="C54">
        <f>60591+56404</f>
        <v>116995</v>
      </c>
      <c r="D54">
        <f>61575+58634</f>
        <v>120209</v>
      </c>
      <c r="E54">
        <f t="shared" si="2"/>
        <v>237204</v>
      </c>
    </row>
    <row r="55" spans="1:5" x14ac:dyDescent="0.35">
      <c r="A55">
        <v>2017</v>
      </c>
      <c r="B55" s="7" t="s">
        <v>20</v>
      </c>
      <c r="C55">
        <f>48251+40213</f>
        <v>88464</v>
      </c>
      <c r="D55">
        <f>49348+39805</f>
        <v>89153</v>
      </c>
      <c r="E55">
        <f t="shared" si="2"/>
        <v>177617</v>
      </c>
    </row>
    <row r="56" spans="1:5" x14ac:dyDescent="0.35">
      <c r="A56">
        <v>2017</v>
      </c>
      <c r="B56" t="s">
        <v>21</v>
      </c>
      <c r="C56">
        <f>30216+22183</f>
        <v>52399</v>
      </c>
      <c r="D56">
        <f>28591+24035</f>
        <v>52626</v>
      </c>
      <c r="E56">
        <f t="shared" si="2"/>
        <v>105025</v>
      </c>
    </row>
    <row r="57" spans="1:5" x14ac:dyDescent="0.35">
      <c r="A57">
        <v>2017</v>
      </c>
      <c r="B57" s="7" t="s">
        <v>22</v>
      </c>
      <c r="C57">
        <f>15763+17870</f>
        <v>33633</v>
      </c>
      <c r="D57">
        <f>18640+26867</f>
        <v>45507</v>
      </c>
      <c r="E57">
        <f t="shared" si="2"/>
        <v>79140</v>
      </c>
    </row>
    <row r="58" spans="1:5" x14ac:dyDescent="0.35">
      <c r="A58">
        <v>2018</v>
      </c>
      <c r="B58" t="s">
        <v>16</v>
      </c>
      <c r="C58">
        <f>66673+65533</f>
        <v>132206</v>
      </c>
      <c r="D58">
        <f>64265+62542</f>
        <v>126807</v>
      </c>
      <c r="E58">
        <f t="shared" si="2"/>
        <v>259013</v>
      </c>
    </row>
    <row r="59" spans="1:5" x14ac:dyDescent="0.35">
      <c r="A59">
        <v>2018</v>
      </c>
      <c r="B59" s="7" t="s">
        <v>15</v>
      </c>
      <c r="C59">
        <f>64228+62002</f>
        <v>126230</v>
      </c>
      <c r="D59">
        <f>60499+55916</f>
        <v>116415</v>
      </c>
      <c r="E59">
        <f t="shared" si="2"/>
        <v>242645</v>
      </c>
    </row>
    <row r="60" spans="1:5" x14ac:dyDescent="0.35">
      <c r="A60">
        <v>2018</v>
      </c>
      <c r="B60" t="s">
        <v>17</v>
      </c>
      <c r="C60">
        <f>57207+59223</f>
        <v>116430</v>
      </c>
      <c r="D60">
        <f>53572+56948</f>
        <v>110520</v>
      </c>
      <c r="E60">
        <f t="shared" si="2"/>
        <v>226950</v>
      </c>
    </row>
    <row r="61" spans="1:5" x14ac:dyDescent="0.35">
      <c r="A61">
        <v>2018</v>
      </c>
      <c r="B61" s="7" t="s">
        <v>18</v>
      </c>
      <c r="C61">
        <f>59461+59841</f>
        <v>119302</v>
      </c>
      <c r="D61">
        <f>58360+60097</f>
        <v>118457</v>
      </c>
      <c r="E61">
        <f t="shared" si="2"/>
        <v>237759</v>
      </c>
    </row>
    <row r="62" spans="1:5" x14ac:dyDescent="0.35">
      <c r="A62">
        <v>2018</v>
      </c>
      <c r="B62" t="s">
        <v>19</v>
      </c>
      <c r="C62">
        <f>60856+56658</f>
        <v>117514</v>
      </c>
      <c r="D62">
        <f>61833+58890</f>
        <v>120723</v>
      </c>
      <c r="E62">
        <f t="shared" si="2"/>
        <v>238237</v>
      </c>
    </row>
    <row r="63" spans="1:5" x14ac:dyDescent="0.35">
      <c r="A63">
        <v>2018</v>
      </c>
      <c r="B63" s="7" t="s">
        <v>20</v>
      </c>
      <c r="C63">
        <f>48473+40406</f>
        <v>88879</v>
      </c>
      <c r="D63">
        <f>49570+39988</f>
        <v>89558</v>
      </c>
      <c r="E63">
        <f t="shared" si="2"/>
        <v>178437</v>
      </c>
    </row>
    <row r="64" spans="1:5" x14ac:dyDescent="0.35">
      <c r="A64">
        <v>2018</v>
      </c>
      <c r="B64" t="s">
        <v>21</v>
      </c>
      <c r="C64">
        <f>30364+22292</f>
        <v>52656</v>
      </c>
      <c r="D64">
        <f>28725+24150</f>
        <v>52875</v>
      </c>
      <c r="E64">
        <f t="shared" si="2"/>
        <v>105531</v>
      </c>
    </row>
    <row r="65" spans="1:5" x14ac:dyDescent="0.35">
      <c r="A65">
        <v>2018</v>
      </c>
      <c r="B65" s="7" t="s">
        <v>22</v>
      </c>
      <c r="C65">
        <f>15842+17964</f>
        <v>33806</v>
      </c>
      <c r="D65">
        <f>18730+27005</f>
        <v>45735</v>
      </c>
      <c r="E65">
        <f t="shared" si="2"/>
        <v>79541</v>
      </c>
    </row>
    <row r="66" spans="1:5" x14ac:dyDescent="0.35">
      <c r="A66">
        <v>2019</v>
      </c>
      <c r="B66" t="s">
        <v>16</v>
      </c>
      <c r="C66">
        <f>66933+65785</f>
        <v>132718</v>
      </c>
      <c r="D66">
        <f>64497+62769</f>
        <v>127266</v>
      </c>
      <c r="E66">
        <f t="shared" si="2"/>
        <v>259984</v>
      </c>
    </row>
    <row r="67" spans="1:5" x14ac:dyDescent="0.35">
      <c r="A67">
        <v>2019</v>
      </c>
      <c r="B67" s="7" t="s">
        <v>15</v>
      </c>
      <c r="C67">
        <f>64478+62242</f>
        <v>126720</v>
      </c>
      <c r="D67">
        <f>60721+56119</f>
        <v>116840</v>
      </c>
      <c r="E67">
        <f t="shared" si="2"/>
        <v>243560</v>
      </c>
    </row>
    <row r="68" spans="1:5" x14ac:dyDescent="0.35">
      <c r="A68">
        <v>2019</v>
      </c>
      <c r="B68" t="s">
        <v>17</v>
      </c>
      <c r="C68">
        <f>57423+59448</f>
        <v>116871</v>
      </c>
      <c r="D68">
        <f>53760+57149</f>
        <v>110909</v>
      </c>
      <c r="E68">
        <f t="shared" si="2"/>
        <v>227780</v>
      </c>
    </row>
    <row r="69" spans="1:5" x14ac:dyDescent="0.35">
      <c r="A69">
        <v>2019</v>
      </c>
      <c r="B69" s="7" t="s">
        <v>18</v>
      </c>
      <c r="C69">
        <f>59692+60076</f>
        <v>119768</v>
      </c>
      <c r="D69">
        <f>58570+60316</f>
        <v>118886</v>
      </c>
      <c r="E69">
        <f t="shared" si="2"/>
        <v>238654</v>
      </c>
    </row>
    <row r="70" spans="1:5" x14ac:dyDescent="0.35">
      <c r="A70">
        <v>2019</v>
      </c>
      <c r="B70" t="s">
        <v>19</v>
      </c>
      <c r="C70">
        <f>61103+56894</f>
        <v>117997</v>
      </c>
      <c r="D70">
        <f>62067+59123</f>
        <v>121190</v>
      </c>
      <c r="E70">
        <f t="shared" si="2"/>
        <v>239187</v>
      </c>
    </row>
    <row r="71" spans="1:5" x14ac:dyDescent="0.35">
      <c r="A71">
        <v>2019</v>
      </c>
      <c r="B71" s="7" t="s">
        <v>20</v>
      </c>
      <c r="C71">
        <f>48681+40587</f>
        <v>89268</v>
      </c>
      <c r="D71">
        <f>49773+40155</f>
        <v>89928</v>
      </c>
      <c r="E71">
        <f t="shared" si="2"/>
        <v>179196</v>
      </c>
    </row>
    <row r="72" spans="1:5" x14ac:dyDescent="0.35">
      <c r="A72">
        <v>2019</v>
      </c>
      <c r="B72" t="s">
        <v>21</v>
      </c>
      <c r="C72">
        <f>30505+22396</f>
        <v>52901</v>
      </c>
      <c r="D72">
        <f>28848+24254</f>
        <v>53102</v>
      </c>
      <c r="E72">
        <f t="shared" si="2"/>
        <v>106003</v>
      </c>
    </row>
    <row r="73" spans="1:5" x14ac:dyDescent="0.35">
      <c r="A73">
        <v>2019</v>
      </c>
      <c r="B73" s="7" t="s">
        <v>22</v>
      </c>
      <c r="C73">
        <f>15916+18051</f>
        <v>33967</v>
      </c>
      <c r="D73">
        <f>18814+27127</f>
        <v>45941</v>
      </c>
      <c r="E73">
        <f t="shared" si="2"/>
        <v>79908</v>
      </c>
    </row>
    <row r="74" spans="1:5" x14ac:dyDescent="0.35">
      <c r="A74">
        <v>2020</v>
      </c>
      <c r="B74" t="s">
        <v>16</v>
      </c>
      <c r="C74">
        <f>58465+61165</f>
        <v>119630</v>
      </c>
      <c r="D74">
        <f>55792+58182</f>
        <v>113974</v>
      </c>
      <c r="E74">
        <f t="shared" si="2"/>
        <v>233604</v>
      </c>
    </row>
    <row r="75" spans="1:5" x14ac:dyDescent="0.35">
      <c r="A75">
        <v>2020</v>
      </c>
      <c r="B75" s="7" t="s">
        <v>15</v>
      </c>
      <c r="C75">
        <f>61432+64897</f>
        <v>126329</v>
      </c>
      <c r="D75">
        <f>58226+61568</f>
        <v>119794</v>
      </c>
      <c r="E75">
        <f t="shared" si="2"/>
        <v>246123</v>
      </c>
    </row>
    <row r="76" spans="1:5" x14ac:dyDescent="0.35">
      <c r="A76">
        <v>2020</v>
      </c>
      <c r="B76" t="s">
        <v>17</v>
      </c>
      <c r="C76">
        <f>66335+61910</f>
        <v>128245</v>
      </c>
      <c r="D76">
        <f>61311+57516</f>
        <v>118827</v>
      </c>
      <c r="E76">
        <f t="shared" si="2"/>
        <v>247072</v>
      </c>
    </row>
    <row r="77" spans="1:5" x14ac:dyDescent="0.35">
      <c r="A77">
        <v>2020</v>
      </c>
      <c r="B77" s="7" t="s">
        <v>18</v>
      </c>
      <c r="C77">
        <f>62015+65532</f>
        <v>127547</v>
      </c>
      <c r="D77">
        <f>58519+61866</f>
        <v>120385</v>
      </c>
      <c r="E77">
        <f t="shared" si="2"/>
        <v>247932</v>
      </c>
    </row>
    <row r="78" spans="1:5" x14ac:dyDescent="0.35">
      <c r="A78">
        <v>2020</v>
      </c>
      <c r="B78" t="s">
        <v>19</v>
      </c>
      <c r="C78">
        <f>62170+59034</f>
        <v>121204</v>
      </c>
      <c r="D78">
        <f>60156+59627</f>
        <v>119783</v>
      </c>
      <c r="E78">
        <f t="shared" si="2"/>
        <v>240987</v>
      </c>
    </row>
    <row r="79" spans="1:5" x14ac:dyDescent="0.35">
      <c r="A79">
        <v>2020</v>
      </c>
      <c r="B79" s="7" t="s">
        <v>20</v>
      </c>
      <c r="C79">
        <f>54951+48318</f>
        <v>103269</v>
      </c>
      <c r="D79">
        <f>56024+50674</f>
        <v>106698</v>
      </c>
      <c r="E79">
        <f t="shared" si="2"/>
        <v>209967</v>
      </c>
    </row>
    <row r="80" spans="1:5" x14ac:dyDescent="0.35">
      <c r="A80">
        <v>2020</v>
      </c>
      <c r="B80" t="s">
        <v>21</v>
      </c>
      <c r="C80">
        <f>37344+27291</f>
        <v>64635</v>
      </c>
      <c r="D80">
        <f>37898+28883</f>
        <v>66781</v>
      </c>
      <c r="E80">
        <f t="shared" si="2"/>
        <v>131416</v>
      </c>
    </row>
    <row r="81" spans="1:5" x14ac:dyDescent="0.35">
      <c r="A81">
        <v>2020</v>
      </c>
      <c r="B81" s="7" t="s">
        <v>22</v>
      </c>
      <c r="C81">
        <f>17200+17808</f>
        <v>35008</v>
      </c>
      <c r="D81">
        <f>18861+24323</f>
        <v>43184</v>
      </c>
      <c r="E81">
        <f t="shared" si="2"/>
        <v>78192</v>
      </c>
    </row>
    <row r="82" spans="1:5" x14ac:dyDescent="0.35">
      <c r="A82">
        <v>2021</v>
      </c>
      <c r="B82" t="s">
        <v>16</v>
      </c>
      <c r="C82">
        <f>58030+60666</f>
        <v>118696</v>
      </c>
      <c r="D82">
        <f>55377+57821</f>
        <v>113198</v>
      </c>
      <c r="E82">
        <f t="shared" si="2"/>
        <v>231894</v>
      </c>
    </row>
    <row r="83" spans="1:5" x14ac:dyDescent="0.35">
      <c r="A83">
        <v>2021</v>
      </c>
      <c r="B83" s="7" t="s">
        <v>15</v>
      </c>
      <c r="C83">
        <f>61167+64375</f>
        <v>125542</v>
      </c>
      <c r="D83">
        <f>58085+60995</f>
        <v>119080</v>
      </c>
      <c r="E83">
        <f t="shared" si="2"/>
        <v>244622</v>
      </c>
    </row>
    <row r="84" spans="1:5" x14ac:dyDescent="0.35">
      <c r="A84">
        <v>2021</v>
      </c>
      <c r="B84" t="s">
        <v>17</v>
      </c>
      <c r="C84">
        <f>65735+61696</f>
        <v>127431</v>
      </c>
      <c r="D84">
        <f>60712+57126</f>
        <v>117838</v>
      </c>
      <c r="E84">
        <f t="shared" si="2"/>
        <v>245269</v>
      </c>
    </row>
    <row r="85" spans="1:5" x14ac:dyDescent="0.35">
      <c r="A85">
        <v>2021</v>
      </c>
      <c r="B85" s="7" t="s">
        <v>18</v>
      </c>
      <c r="C85">
        <f>61935+65507</f>
        <v>127442</v>
      </c>
      <c r="D85">
        <f>58293+61690</f>
        <v>119983</v>
      </c>
      <c r="E85">
        <f t="shared" si="2"/>
        <v>247425</v>
      </c>
    </row>
    <row r="86" spans="1:5" x14ac:dyDescent="0.35">
      <c r="A86">
        <v>2021</v>
      </c>
      <c r="B86" t="s">
        <v>19</v>
      </c>
      <c r="C86">
        <f>62304+59678</f>
        <v>121982</v>
      </c>
      <c r="D86">
        <f>60124+60244</f>
        <v>120368</v>
      </c>
      <c r="E86">
        <f t="shared" si="2"/>
        <v>242350</v>
      </c>
    </row>
    <row r="87" spans="1:5" x14ac:dyDescent="0.35">
      <c r="A87">
        <v>2021</v>
      </c>
      <c r="B87" s="7" t="s">
        <v>20</v>
      </c>
      <c r="C87">
        <f>55698+49456</f>
        <v>105154</v>
      </c>
      <c r="D87">
        <f>56794+52025</f>
        <v>108819</v>
      </c>
      <c r="E87">
        <f t="shared" si="2"/>
        <v>213973</v>
      </c>
    </row>
    <row r="88" spans="1:5" x14ac:dyDescent="0.35">
      <c r="A88">
        <v>2021</v>
      </c>
      <c r="B88" t="s">
        <v>21</v>
      </c>
      <c r="C88">
        <f>38439+28497</f>
        <v>66936</v>
      </c>
      <c r="D88">
        <f>39232+30219</f>
        <v>69451</v>
      </c>
      <c r="E88">
        <f t="shared" si="2"/>
        <v>136387</v>
      </c>
    </row>
    <row r="89" spans="1:5" x14ac:dyDescent="0.35">
      <c r="A89">
        <v>2021</v>
      </c>
      <c r="B89" s="7" t="s">
        <v>22</v>
      </c>
      <c r="C89">
        <f>18387+18745</f>
        <v>37132</v>
      </c>
      <c r="D89">
        <f>20006+25342</f>
        <v>45348</v>
      </c>
      <c r="E89">
        <f t="shared" si="2"/>
        <v>82480</v>
      </c>
    </row>
    <row r="90" spans="1:5" x14ac:dyDescent="0.35">
      <c r="A90">
        <v>2022</v>
      </c>
      <c r="B90" t="s">
        <v>16</v>
      </c>
      <c r="C90">
        <f>57918+60164</f>
        <v>118082</v>
      </c>
      <c r="D90">
        <f>55283+57378</f>
        <v>112661</v>
      </c>
      <c r="E90">
        <f t="shared" si="2"/>
        <v>230743</v>
      </c>
    </row>
    <row r="91" spans="1:5" x14ac:dyDescent="0.35">
      <c r="A91">
        <v>2022</v>
      </c>
      <c r="B91" s="7" t="s">
        <v>15</v>
      </c>
      <c r="C91">
        <f>61015+64016</f>
        <v>125031</v>
      </c>
      <c r="D91">
        <f>58140+60562</f>
        <v>118702</v>
      </c>
      <c r="E91">
        <f t="shared" si="2"/>
        <v>243733</v>
      </c>
    </row>
    <row r="92" spans="1:5" x14ac:dyDescent="0.35">
      <c r="A92">
        <v>2022</v>
      </c>
      <c r="B92" t="s">
        <v>17</v>
      </c>
      <c r="C92">
        <f>65191+61558</f>
        <v>126749</v>
      </c>
      <c r="D92">
        <f>60166+56853</f>
        <v>117019</v>
      </c>
      <c r="E92">
        <f t="shared" si="2"/>
        <v>243768</v>
      </c>
    </row>
    <row r="93" spans="1:5" x14ac:dyDescent="0.35">
      <c r="A93">
        <v>2022</v>
      </c>
      <c r="B93" s="7" t="s">
        <v>18</v>
      </c>
      <c r="C93">
        <f>61887+65652</f>
        <v>127539</v>
      </c>
      <c r="D93">
        <f>58078+61703</f>
        <v>119781</v>
      </c>
      <c r="E93">
        <f t="shared" si="2"/>
        <v>247320</v>
      </c>
    </row>
    <row r="94" spans="1:5" x14ac:dyDescent="0.35">
      <c r="A94">
        <v>2022</v>
      </c>
      <c r="B94" t="s">
        <v>19</v>
      </c>
      <c r="C94">
        <f>62353+60455</f>
        <v>122808</v>
      </c>
      <c r="D94">
        <f>59994+60990</f>
        <v>120984</v>
      </c>
      <c r="E94">
        <f t="shared" si="2"/>
        <v>243792</v>
      </c>
    </row>
    <row r="95" spans="1:5" x14ac:dyDescent="0.35">
      <c r="A95">
        <v>2022</v>
      </c>
      <c r="B95" s="7" t="s">
        <v>20</v>
      </c>
      <c r="C95">
        <f>56405+50664</f>
        <v>107069</v>
      </c>
      <c r="D95">
        <f>57523+53422</f>
        <v>110945</v>
      </c>
      <c r="E95">
        <f t="shared" si="2"/>
        <v>218014</v>
      </c>
    </row>
    <row r="96" spans="1:5" x14ac:dyDescent="0.35">
      <c r="A96">
        <v>2022</v>
      </c>
      <c r="B96" t="s">
        <v>21</v>
      </c>
      <c r="C96">
        <f>39571+29663</f>
        <v>69234</v>
      </c>
      <c r="D96">
        <f>40634+31535</f>
        <v>72169</v>
      </c>
      <c r="E96">
        <f t="shared" si="2"/>
        <v>141403</v>
      </c>
    </row>
    <row r="97" spans="1:5" x14ac:dyDescent="0.35">
      <c r="A97">
        <v>2022</v>
      </c>
      <c r="B97" s="7" t="s">
        <v>22</v>
      </c>
      <c r="C97">
        <f>19657+19856</f>
        <v>39513</v>
      </c>
      <c r="D97">
        <f>21302+26432</f>
        <v>47734</v>
      </c>
      <c r="E97">
        <f t="shared" si="2"/>
        <v>87247</v>
      </c>
    </row>
  </sheetData>
  <pageMargins left="0.7" right="0.7" top="0.75" bottom="0.75" header="0.3" footer="0.3"/>
  <ignoredErrors>
    <ignoredError sqref="B3 B11 B19 B27 B35 B43 B51 B59 B67 B75 B83 B91" twoDigitTextYear="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EF0B6-B973-4B5A-8C1B-F1D70D5BDF91}">
  <dimension ref="A1:ZZ50"/>
  <sheetViews>
    <sheetView tabSelected="1" zoomScale="42" zoomScaleNormal="85" workbookViewId="0">
      <selection activeCell="AC30" sqref="AC30"/>
    </sheetView>
  </sheetViews>
  <sheetFormatPr defaultColWidth="0" defaultRowHeight="14.5" zeroHeight="1" x14ac:dyDescent="0.35"/>
  <cols>
    <col min="1" max="32" width="9.1796875" style="8" customWidth="1"/>
    <col min="33" max="702" width="9.1796875" style="8" hidden="1" customWidth="1"/>
    <col min="703" max="16384" width="8.7265625" style="8" hidden="1"/>
  </cols>
  <sheetData>
    <row r="1" spans="32:34" x14ac:dyDescent="0.35"/>
    <row r="2" spans="32:34" x14ac:dyDescent="0.35"/>
    <row r="3" spans="32:34" x14ac:dyDescent="0.35"/>
    <row r="4" spans="32:34" x14ac:dyDescent="0.35"/>
    <row r="5" spans="32:34" x14ac:dyDescent="0.35"/>
    <row r="6" spans="32:34" x14ac:dyDescent="0.35"/>
    <row r="7" spans="32:34" x14ac:dyDescent="0.35"/>
    <row r="8" spans="32:34" x14ac:dyDescent="0.35"/>
    <row r="9" spans="32:34" x14ac:dyDescent="0.35"/>
    <row r="10" spans="32:34" x14ac:dyDescent="0.35"/>
    <row r="11" spans="32:34" x14ac:dyDescent="0.35"/>
    <row r="12" spans="32:34" x14ac:dyDescent="0.35"/>
    <row r="13" spans="32:34" x14ac:dyDescent="0.35">
      <c r="AF13" s="8" t="s">
        <v>39</v>
      </c>
    </row>
    <row r="14" spans="32:34" x14ac:dyDescent="0.35"/>
    <row r="15" spans="32:34" x14ac:dyDescent="0.35"/>
    <row r="16" spans="32:34" x14ac:dyDescent="0.35">
      <c r="AH16" s="12" t="e">
        <f>'Pivot Table'!#REF!</f>
        <v>#REF!</v>
      </c>
    </row>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50" spans="3:3" hidden="1" x14ac:dyDescent="0.35">
      <c r="C50" s="8" t="s">
        <v>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3B170-BF7D-4495-B0FB-62AEF70220CB}">
  <dimension ref="B3:L102"/>
  <sheetViews>
    <sheetView topLeftCell="A73" zoomScale="81" zoomScaleNormal="74" workbookViewId="0">
      <selection activeCell="AF11" sqref="AF11"/>
    </sheetView>
  </sheetViews>
  <sheetFormatPr defaultRowHeight="14.5" x14ac:dyDescent="0.35"/>
  <cols>
    <col min="2" max="2" width="27" bestFit="1" customWidth="1"/>
    <col min="3" max="3" width="6.90625" bestFit="1" customWidth="1"/>
    <col min="4" max="4" width="26.36328125" bestFit="1" customWidth="1"/>
    <col min="5" max="5" width="23.08984375" bestFit="1" customWidth="1"/>
    <col min="6" max="6" width="6.90625" bestFit="1" customWidth="1"/>
    <col min="7" max="7" width="14.1796875" bestFit="1" customWidth="1"/>
    <col min="8" max="8" width="27.7265625" bestFit="1" customWidth="1"/>
    <col min="9" max="9" width="6.90625" bestFit="1" customWidth="1"/>
    <col min="10" max="10" width="16.81640625" bestFit="1" customWidth="1"/>
    <col min="11" max="11" width="23.6328125" bestFit="1" customWidth="1"/>
    <col min="12" max="12" width="6.90625" bestFit="1" customWidth="1"/>
  </cols>
  <sheetData>
    <row r="3" spans="2:9" x14ac:dyDescent="0.35">
      <c r="B3" s="9" t="s">
        <v>23</v>
      </c>
      <c r="C3" t="s">
        <v>25</v>
      </c>
      <c r="D3" t="s">
        <v>29</v>
      </c>
    </row>
    <row r="4" spans="2:9" x14ac:dyDescent="0.35">
      <c r="B4" s="10">
        <v>2011</v>
      </c>
      <c r="C4">
        <v>1512610</v>
      </c>
      <c r="D4">
        <v>1091.3098373074565</v>
      </c>
      <c r="E4" s="14"/>
      <c r="F4" s="11"/>
    </row>
    <row r="5" spans="2:9" x14ac:dyDescent="0.35">
      <c r="B5" s="10">
        <v>2012</v>
      </c>
      <c r="C5">
        <v>1521895</v>
      </c>
      <c r="D5">
        <v>1098.0087298438007</v>
      </c>
      <c r="E5" s="14"/>
      <c r="F5" s="11"/>
    </row>
    <row r="6" spans="2:9" x14ac:dyDescent="0.35">
      <c r="B6" s="10">
        <v>2013</v>
      </c>
      <c r="C6">
        <v>1530504</v>
      </c>
      <c r="D6">
        <v>1104.2199054868152</v>
      </c>
      <c r="E6" s="14"/>
      <c r="F6" s="11"/>
    </row>
    <row r="7" spans="2:9" x14ac:dyDescent="0.35">
      <c r="B7" s="10">
        <v>2014</v>
      </c>
      <c r="C7">
        <v>1538929</v>
      </c>
      <c r="D7">
        <v>1110.2983297860828</v>
      </c>
      <c r="E7" s="14"/>
      <c r="F7" s="11"/>
    </row>
    <row r="8" spans="2:9" x14ac:dyDescent="0.35">
      <c r="B8" s="10">
        <v>2015</v>
      </c>
      <c r="C8">
        <v>1546883</v>
      </c>
      <c r="D8">
        <v>1116.0369395043469</v>
      </c>
      <c r="E8" s="14"/>
      <c r="F8" s="11"/>
    </row>
    <row r="9" spans="2:9" x14ac:dyDescent="0.35">
      <c r="B9" s="10">
        <v>2016</v>
      </c>
      <c r="C9">
        <v>1554385</v>
      </c>
      <c r="D9">
        <v>1121.4494426607987</v>
      </c>
      <c r="E9" s="14"/>
      <c r="F9" s="11"/>
    </row>
    <row r="10" spans="2:9" x14ac:dyDescent="0.35">
      <c r="B10" s="10">
        <v>2017</v>
      </c>
      <c r="C10">
        <v>1561392</v>
      </c>
      <c r="D10">
        <v>1127</v>
      </c>
      <c r="E10" s="14"/>
      <c r="F10" s="11"/>
    </row>
    <row r="11" spans="2:9" x14ac:dyDescent="0.35">
      <c r="B11" s="10">
        <v>2018</v>
      </c>
      <c r="C11">
        <v>1568113</v>
      </c>
      <c r="D11">
        <v>1131</v>
      </c>
      <c r="E11" s="14"/>
      <c r="F11" s="11"/>
    </row>
    <row r="12" spans="2:9" x14ac:dyDescent="0.35">
      <c r="B12" s="10">
        <v>2019</v>
      </c>
      <c r="C12">
        <v>1574272</v>
      </c>
      <c r="D12">
        <v>1136</v>
      </c>
      <c r="E12" s="14"/>
      <c r="F12" s="11"/>
    </row>
    <row r="13" spans="2:9" x14ac:dyDescent="0.35">
      <c r="B13" s="10">
        <v>2020</v>
      </c>
      <c r="C13">
        <v>1635294</v>
      </c>
      <c r="D13">
        <v>1180</v>
      </c>
      <c r="E13" s="14"/>
      <c r="F13" s="11"/>
    </row>
    <row r="14" spans="2:9" x14ac:dyDescent="0.35">
      <c r="B14" s="10">
        <v>2021</v>
      </c>
      <c r="C14">
        <v>1644400</v>
      </c>
      <c r="D14">
        <v>1186</v>
      </c>
      <c r="E14" s="14"/>
      <c r="F14" s="11"/>
    </row>
    <row r="15" spans="2:9" x14ac:dyDescent="0.35">
      <c r="B15" s="10">
        <v>2022</v>
      </c>
      <c r="C15">
        <v>1656020</v>
      </c>
      <c r="D15">
        <v>1195</v>
      </c>
      <c r="E15" s="14"/>
      <c r="F15" s="11"/>
    </row>
    <row r="16" spans="2:9" x14ac:dyDescent="0.35">
      <c r="B16" s="10" t="s">
        <v>24</v>
      </c>
      <c r="C16">
        <v>18844697</v>
      </c>
      <c r="D16">
        <v>13596.323184589302</v>
      </c>
      <c r="E16" s="14"/>
      <c r="F16" s="11"/>
      <c r="H16" s="9" t="s">
        <v>0</v>
      </c>
      <c r="I16" t="s">
        <v>43</v>
      </c>
    </row>
    <row r="18" spans="2:12" x14ac:dyDescent="0.35">
      <c r="E18" s="9" t="s">
        <v>0</v>
      </c>
      <c r="F18" t="s">
        <v>43</v>
      </c>
      <c r="H18" t="s">
        <v>27</v>
      </c>
    </row>
    <row r="19" spans="2:12" x14ac:dyDescent="0.35">
      <c r="H19" s="11">
        <v>9375392</v>
      </c>
    </row>
    <row r="20" spans="2:12" x14ac:dyDescent="0.35">
      <c r="E20" t="s">
        <v>26</v>
      </c>
      <c r="H20" s="9" t="s">
        <v>0</v>
      </c>
      <c r="I20" t="s">
        <v>43</v>
      </c>
    </row>
    <row r="21" spans="2:12" x14ac:dyDescent="0.35">
      <c r="E21" s="11">
        <v>9469305</v>
      </c>
    </row>
    <row r="22" spans="2:12" x14ac:dyDescent="0.35">
      <c r="H22" t="s">
        <v>28</v>
      </c>
      <c r="K22" s="11"/>
      <c r="L22" s="11"/>
    </row>
    <row r="23" spans="2:12" x14ac:dyDescent="0.35">
      <c r="H23" s="14">
        <v>1211.8377399599644</v>
      </c>
      <c r="K23" s="11"/>
      <c r="L23" s="11"/>
    </row>
    <row r="24" spans="2:12" x14ac:dyDescent="0.35">
      <c r="E24" s="9" t="s">
        <v>0</v>
      </c>
      <c r="F24" t="s">
        <v>43</v>
      </c>
      <c r="K24" s="11"/>
      <c r="L24" s="11"/>
    </row>
    <row r="25" spans="2:12" x14ac:dyDescent="0.35">
      <c r="K25" s="11"/>
      <c r="L25" s="11"/>
    </row>
    <row r="26" spans="2:12" x14ac:dyDescent="0.35">
      <c r="E26" t="s">
        <v>25</v>
      </c>
      <c r="K26" s="11"/>
      <c r="L26" s="11"/>
    </row>
    <row r="27" spans="2:12" x14ac:dyDescent="0.35">
      <c r="E27" s="11">
        <v>18844697</v>
      </c>
      <c r="K27" s="11"/>
      <c r="L27" s="11"/>
    </row>
    <row r="28" spans="2:12" x14ac:dyDescent="0.35">
      <c r="K28" s="11"/>
      <c r="L28" s="11"/>
    </row>
    <row r="30" spans="2:12" x14ac:dyDescent="0.35">
      <c r="B30" s="9" t="s">
        <v>23</v>
      </c>
      <c r="C30" t="s">
        <v>29</v>
      </c>
      <c r="D30" t="s">
        <v>30</v>
      </c>
      <c r="F30" t="s">
        <v>0</v>
      </c>
      <c r="G30" t="s">
        <v>5</v>
      </c>
      <c r="H30" t="s">
        <v>6</v>
      </c>
    </row>
    <row r="31" spans="2:12" x14ac:dyDescent="0.35">
      <c r="B31" s="10">
        <v>2011</v>
      </c>
      <c r="C31">
        <v>1091.3098373074565</v>
      </c>
      <c r="D31">
        <v>0.63</v>
      </c>
      <c r="F31">
        <f t="shared" ref="F31:F42" si="0">B31</f>
        <v>2011</v>
      </c>
      <c r="G31" s="11">
        <f t="shared" ref="G31:G42" si="1">C31</f>
        <v>1091.3098373074565</v>
      </c>
      <c r="H31" s="13">
        <f t="shared" ref="H31:H42" si="2">D31</f>
        <v>0.63</v>
      </c>
      <c r="K31" s="9" t="s">
        <v>0</v>
      </c>
      <c r="L31" t="s">
        <v>43</v>
      </c>
    </row>
    <row r="32" spans="2:12" x14ac:dyDescent="0.35">
      <c r="B32" s="10">
        <v>2012</v>
      </c>
      <c r="C32">
        <v>1098.0087298438007</v>
      </c>
      <c r="D32">
        <v>0.61</v>
      </c>
      <c r="F32">
        <f t="shared" si="0"/>
        <v>2012</v>
      </c>
      <c r="G32" s="11">
        <f t="shared" si="1"/>
        <v>1098.0087298438007</v>
      </c>
      <c r="H32" s="13">
        <f t="shared" si="2"/>
        <v>0.61</v>
      </c>
    </row>
    <row r="33" spans="2:12" x14ac:dyDescent="0.35">
      <c r="B33" s="10">
        <v>2013</v>
      </c>
      <c r="C33">
        <v>1104.2199054868152</v>
      </c>
      <c r="D33">
        <v>0.56000000000000005</v>
      </c>
      <c r="F33">
        <f t="shared" si="0"/>
        <v>2013</v>
      </c>
      <c r="G33" s="11">
        <f t="shared" si="1"/>
        <v>1104.2199054868152</v>
      </c>
      <c r="H33" s="13">
        <f t="shared" si="2"/>
        <v>0.56000000000000005</v>
      </c>
      <c r="K33" t="s">
        <v>29</v>
      </c>
    </row>
    <row r="34" spans="2:12" x14ac:dyDescent="0.35">
      <c r="B34" s="10">
        <v>2014</v>
      </c>
      <c r="C34">
        <v>1110.2983297860828</v>
      </c>
      <c r="D34">
        <v>0.55000000000000004</v>
      </c>
      <c r="F34">
        <f t="shared" si="0"/>
        <v>2014</v>
      </c>
      <c r="G34" s="11">
        <f t="shared" si="1"/>
        <v>1110.2983297860828</v>
      </c>
      <c r="H34" s="13">
        <f t="shared" si="2"/>
        <v>0.55000000000000004</v>
      </c>
      <c r="K34" s="11">
        <v>13596.323184589302</v>
      </c>
    </row>
    <row r="35" spans="2:12" x14ac:dyDescent="0.35">
      <c r="B35" s="10">
        <v>2015</v>
      </c>
      <c r="C35">
        <v>1116.0369395043469</v>
      </c>
      <c r="D35">
        <v>0.52</v>
      </c>
      <c r="F35">
        <f t="shared" si="0"/>
        <v>2015</v>
      </c>
      <c r="G35" s="11">
        <f t="shared" si="1"/>
        <v>1116.0369395043469</v>
      </c>
      <c r="H35" s="13">
        <f t="shared" si="2"/>
        <v>0.52</v>
      </c>
    </row>
    <row r="36" spans="2:12" x14ac:dyDescent="0.35">
      <c r="B36" s="10">
        <v>2016</v>
      </c>
      <c r="C36">
        <v>1121.4494426607987</v>
      </c>
      <c r="D36">
        <v>0.48</v>
      </c>
      <c r="F36">
        <f t="shared" si="0"/>
        <v>2016</v>
      </c>
      <c r="G36" s="11">
        <f t="shared" si="1"/>
        <v>1121.4494426607987</v>
      </c>
      <c r="H36" s="13">
        <f t="shared" si="2"/>
        <v>0.48</v>
      </c>
    </row>
    <row r="37" spans="2:12" x14ac:dyDescent="0.35">
      <c r="B37" s="10">
        <v>2017</v>
      </c>
      <c r="C37">
        <v>1127</v>
      </c>
      <c r="D37">
        <v>0.45</v>
      </c>
      <c r="F37">
        <f t="shared" si="0"/>
        <v>2017</v>
      </c>
      <c r="G37" s="11">
        <f t="shared" si="1"/>
        <v>1127</v>
      </c>
      <c r="H37" s="13">
        <f t="shared" si="2"/>
        <v>0.45</v>
      </c>
    </row>
    <row r="38" spans="2:12" x14ac:dyDescent="0.35">
      <c r="B38" s="10">
        <v>2018</v>
      </c>
      <c r="C38">
        <v>1131</v>
      </c>
      <c r="D38">
        <v>0.43</v>
      </c>
      <c r="F38">
        <f t="shared" si="0"/>
        <v>2018</v>
      </c>
      <c r="G38" s="11">
        <f t="shared" si="1"/>
        <v>1131</v>
      </c>
      <c r="H38" s="13">
        <f t="shared" si="2"/>
        <v>0.43</v>
      </c>
      <c r="K38" s="9" t="s">
        <v>0</v>
      </c>
      <c r="L38" t="s">
        <v>43</v>
      </c>
    </row>
    <row r="39" spans="2:12" x14ac:dyDescent="0.35">
      <c r="B39" s="10">
        <v>2019</v>
      </c>
      <c r="C39">
        <v>1136</v>
      </c>
      <c r="D39">
        <v>0.39</v>
      </c>
      <c r="F39">
        <f t="shared" si="0"/>
        <v>2019</v>
      </c>
      <c r="G39" s="11">
        <f t="shared" si="1"/>
        <v>1136</v>
      </c>
      <c r="H39" s="13">
        <f t="shared" si="2"/>
        <v>0.39</v>
      </c>
    </row>
    <row r="40" spans="2:12" x14ac:dyDescent="0.35">
      <c r="B40" s="10">
        <v>2020</v>
      </c>
      <c r="C40">
        <v>1180</v>
      </c>
      <c r="D40">
        <v>0.87</v>
      </c>
      <c r="F40">
        <f t="shared" si="0"/>
        <v>2020</v>
      </c>
      <c r="G40" s="11">
        <f t="shared" si="1"/>
        <v>1180</v>
      </c>
      <c r="H40" s="13">
        <f t="shared" si="2"/>
        <v>0.87</v>
      </c>
      <c r="K40" t="s">
        <v>30</v>
      </c>
    </row>
    <row r="41" spans="2:12" x14ac:dyDescent="0.35">
      <c r="B41" s="10">
        <v>2021</v>
      </c>
      <c r="C41">
        <v>1186</v>
      </c>
      <c r="D41">
        <v>0.74</v>
      </c>
      <c r="F41">
        <f t="shared" si="0"/>
        <v>2021</v>
      </c>
      <c r="G41" s="11">
        <f t="shared" si="1"/>
        <v>1186</v>
      </c>
      <c r="H41" s="13">
        <f t="shared" si="2"/>
        <v>0.74</v>
      </c>
      <c r="K41" s="13">
        <v>6.94</v>
      </c>
    </row>
    <row r="42" spans="2:12" x14ac:dyDescent="0.35">
      <c r="B42" s="10">
        <v>2022</v>
      </c>
      <c r="C42">
        <v>1195</v>
      </c>
      <c r="D42">
        <v>0.71</v>
      </c>
      <c r="F42">
        <f t="shared" si="0"/>
        <v>2022</v>
      </c>
      <c r="G42" s="11">
        <f t="shared" si="1"/>
        <v>1195</v>
      </c>
      <c r="H42" s="13">
        <f t="shared" si="2"/>
        <v>0.71</v>
      </c>
    </row>
    <row r="43" spans="2:12" x14ac:dyDescent="0.35">
      <c r="B43" s="10" t="s">
        <v>24</v>
      </c>
      <c r="C43">
        <v>13596.323184589302</v>
      </c>
      <c r="D43">
        <v>6.94</v>
      </c>
    </row>
    <row r="49" spans="2:9" x14ac:dyDescent="0.35">
      <c r="B49" s="9" t="s">
        <v>23</v>
      </c>
      <c r="C49" t="s">
        <v>31</v>
      </c>
      <c r="E49" t="str">
        <f t="shared" ref="E49:E61" si="3">B49</f>
        <v>Row Labels</v>
      </c>
      <c r="F49" t="s">
        <v>7</v>
      </c>
      <c r="H49" s="9" t="s">
        <v>0</v>
      </c>
      <c r="I49" t="s">
        <v>43</v>
      </c>
    </row>
    <row r="50" spans="2:9" x14ac:dyDescent="0.35">
      <c r="B50" s="10">
        <v>2011</v>
      </c>
      <c r="C50">
        <v>6.03</v>
      </c>
      <c r="E50">
        <f t="shared" si="3"/>
        <v>2011</v>
      </c>
      <c r="F50" s="13">
        <f t="shared" ref="F50:F61" si="4">C50</f>
        <v>6.03</v>
      </c>
    </row>
    <row r="51" spans="2:9" x14ac:dyDescent="0.35">
      <c r="B51" s="10">
        <v>2012</v>
      </c>
      <c r="C51">
        <v>6.11</v>
      </c>
      <c r="E51">
        <f t="shared" si="3"/>
        <v>2012</v>
      </c>
      <c r="F51" s="13">
        <f t="shared" si="4"/>
        <v>6.11</v>
      </c>
      <c r="H51" t="s">
        <v>31</v>
      </c>
    </row>
    <row r="52" spans="2:9" x14ac:dyDescent="0.35">
      <c r="B52" s="10">
        <v>2013</v>
      </c>
      <c r="C52">
        <v>5.82</v>
      </c>
      <c r="E52">
        <f t="shared" si="3"/>
        <v>2013</v>
      </c>
      <c r="F52" s="13">
        <f t="shared" si="4"/>
        <v>5.82</v>
      </c>
      <c r="H52" s="18">
        <v>53.779999999999994</v>
      </c>
    </row>
    <row r="53" spans="2:9" x14ac:dyDescent="0.35">
      <c r="B53" s="10">
        <v>2014</v>
      </c>
      <c r="C53">
        <v>5.32</v>
      </c>
      <c r="E53">
        <f t="shared" si="3"/>
        <v>2014</v>
      </c>
      <c r="F53" s="13">
        <f t="shared" si="4"/>
        <v>5.32</v>
      </c>
    </row>
    <row r="54" spans="2:9" x14ac:dyDescent="0.35">
      <c r="B54" s="10">
        <v>2015</v>
      </c>
      <c r="C54">
        <v>4.88</v>
      </c>
      <c r="E54">
        <f t="shared" si="3"/>
        <v>2015</v>
      </c>
      <c r="F54" s="13">
        <f t="shared" si="4"/>
        <v>4.88</v>
      </c>
    </row>
    <row r="55" spans="2:9" x14ac:dyDescent="0.35">
      <c r="B55" s="10">
        <v>2016</v>
      </c>
      <c r="C55">
        <v>5.0199999999999996</v>
      </c>
      <c r="E55">
        <f t="shared" si="3"/>
        <v>2016</v>
      </c>
      <c r="F55" s="13">
        <f t="shared" si="4"/>
        <v>5.0199999999999996</v>
      </c>
    </row>
    <row r="56" spans="2:9" x14ac:dyDescent="0.35">
      <c r="B56" s="10">
        <v>2017</v>
      </c>
      <c r="C56">
        <v>4.9000000000000004</v>
      </c>
      <c r="E56">
        <f t="shared" si="3"/>
        <v>2017</v>
      </c>
      <c r="F56" s="13">
        <f t="shared" si="4"/>
        <v>4.9000000000000004</v>
      </c>
    </row>
    <row r="57" spans="2:9" x14ac:dyDescent="0.35">
      <c r="B57" s="10">
        <v>2018</v>
      </c>
      <c r="C57">
        <v>5.08</v>
      </c>
      <c r="E57">
        <f t="shared" si="3"/>
        <v>2018</v>
      </c>
      <c r="F57" s="13">
        <f t="shared" si="4"/>
        <v>5.08</v>
      </c>
    </row>
    <row r="58" spans="2:9" x14ac:dyDescent="0.35">
      <c r="B58" s="10">
        <v>2019</v>
      </c>
      <c r="C58">
        <v>5.07</v>
      </c>
      <c r="E58">
        <f t="shared" si="3"/>
        <v>2019</v>
      </c>
      <c r="F58" s="13">
        <f t="shared" si="4"/>
        <v>5.07</v>
      </c>
    </row>
    <row r="59" spans="2:9" x14ac:dyDescent="0.35">
      <c r="B59" s="10">
        <v>2020</v>
      </c>
      <c r="C59">
        <v>-2.41</v>
      </c>
      <c r="E59">
        <f t="shared" si="3"/>
        <v>2020</v>
      </c>
      <c r="F59" s="13">
        <f t="shared" si="4"/>
        <v>-2.41</v>
      </c>
    </row>
    <row r="60" spans="2:9" x14ac:dyDescent="0.35">
      <c r="B60" s="10">
        <v>2021</v>
      </c>
      <c r="C60">
        <v>3.06</v>
      </c>
      <c r="E60">
        <f t="shared" si="3"/>
        <v>2021</v>
      </c>
      <c r="F60" s="13">
        <f t="shared" si="4"/>
        <v>3.06</v>
      </c>
    </row>
    <row r="61" spans="2:9" x14ac:dyDescent="0.35">
      <c r="B61" s="10">
        <v>2022</v>
      </c>
      <c r="C61">
        <v>4.9000000000000004</v>
      </c>
      <c r="E61">
        <f t="shared" si="3"/>
        <v>2022</v>
      </c>
      <c r="F61" s="13">
        <f t="shared" si="4"/>
        <v>4.9000000000000004</v>
      </c>
    </row>
    <row r="62" spans="2:9" x14ac:dyDescent="0.35">
      <c r="B62" s="10" t="s">
        <v>24</v>
      </c>
      <c r="C62">
        <v>53.779999999999994</v>
      </c>
    </row>
    <row r="64" spans="2:9" x14ac:dyDescent="0.35">
      <c r="B64" s="9" t="s">
        <v>0</v>
      </c>
      <c r="C64" t="s">
        <v>43</v>
      </c>
    </row>
    <row r="66" spans="2:3" x14ac:dyDescent="0.35">
      <c r="B66" s="9" t="s">
        <v>36</v>
      </c>
    </row>
    <row r="67" spans="2:3" x14ac:dyDescent="0.35">
      <c r="B67" s="10" t="s">
        <v>32</v>
      </c>
      <c r="C67" s="11">
        <v>11752</v>
      </c>
    </row>
    <row r="68" spans="2:3" x14ac:dyDescent="0.35">
      <c r="B68" s="10" t="s">
        <v>33</v>
      </c>
      <c r="C68" s="18">
        <v>10860</v>
      </c>
    </row>
    <row r="69" spans="2:3" x14ac:dyDescent="0.35">
      <c r="B69" s="10" t="s">
        <v>34</v>
      </c>
      <c r="C69" s="18">
        <v>2385</v>
      </c>
    </row>
    <row r="70" spans="2:3" x14ac:dyDescent="0.35">
      <c r="B70" s="10" t="s">
        <v>35</v>
      </c>
      <c r="C70" s="18">
        <v>1383</v>
      </c>
    </row>
    <row r="74" spans="2:3" x14ac:dyDescent="0.35">
      <c r="B74" t="s">
        <v>8</v>
      </c>
      <c r="C74" s="11">
        <f t="shared" ref="C74:C77" si="5">C67</f>
        <v>11752</v>
      </c>
    </row>
    <row r="75" spans="2:3" x14ac:dyDescent="0.35">
      <c r="B75" t="s">
        <v>9</v>
      </c>
      <c r="C75" s="11">
        <f t="shared" si="5"/>
        <v>10860</v>
      </c>
    </row>
    <row r="76" spans="2:3" x14ac:dyDescent="0.35">
      <c r="B76" t="s">
        <v>10</v>
      </c>
      <c r="C76" s="11">
        <f t="shared" si="5"/>
        <v>2385</v>
      </c>
    </row>
    <row r="77" spans="2:3" x14ac:dyDescent="0.35">
      <c r="B77" t="s">
        <v>11</v>
      </c>
      <c r="C77" s="11">
        <f t="shared" si="5"/>
        <v>1383</v>
      </c>
    </row>
    <row r="82" spans="2:6" x14ac:dyDescent="0.35">
      <c r="B82" s="9" t="s">
        <v>23</v>
      </c>
      <c r="C82" t="s">
        <v>38</v>
      </c>
      <c r="E82" s="9" t="s">
        <v>0</v>
      </c>
      <c r="F82" t="s">
        <v>43</v>
      </c>
    </row>
    <row r="83" spans="2:6" x14ac:dyDescent="0.35">
      <c r="B83" s="10">
        <v>2011</v>
      </c>
      <c r="C83" s="11">
        <v>19354905</v>
      </c>
    </row>
    <row r="84" spans="2:6" x14ac:dyDescent="0.35">
      <c r="B84" s="10">
        <v>2012</v>
      </c>
      <c r="C84" s="11">
        <v>20538323</v>
      </c>
      <c r="E84" t="s">
        <v>38</v>
      </c>
    </row>
    <row r="85" spans="2:6" x14ac:dyDescent="0.35">
      <c r="B85" s="10">
        <v>2013</v>
      </c>
      <c r="C85" s="11">
        <v>21733458</v>
      </c>
      <c r="E85" s="17">
        <v>305815929</v>
      </c>
    </row>
    <row r="86" spans="2:6" x14ac:dyDescent="0.35">
      <c r="B86" s="10">
        <v>2014</v>
      </c>
      <c r="C86" s="11">
        <v>22889972</v>
      </c>
    </row>
    <row r="87" spans="2:6" x14ac:dyDescent="0.35">
      <c r="B87" s="10">
        <v>2015</v>
      </c>
      <c r="C87" s="11">
        <v>24007724</v>
      </c>
    </row>
    <row r="88" spans="2:6" x14ac:dyDescent="0.35">
      <c r="B88" s="10">
        <v>2016</v>
      </c>
      <c r="C88" s="11">
        <v>25211901</v>
      </c>
    </row>
    <row r="89" spans="2:6" x14ac:dyDescent="0.35">
      <c r="B89" s="10">
        <v>2017</v>
      </c>
      <c r="C89" s="11">
        <v>26446174</v>
      </c>
    </row>
    <row r="90" spans="2:6" x14ac:dyDescent="0.35">
      <c r="B90" s="10">
        <v>2018</v>
      </c>
      <c r="C90" s="11">
        <v>27786420</v>
      </c>
    </row>
    <row r="91" spans="2:6" x14ac:dyDescent="0.35">
      <c r="B91" s="10">
        <v>2019</v>
      </c>
      <c r="C91" s="11">
        <v>29193722</v>
      </c>
    </row>
    <row r="92" spans="2:6" x14ac:dyDescent="0.35">
      <c r="B92" s="10">
        <v>2020</v>
      </c>
      <c r="C92" s="11">
        <v>28490953</v>
      </c>
    </row>
    <row r="93" spans="2:6" x14ac:dyDescent="0.35">
      <c r="B93" s="10">
        <v>2021</v>
      </c>
      <c r="C93" s="11">
        <v>29361672</v>
      </c>
    </row>
    <row r="94" spans="2:6" x14ac:dyDescent="0.35">
      <c r="B94" s="10">
        <v>2022</v>
      </c>
      <c r="C94" s="11">
        <v>30800705</v>
      </c>
    </row>
    <row r="95" spans="2:6" x14ac:dyDescent="0.35">
      <c r="B95" s="10" t="s">
        <v>24</v>
      </c>
      <c r="C95" s="11">
        <v>305815929</v>
      </c>
    </row>
    <row r="99" spans="2:5" x14ac:dyDescent="0.35">
      <c r="B99" s="9" t="s">
        <v>0</v>
      </c>
      <c r="C99" t="s">
        <v>43</v>
      </c>
    </row>
    <row r="101" spans="2:5" x14ac:dyDescent="0.35">
      <c r="B101" t="s">
        <v>41</v>
      </c>
    </row>
    <row r="102" spans="2:5" x14ac:dyDescent="0.35">
      <c r="B102" s="18">
        <v>59.67</v>
      </c>
      <c r="D102">
        <f>$B$102</f>
        <v>59.67</v>
      </c>
      <c r="E102">
        <f>100-D102</f>
        <v>40.33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E Q Y V 1 q x + l O l A A A A 9 g A A A B I A H A B D b 2 5 m a W c v U G F j a 2 F n Z S 5 4 b W w g o h g A K K A U A A A A A A A A A A A A A A A A A A A A A A A A A A A A h Y + 9 D o I w G E V f h X S n P 8 i g 5 K M M u p h I Y m J i X J t S o R G K o c X y b g 4 + k q 8 g R l E 3 x 3 v u G e 6 9 X 2 + Q D U 0 d X F R n d W t S x D B F g T K y L b Q p U 9 S 7 Y z h H G Y e t k C d R q m C U j U 0 G W 6 S o c u 6 c E O K 9 x 3 6 G 2 6 4 k E a W M H P L N T l a q E e g j 6 / 9 y q I 1 1 w k i F O O x f Y 3 i E G V v g m M a Y A p k g 5 N p 8 h W j c + 2 x / I C z 7 2 v W d 4 s q E 6 x W Q K Q J 5 f + A P U E s D B B Q A A g A I A O h E G 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R B h X K I p H u A 4 A A A A R A A A A E w A c A E Z v c m 1 1 b G F z L 1 N l Y 3 R p b 2 4 x L m 0 g o h g A K K A U A A A A A A A A A A A A A A A A A A A A A A A A A A A A K 0 5 N L s n M z 1 M I h t C G 1 g B Q S w E C L Q A U A A I A C A D o R B h X W r H 6 U 6 U A A A D 2 A A A A E g A A A A A A A A A A A A A A A A A A A A A A Q 2 9 u Z m l n L 1 B h Y 2 t h Z 2 U u e G 1 s U E s B A i 0 A F A A C A A g A 6 E Q Y V w / K 6 a u k A A A A 6 Q A A A B M A A A A A A A A A A A A A A A A A 8 Q A A A F t D b 2 5 0 Z W 5 0 X 1 R 5 c G V z X S 5 4 b W x Q S w E C L Q A U A A I A C A D o R B h 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N W B z 9 T z z k G J z 4 f f 5 t i Y k w A A A A A C A A A A A A A Q Z g A A A A E A A C A A A A B r i K T l d c G A x M U G s K 1 d p 2 s 3 0 q u + f N 5 Q D 9 v A y M E E T p V u G Q A A A A A O g A A A A A I A A C A A A A C Y h 5 a r z y F 3 J d e 8 F O N B 3 e v h L l c Q r F s x A S T x S b A h 0 j 9 j 0 1 A A A A A Z X B T j q c 3 6 T Y w p P 0 L n 1 I 7 i W s B E d u v k c g o r G g C F M t T Q N U S V P V t G N K Z W 4 i P b y v J I g r 4 T U A B X o v n 1 3 3 G W I H 4 K W V m r s B y 5 N X j 0 a i X 6 J c P O O k x G r k A A A A A T G 9 G j A E y q p b j U n g 3 8 O h z R 3 9 V B v r b I 1 l F Z W d j J / 1 3 P B 4 w Z G J u 0 G I l P 6 z F I x u S / R W M Q Z 5 M U I O N y M U s w r g 4 1 5 S 4 x < / D a t a M a s h u p > 
</file>

<file path=customXml/itemProps1.xml><?xml version="1.0" encoding="utf-8"?>
<ds:datastoreItem xmlns:ds="http://schemas.openxmlformats.org/officeDocument/2006/customXml" ds:itemID="{7A1940CA-6115-4D82-A10C-D3CD997A62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1</vt:lpstr>
      <vt:lpstr>Data 2</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ZULFA SALSABILA</cp:lastModifiedBy>
  <dcterms:created xsi:type="dcterms:W3CDTF">2023-08-18T07:55:41Z</dcterms:created>
  <dcterms:modified xsi:type="dcterms:W3CDTF">2023-10-26T00:16:13Z</dcterms:modified>
</cp:coreProperties>
</file>