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zumbaugh/Documents/Teaching/ASI 561/Fall 21 Sheep Digestibility/ASI561_data_analysis/"/>
    </mc:Choice>
  </mc:AlternateContent>
  <xr:revisionPtr revIDLastSave="0" documentId="13_ncr:1_{218FA3DA-10CB-3649-9166-6F69716ACE62}" xr6:coauthVersionLast="47" xr6:coauthVersionMax="47" xr10:uidLastSave="{00000000-0000-0000-0000-000000000000}"/>
  <bookViews>
    <workbookView xWindow="-28560" yWindow="2140" windowWidth="28800" windowHeight="16280" activeTab="2" xr2:uid="{E3DB610F-D30C-544E-BC15-48F405FCA2E1}"/>
  </bookViews>
  <sheets>
    <sheet name="Fecal" sheetId="1" r:id="rId1"/>
    <sheet name="Feed" sheetId="2" r:id="rId2"/>
    <sheet name="Pivot" sheetId="4" r:id="rId3"/>
    <sheet name="Digestibility" sheetId="3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S5" i="2"/>
  <c r="S2" i="2"/>
  <c r="Q5" i="2"/>
  <c r="Q2" i="2"/>
  <c r="O5" i="2"/>
  <c r="O2" i="2"/>
  <c r="M5" i="2"/>
  <c r="M2" i="2"/>
  <c r="L3" i="2"/>
  <c r="P3" i="2" s="1"/>
  <c r="U3" i="2" s="1"/>
  <c r="L4" i="2"/>
  <c r="P4" i="2" s="1"/>
  <c r="U4" i="2" s="1"/>
  <c r="L5" i="2"/>
  <c r="T5" i="2" s="1"/>
  <c r="L2" i="2"/>
  <c r="T2" i="2" s="1"/>
  <c r="I3" i="2"/>
  <c r="I4" i="2"/>
  <c r="I5" i="2"/>
  <c r="R5" i="2" s="1"/>
  <c r="I2" i="2"/>
  <c r="R2" i="2" s="1"/>
  <c r="N5" i="1"/>
  <c r="N23" i="1"/>
  <c r="K2" i="1"/>
  <c r="K15" i="1"/>
  <c r="K20" i="1"/>
  <c r="K21" i="1"/>
  <c r="K3" i="1"/>
  <c r="K8" i="1"/>
  <c r="K4" i="1"/>
  <c r="K5" i="1"/>
  <c r="K16" i="1"/>
  <c r="K9" i="1"/>
  <c r="K22" i="1"/>
  <c r="S22" i="1" s="1"/>
  <c r="K10" i="1"/>
  <c r="K11" i="1"/>
  <c r="K17" i="1"/>
  <c r="K12" i="1"/>
  <c r="K23" i="1"/>
  <c r="K6" i="1"/>
  <c r="K13" i="1"/>
  <c r="K18" i="1"/>
  <c r="K24" i="1"/>
  <c r="K19" i="1"/>
  <c r="K7" i="1"/>
  <c r="K25" i="1"/>
  <c r="K14" i="1"/>
  <c r="L2" i="1"/>
  <c r="R2" i="1" s="1"/>
  <c r="L15" i="1"/>
  <c r="R15" i="1" s="1"/>
  <c r="L20" i="1"/>
  <c r="R20" i="1" s="1"/>
  <c r="L21" i="1"/>
  <c r="R21" i="1" s="1"/>
  <c r="L3" i="1"/>
  <c r="R3" i="1" s="1"/>
  <c r="L8" i="1"/>
  <c r="R8" i="1" s="1"/>
  <c r="L4" i="1"/>
  <c r="R4" i="1" s="1"/>
  <c r="L5" i="1"/>
  <c r="M5" i="1" s="1"/>
  <c r="L16" i="1"/>
  <c r="R16" i="1" s="1"/>
  <c r="L9" i="1"/>
  <c r="R9" i="1" s="1"/>
  <c r="L22" i="1"/>
  <c r="R22" i="1" s="1"/>
  <c r="L10" i="1"/>
  <c r="R10" i="1" s="1"/>
  <c r="L11" i="1"/>
  <c r="R11" i="1" s="1"/>
  <c r="L17" i="1"/>
  <c r="R17" i="1" s="1"/>
  <c r="L12" i="1"/>
  <c r="R12" i="1" s="1"/>
  <c r="L23" i="1"/>
  <c r="L6" i="1"/>
  <c r="R6" i="1" s="1"/>
  <c r="L13" i="1"/>
  <c r="R13" i="1" s="1"/>
  <c r="L18" i="1"/>
  <c r="R18" i="1" s="1"/>
  <c r="L24" i="1"/>
  <c r="R24" i="1" s="1"/>
  <c r="L19" i="1"/>
  <c r="R19" i="1" s="1"/>
  <c r="L7" i="1"/>
  <c r="R7" i="1" s="1"/>
  <c r="L25" i="1"/>
  <c r="R25" i="1" s="1"/>
  <c r="L14" i="1"/>
  <c r="N14" i="1" s="1"/>
  <c r="E31" i="4"/>
  <c r="E30" i="4"/>
  <c r="E29" i="4"/>
  <c r="E28" i="4"/>
  <c r="E27" i="4"/>
  <c r="D31" i="4"/>
  <c r="D30" i="4"/>
  <c r="D29" i="4"/>
  <c r="D28" i="4"/>
  <c r="D27" i="4"/>
  <c r="C31" i="4"/>
  <c r="C30" i="4"/>
  <c r="C29" i="4"/>
  <c r="C28" i="4"/>
  <c r="C27" i="4"/>
  <c r="F31" i="4"/>
  <c r="F29" i="4"/>
  <c r="F30" i="4"/>
  <c r="F28" i="4"/>
  <c r="F27" i="4"/>
  <c r="B31" i="4"/>
  <c r="B30" i="4"/>
  <c r="B29" i="4"/>
  <c r="B28" i="4"/>
  <c r="B27" i="4"/>
  <c r="E3" i="3" l="1"/>
  <c r="C3" i="3"/>
  <c r="F4" i="3"/>
  <c r="D4" i="3"/>
  <c r="E6" i="3"/>
  <c r="D6" i="3"/>
  <c r="F7" i="3"/>
  <c r="D7" i="3"/>
  <c r="D2" i="3"/>
  <c r="G21" i="3"/>
  <c r="F21" i="3"/>
  <c r="G22" i="3"/>
  <c r="F22" i="3"/>
  <c r="E22" i="3"/>
  <c r="D22" i="3"/>
  <c r="D23" i="3"/>
  <c r="C23" i="3"/>
  <c r="G24" i="3"/>
  <c r="F24" i="3"/>
  <c r="G20" i="3"/>
  <c r="T3" i="2"/>
  <c r="S24" i="1"/>
  <c r="E24" i="3" s="1"/>
  <c r="S13" i="1"/>
  <c r="S9" i="1"/>
  <c r="S15" i="1"/>
  <c r="M4" i="2"/>
  <c r="O4" i="2"/>
  <c r="Q4" i="2"/>
  <c r="S4" i="2"/>
  <c r="S8" i="1"/>
  <c r="R4" i="2"/>
  <c r="S19" i="1"/>
  <c r="R3" i="2"/>
  <c r="S6" i="1"/>
  <c r="G6" i="3" s="1"/>
  <c r="S16" i="1"/>
  <c r="S2" i="1"/>
  <c r="G2" i="3" s="1"/>
  <c r="M3" i="2"/>
  <c r="O3" i="2"/>
  <c r="Q3" i="2"/>
  <c r="S3" i="2"/>
  <c r="S17" i="1"/>
  <c r="N4" i="2"/>
  <c r="T4" i="2"/>
  <c r="S11" i="1"/>
  <c r="N3" i="2"/>
  <c r="S10" i="1"/>
  <c r="S18" i="1"/>
  <c r="M21" i="1"/>
  <c r="N2" i="2"/>
  <c r="P2" i="2"/>
  <c r="U2" i="2" s="1"/>
  <c r="S7" i="1"/>
  <c r="C7" i="3" s="1"/>
  <c r="S3" i="1"/>
  <c r="G3" i="3" s="1"/>
  <c r="S21" i="1"/>
  <c r="E21" i="3" s="1"/>
  <c r="S20" i="1"/>
  <c r="F20" i="3" s="1"/>
  <c r="S25" i="1"/>
  <c r="E25" i="3" s="1"/>
  <c r="S12" i="1"/>
  <c r="S4" i="1"/>
  <c r="G4" i="3" s="1"/>
  <c r="N5" i="2"/>
  <c r="P5" i="2"/>
  <c r="U5" i="2" s="1"/>
  <c r="Q14" i="1"/>
  <c r="P14" i="1"/>
  <c r="T14" i="1" s="1"/>
  <c r="R14" i="1"/>
  <c r="Q23" i="1"/>
  <c r="E23" i="3" s="1"/>
  <c r="P23" i="1"/>
  <c r="T23" i="1" s="1"/>
  <c r="O23" i="1"/>
  <c r="R23" i="1"/>
  <c r="O14" i="1"/>
  <c r="Q5" i="1"/>
  <c r="P5" i="1"/>
  <c r="T5" i="1" s="1"/>
  <c r="O5" i="1"/>
  <c r="R5" i="1"/>
  <c r="S5" i="1"/>
  <c r="D5" i="3" s="1"/>
  <c r="M14" i="1"/>
  <c r="S14" i="1"/>
  <c r="S23" i="1"/>
  <c r="G23" i="3" s="1"/>
  <c r="M23" i="1"/>
  <c r="M25" i="1"/>
  <c r="M12" i="1"/>
  <c r="M4" i="1"/>
  <c r="C4" i="3" s="1"/>
  <c r="N25" i="1"/>
  <c r="N12" i="1"/>
  <c r="N4" i="1"/>
  <c r="O25" i="1"/>
  <c r="O12" i="1"/>
  <c r="O4" i="1"/>
  <c r="P25" i="1"/>
  <c r="T25" i="1" s="1"/>
  <c r="P12" i="1"/>
  <c r="T12" i="1" s="1"/>
  <c r="P4" i="1"/>
  <c r="T4" i="1" s="1"/>
  <c r="Q25" i="1"/>
  <c r="Q12" i="1"/>
  <c r="Q4" i="1"/>
  <c r="E4" i="3" s="1"/>
  <c r="M7" i="1"/>
  <c r="M17" i="1"/>
  <c r="M8" i="1"/>
  <c r="N7" i="1"/>
  <c r="N17" i="1"/>
  <c r="N8" i="1"/>
  <c r="O7" i="1"/>
  <c r="O17" i="1"/>
  <c r="O8" i="1"/>
  <c r="P7" i="1"/>
  <c r="T7" i="1" s="1"/>
  <c r="G7" i="3" s="1"/>
  <c r="P17" i="1"/>
  <c r="T17" i="1" s="1"/>
  <c r="P8" i="1"/>
  <c r="T8" i="1" s="1"/>
  <c r="Q7" i="1"/>
  <c r="E7" i="3" s="1"/>
  <c r="Q17" i="1"/>
  <c r="Q8" i="1"/>
  <c r="M19" i="1"/>
  <c r="M11" i="1"/>
  <c r="M3" i="1"/>
  <c r="N19" i="1"/>
  <c r="N11" i="1"/>
  <c r="N3" i="1"/>
  <c r="D3" i="3" s="1"/>
  <c r="O19" i="1"/>
  <c r="O11" i="1"/>
  <c r="O3" i="1"/>
  <c r="P19" i="1"/>
  <c r="T19" i="1" s="1"/>
  <c r="P11" i="1"/>
  <c r="T11" i="1" s="1"/>
  <c r="P3" i="1"/>
  <c r="T3" i="1" s="1"/>
  <c r="Q19" i="1"/>
  <c r="Q11" i="1"/>
  <c r="Q3" i="1"/>
  <c r="M24" i="1"/>
  <c r="M10" i="1"/>
  <c r="N24" i="1"/>
  <c r="N10" i="1"/>
  <c r="N21" i="1"/>
  <c r="O24" i="1"/>
  <c r="O10" i="1"/>
  <c r="O21" i="1"/>
  <c r="P24" i="1"/>
  <c r="T24" i="1" s="1"/>
  <c r="P10" i="1"/>
  <c r="T10" i="1" s="1"/>
  <c r="P21" i="1"/>
  <c r="T21" i="1" s="1"/>
  <c r="Q24" i="1"/>
  <c r="Q10" i="1"/>
  <c r="Q21" i="1"/>
  <c r="M18" i="1"/>
  <c r="M22" i="1"/>
  <c r="C22" i="3" s="1"/>
  <c r="M20" i="1"/>
  <c r="N18" i="1"/>
  <c r="N22" i="1"/>
  <c r="N20" i="1"/>
  <c r="O18" i="1"/>
  <c r="O22" i="1"/>
  <c r="O20" i="1"/>
  <c r="P18" i="1"/>
  <c r="T18" i="1" s="1"/>
  <c r="P22" i="1"/>
  <c r="T22" i="1" s="1"/>
  <c r="P20" i="1"/>
  <c r="T20" i="1" s="1"/>
  <c r="Q18" i="1"/>
  <c r="Q22" i="1"/>
  <c r="Q20" i="1"/>
  <c r="M13" i="1"/>
  <c r="M9" i="1"/>
  <c r="M15" i="1"/>
  <c r="N13" i="1"/>
  <c r="N9" i="1"/>
  <c r="N15" i="1"/>
  <c r="O13" i="1"/>
  <c r="O9" i="1"/>
  <c r="O15" i="1"/>
  <c r="P13" i="1"/>
  <c r="T13" i="1" s="1"/>
  <c r="P9" i="1"/>
  <c r="T9" i="1" s="1"/>
  <c r="P15" i="1"/>
  <c r="T15" i="1" s="1"/>
  <c r="Q13" i="1"/>
  <c r="Q9" i="1"/>
  <c r="Q15" i="1"/>
  <c r="M6" i="1"/>
  <c r="M16" i="1"/>
  <c r="M2" i="1"/>
  <c r="C2" i="3" s="1"/>
  <c r="N6" i="1"/>
  <c r="N16" i="1"/>
  <c r="N2" i="1"/>
  <c r="O6" i="1"/>
  <c r="O16" i="1"/>
  <c r="O2" i="1"/>
  <c r="P6" i="1"/>
  <c r="T6" i="1" s="1"/>
  <c r="P16" i="1"/>
  <c r="T16" i="1" s="1"/>
  <c r="P2" i="1"/>
  <c r="T2" i="1" s="1"/>
  <c r="Q6" i="1"/>
  <c r="Q16" i="1"/>
  <c r="Q2" i="1"/>
  <c r="C25" i="3" l="1"/>
  <c r="E2" i="3"/>
  <c r="F3" i="3"/>
  <c r="E5" i="3"/>
  <c r="G17" i="3"/>
  <c r="F17" i="3"/>
  <c r="E17" i="3"/>
  <c r="D17" i="3"/>
  <c r="C17" i="3"/>
  <c r="G18" i="3"/>
  <c r="F18" i="3"/>
  <c r="E18" i="3"/>
  <c r="D18" i="3"/>
  <c r="C18" i="3"/>
  <c r="G19" i="3"/>
  <c r="F19" i="3"/>
  <c r="E19" i="3"/>
  <c r="D19" i="3"/>
  <c r="C19" i="3"/>
  <c r="G14" i="3"/>
  <c r="F14" i="3"/>
  <c r="E14" i="3"/>
  <c r="D14" i="3"/>
  <c r="C14" i="3"/>
  <c r="G15" i="3"/>
  <c r="F15" i="3"/>
  <c r="E15" i="3"/>
  <c r="D15" i="3"/>
  <c r="C15" i="3"/>
  <c r="G16" i="3"/>
  <c r="F16" i="3"/>
  <c r="E16" i="3"/>
  <c r="D16" i="3"/>
  <c r="C16" i="3"/>
  <c r="F25" i="3"/>
  <c r="G5" i="3"/>
  <c r="C5" i="3"/>
  <c r="D25" i="3"/>
  <c r="C20" i="3"/>
  <c r="F5" i="3"/>
  <c r="G25" i="3"/>
  <c r="D20" i="3"/>
  <c r="C24" i="3"/>
  <c r="F23" i="3"/>
  <c r="C21" i="3"/>
  <c r="F2" i="3"/>
  <c r="E20" i="3"/>
  <c r="D24" i="3"/>
  <c r="D21" i="3"/>
  <c r="F6" i="3"/>
  <c r="C6" i="3"/>
  <c r="G13" i="3"/>
  <c r="F13" i="3"/>
  <c r="E13" i="3"/>
  <c r="D13" i="3"/>
  <c r="C13" i="3"/>
  <c r="E9" i="3"/>
  <c r="G8" i="3"/>
  <c r="F8" i="3"/>
  <c r="E8" i="3"/>
  <c r="D8" i="3"/>
  <c r="C8" i="3"/>
  <c r="F9" i="3"/>
  <c r="D9" i="3"/>
  <c r="C10" i="3"/>
  <c r="G9" i="3"/>
  <c r="C9" i="3"/>
  <c r="G10" i="3"/>
  <c r="F10" i="3"/>
  <c r="E10" i="3"/>
  <c r="D10" i="3"/>
  <c r="G11" i="3"/>
  <c r="F11" i="3"/>
  <c r="E11" i="3"/>
  <c r="D11" i="3"/>
  <c r="C11" i="3"/>
  <c r="G12" i="3"/>
  <c r="F12" i="3"/>
  <c r="E12" i="3"/>
  <c r="D12" i="3"/>
  <c r="C12" i="3"/>
</calcChain>
</file>

<file path=xl/sharedStrings.xml><?xml version="1.0" encoding="utf-8"?>
<sst xmlns="http://schemas.openxmlformats.org/spreadsheetml/2006/main" count="106" uniqueCount="64">
  <si>
    <t>Pen</t>
  </si>
  <si>
    <t>Treatment</t>
  </si>
  <si>
    <t>C</t>
  </si>
  <si>
    <t>A</t>
  </si>
  <si>
    <t>D</t>
  </si>
  <si>
    <t>B</t>
  </si>
  <si>
    <t>Moisture</t>
  </si>
  <si>
    <t>CP, AF</t>
  </si>
  <si>
    <t>Fat, AF</t>
  </si>
  <si>
    <t>Fiber, AF</t>
  </si>
  <si>
    <t>Ash, AF</t>
  </si>
  <si>
    <t>NDF, AF</t>
  </si>
  <si>
    <t>ADF, AF</t>
  </si>
  <si>
    <t>Ti, ppm AF</t>
  </si>
  <si>
    <t>5A</t>
  </si>
  <si>
    <t>6B</t>
  </si>
  <si>
    <t xml:space="preserve">7C </t>
  </si>
  <si>
    <t>8D</t>
  </si>
  <si>
    <t>Starch, AF</t>
  </si>
  <si>
    <t>DM, %</t>
  </si>
  <si>
    <t>CP, DM</t>
  </si>
  <si>
    <t>Fat, DM</t>
  </si>
  <si>
    <t>Fiber, DM</t>
  </si>
  <si>
    <t>Ash, DM</t>
  </si>
  <si>
    <t>NDF, DM</t>
  </si>
  <si>
    <t>ADF, DM</t>
  </si>
  <si>
    <t>Ti, DM</t>
  </si>
  <si>
    <t>Ti, % AF</t>
  </si>
  <si>
    <t>Trt</t>
  </si>
  <si>
    <t>Starch, DM</t>
  </si>
  <si>
    <t>CP_dig</t>
  </si>
  <si>
    <t>Fat_dig</t>
  </si>
  <si>
    <t>NDF_dig</t>
  </si>
  <si>
    <t>ADF_dig</t>
  </si>
  <si>
    <t>OM_dig</t>
  </si>
  <si>
    <t>OM, DM</t>
  </si>
  <si>
    <t>Column Labels</t>
  </si>
  <si>
    <t>Grand Total</t>
  </si>
  <si>
    <t>Values</t>
  </si>
  <si>
    <t>Average of CP_dig</t>
  </si>
  <si>
    <t>Average of Fat_dig</t>
  </si>
  <si>
    <t>Average of NDF_dig</t>
  </si>
  <si>
    <t>Average of ADF_dig</t>
  </si>
  <si>
    <t>Average of OM_dig</t>
  </si>
  <si>
    <t>Max of CP_dig</t>
  </si>
  <si>
    <t>Max of ADF_dig</t>
  </si>
  <si>
    <t>Max of Fat_dig</t>
  </si>
  <si>
    <t>Max of NDF_dig</t>
  </si>
  <si>
    <t>Max of OM_dig</t>
  </si>
  <si>
    <t>Min of CP_dig</t>
  </si>
  <si>
    <t>Min of Fat_dig</t>
  </si>
  <si>
    <t>Min of NDF_dig</t>
  </si>
  <si>
    <t>Min of OM_dig</t>
  </si>
  <si>
    <t>Min of ADF_dig</t>
  </si>
  <si>
    <t>StdDev of CP_dig</t>
  </si>
  <si>
    <t>StdDev of NDF_dig</t>
  </si>
  <si>
    <t>StdDev of OM_dig</t>
  </si>
  <si>
    <t>StdDev of Fat_dig</t>
  </si>
  <si>
    <t>StdDev of ADF_dig</t>
  </si>
  <si>
    <t>CV CP</t>
  </si>
  <si>
    <t>CV Fat</t>
  </si>
  <si>
    <t>CV NDF</t>
  </si>
  <si>
    <t>CV ADF</t>
  </si>
  <si>
    <t>CV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</si>
</sst>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7" fontId="0" fillId="0" borderId="0" xfId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/>
    <xf numFmtId="4" fontId="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/>
    <xf numFmtId="39" fontId="0" fillId="0" borderId="0" xfId="1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0" xfId="0" applyNumberFormat="1" applyBorder="1"/>
    <xf numFmtId="2" fontId="0" fillId="0" borderId="2" xfId="0" applyNumberFormat="1" applyBorder="1"/>
  </cellXfs>
  <cellStyles count="2">
    <cellStyle name="Comma" xfId="1" builtinId="3"/>
    <cellStyle name="Normal" xfId="0" builtinId="0"/>
  </cellStyles>
  <dxfs count="9">
    <dxf>
      <numFmt numFmtId="165" formatCode="0.000"/>
    </dxf>
    <dxf>
      <numFmt numFmtId="2" formatCode="0.00"/>
    </dxf>
    <dxf>
      <numFmt numFmtId="164" formatCode="0.0000"/>
    </dxf>
    <dxf>
      <numFmt numFmtId="166" formatCode="0.00000"/>
    </dxf>
    <dxf>
      <numFmt numFmtId="167" formatCode="0.000000"/>
    </dxf>
    <dxf>
      <numFmt numFmtId="168" formatCode="0.00000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2.412699652778" createdVersion="7" refreshedVersion="7" minRefreshableVersion="3" recordCount="24" xr:uid="{6403858A-A46C-2548-BCA0-89C5C1054731}">
  <cacheSource type="worksheet">
    <worksheetSource ref="A1:G25" sheet="Digestibility"/>
  </cacheSource>
  <cacheFields count="7">
    <cacheField name="Pen" numFmtId="0">
      <sharedItems containsSemiMixedTypes="0" containsString="0" containsNumber="1" containsInteger="1" minValue="1" maxValue="24"/>
    </cacheField>
    <cacheField name="Treatment" numFmtId="0">
      <sharedItems count="4">
        <s v="A"/>
        <s v="B"/>
        <s v="C"/>
        <s v="D"/>
      </sharedItems>
    </cacheField>
    <cacheField name="CP_dig" numFmtId="2">
      <sharedItems containsSemiMixedTypes="0" containsString="0" containsNumber="1" minValue="65.580318520896469" maxValue="75.507280131937662" count="24">
        <n v="72.966939760832901"/>
        <n v="74.321539096348261"/>
        <n v="74.289763459610782"/>
        <n v="72.041632196442677"/>
        <n v="75.073057001081878"/>
        <n v="74.293957169936988"/>
        <n v="69.366819291704445"/>
        <n v="68.893228952368403"/>
        <n v="73.051440390151441"/>
        <n v="71.405057830521159"/>
        <n v="71.780460860785269"/>
        <n v="75.507280131937662"/>
        <n v="71.640274966074173"/>
        <n v="71.149393795621251"/>
        <n v="65.580318520896469"/>
        <n v="72.031929717409469"/>
        <n v="75.362385727577504"/>
        <n v="69.641140630171606"/>
        <n v="70.740872620234526"/>
        <n v="72.478453825298004"/>
        <n v="68.976896127260673"/>
        <n v="71.653544969077828"/>
        <n v="73.156637470139913"/>
        <n v="73.357691396867281"/>
      </sharedItems>
    </cacheField>
    <cacheField name="Fat_dig" numFmtId="2">
      <sharedItems containsSemiMixedTypes="0" containsString="0" containsNumber="1" minValue="27.225892559225883" maxValue="83.305449936628648" count="24">
        <n v="79.087767223360444"/>
        <n v="76.165826843792942"/>
        <n v="80.250681521867961"/>
        <n v="81.375761876930781"/>
        <n v="59.318007971335398"/>
        <n v="51.086338300534635"/>
        <n v="69.939577039274923"/>
        <n v="77.271985642029705"/>
        <n v="62.794542560917201"/>
        <n v="64.352457032195588"/>
        <n v="38.017909398038249"/>
        <n v="27.225892559225883"/>
        <n v="58.41012658227848"/>
        <n v="83.305449936628648"/>
        <n v="78.922600619195052"/>
        <n v="46.352128883774448"/>
        <n v="60.512605042016801"/>
        <n v="60.54641909814324"/>
        <n v="79.500891265597147"/>
        <n v="74.21398976358762"/>
        <n v="67.877094972067027"/>
        <n v="45.5790784557908"/>
        <n v="42.932682529997969"/>
        <n v="46.412629286880787"/>
      </sharedItems>
    </cacheField>
    <cacheField name="NDF_dig" numFmtId="2">
      <sharedItems containsSemiMixedTypes="0" containsString="0" containsNumber="1" minValue="7.435334065714585" maxValue="59.846312939811497" count="24">
        <n v="41.024846232331981"/>
        <n v="49.853979284410521"/>
        <n v="45.10219235605728"/>
        <n v="40.344086064604561"/>
        <n v="43.612306705140419"/>
        <n v="49.201165713744821"/>
        <n v="27.339812791322629"/>
        <n v="27.346052903037062"/>
        <n v="41.607631549005632"/>
        <n v="37.880920093135103"/>
        <n v="59.846312939811497"/>
        <n v="49.776847748139609"/>
        <n v="29.381720430107521"/>
        <n v="29.48130885699878"/>
        <n v="7.435334065714585"/>
        <n v="41.535815484365905"/>
        <n v="40.66735565193818"/>
        <n v="28.212971677932742"/>
        <n v="23.371732799079879"/>
        <n v="27.012647290331358"/>
        <n v="22.422829800091236"/>
        <n v="31.371594929609998"/>
        <n v="38.959262386970273"/>
        <n v="32.18966041427079"/>
      </sharedItems>
    </cacheField>
    <cacheField name="ADF_dig" numFmtId="2">
      <sharedItems containsSemiMixedTypes="0" containsString="0" containsNumber="1" minValue="8.4915621253064728" maxValue="62.855483032291588" count="24">
        <n v="40.044797494215011"/>
        <n v="49.665766318126821"/>
        <n v="43.200218951291916"/>
        <n v="36.313588629176706"/>
        <n v="38.238275339291711"/>
        <n v="44.838675165316289"/>
        <n v="20.538100893192151"/>
        <n v="24.008528544112082"/>
        <n v="37.559273034955659"/>
        <n v="30.021172788364154"/>
        <n v="62.855483032291588"/>
        <n v="48.00671349967125"/>
        <n v="29.214409404648677"/>
        <n v="28.401845217599416"/>
        <n v="8.4915621253064728"/>
        <n v="41.04755759837343"/>
        <n v="43.491442819902517"/>
        <n v="26.591128624216125"/>
        <n v="26.783741665680353"/>
        <n v="31.878469206660867"/>
        <n v="24.876891704041739"/>
        <n v="34.310303498032624"/>
        <n v="47.519194210752964"/>
        <n v="35.324421579376462"/>
      </sharedItems>
    </cacheField>
    <cacheField name="OM_dig" numFmtId="2">
      <sharedItems containsSemiMixedTypes="0" containsString="0" containsNumber="1" minValue="65.061989686658166" maxValue="80.726321635715749" count="24">
        <n v="73.552542466586488"/>
        <n v="77.034322542470321"/>
        <n v="75.200443293489684"/>
        <n v="73.41676997053159"/>
        <n v="74.624374227895544"/>
        <n v="76.683717214151486"/>
        <n v="69.323584765489571"/>
        <n v="69.754853365021631"/>
        <n v="74.812389679846945"/>
        <n v="73.373107481111333"/>
        <n v="80.726321635715749"/>
        <n v="78.347551724600905"/>
        <n v="71.099874518976478"/>
        <n v="70.677100537984842"/>
        <n v="65.061989686658166"/>
        <n v="74.619302080723259"/>
        <n v="76.417790495686077"/>
        <n v="69.687557793308855"/>
        <n v="67.501095887855683"/>
        <n v="70.115619721508921"/>
        <n v="67.302693537975244"/>
        <n v="70.689824368385487"/>
        <n v="75.189828298603786"/>
        <n v="71.98293018107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2"/>
    <x v="0"/>
    <x v="0"/>
    <x v="0"/>
    <x v="0"/>
    <x v="0"/>
    <x v="0"/>
  </r>
  <r>
    <n v="6"/>
    <x v="0"/>
    <x v="1"/>
    <x v="1"/>
    <x v="1"/>
    <x v="1"/>
    <x v="1"/>
  </r>
  <r>
    <n v="8"/>
    <x v="0"/>
    <x v="2"/>
    <x v="2"/>
    <x v="2"/>
    <x v="2"/>
    <x v="2"/>
  </r>
  <r>
    <n v="9"/>
    <x v="0"/>
    <x v="3"/>
    <x v="3"/>
    <x v="3"/>
    <x v="3"/>
    <x v="3"/>
  </r>
  <r>
    <n v="18"/>
    <x v="0"/>
    <x v="4"/>
    <x v="4"/>
    <x v="4"/>
    <x v="4"/>
    <x v="4"/>
  </r>
  <r>
    <n v="23"/>
    <x v="0"/>
    <x v="5"/>
    <x v="5"/>
    <x v="5"/>
    <x v="5"/>
    <x v="5"/>
  </r>
  <r>
    <n v="7"/>
    <x v="1"/>
    <x v="6"/>
    <x v="6"/>
    <x v="6"/>
    <x v="6"/>
    <x v="6"/>
  </r>
  <r>
    <n v="11"/>
    <x v="1"/>
    <x v="7"/>
    <x v="7"/>
    <x v="7"/>
    <x v="7"/>
    <x v="7"/>
  </r>
  <r>
    <n v="13"/>
    <x v="1"/>
    <x v="8"/>
    <x v="8"/>
    <x v="8"/>
    <x v="8"/>
    <x v="8"/>
  </r>
  <r>
    <n v="14"/>
    <x v="1"/>
    <x v="9"/>
    <x v="9"/>
    <x v="9"/>
    <x v="9"/>
    <x v="9"/>
  </r>
  <r>
    <n v="16"/>
    <x v="1"/>
    <x v="10"/>
    <x v="10"/>
    <x v="10"/>
    <x v="10"/>
    <x v="10"/>
  </r>
  <r>
    <n v="19"/>
    <x v="1"/>
    <x v="11"/>
    <x v="11"/>
    <x v="11"/>
    <x v="11"/>
    <x v="11"/>
  </r>
  <r>
    <n v="1"/>
    <x v="2"/>
    <x v="12"/>
    <x v="12"/>
    <x v="12"/>
    <x v="12"/>
    <x v="12"/>
  </r>
  <r>
    <n v="3"/>
    <x v="2"/>
    <x v="13"/>
    <x v="13"/>
    <x v="13"/>
    <x v="13"/>
    <x v="13"/>
  </r>
  <r>
    <n v="10"/>
    <x v="2"/>
    <x v="14"/>
    <x v="14"/>
    <x v="14"/>
    <x v="14"/>
    <x v="14"/>
  </r>
  <r>
    <n v="15"/>
    <x v="2"/>
    <x v="15"/>
    <x v="15"/>
    <x v="15"/>
    <x v="15"/>
    <x v="15"/>
  </r>
  <r>
    <n v="20"/>
    <x v="2"/>
    <x v="16"/>
    <x v="16"/>
    <x v="16"/>
    <x v="16"/>
    <x v="16"/>
  </r>
  <r>
    <n v="22"/>
    <x v="2"/>
    <x v="17"/>
    <x v="17"/>
    <x v="17"/>
    <x v="17"/>
    <x v="17"/>
  </r>
  <r>
    <n v="4"/>
    <x v="3"/>
    <x v="18"/>
    <x v="18"/>
    <x v="18"/>
    <x v="18"/>
    <x v="18"/>
  </r>
  <r>
    <n v="5"/>
    <x v="3"/>
    <x v="19"/>
    <x v="19"/>
    <x v="19"/>
    <x v="19"/>
    <x v="19"/>
  </r>
  <r>
    <n v="12"/>
    <x v="3"/>
    <x v="20"/>
    <x v="20"/>
    <x v="20"/>
    <x v="20"/>
    <x v="20"/>
  </r>
  <r>
    <n v="17"/>
    <x v="3"/>
    <x v="21"/>
    <x v="21"/>
    <x v="21"/>
    <x v="21"/>
    <x v="21"/>
  </r>
  <r>
    <n v="21"/>
    <x v="3"/>
    <x v="22"/>
    <x v="22"/>
    <x v="22"/>
    <x v="22"/>
    <x v="22"/>
  </r>
  <r>
    <n v="24"/>
    <x v="3"/>
    <x v="23"/>
    <x v="23"/>
    <x v="23"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30E45-E805-8247-B107-79AF1B3A547D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4" firstHeaderRow="1" firstDataRow="2" firstDataCol="1"/>
  <pivotFields count="7"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2" showAll="0">
      <items count="25">
        <item x="14"/>
        <item x="7"/>
        <item x="20"/>
        <item x="6"/>
        <item x="17"/>
        <item x="18"/>
        <item x="13"/>
        <item x="9"/>
        <item x="12"/>
        <item x="21"/>
        <item x="10"/>
        <item x="15"/>
        <item x="3"/>
        <item x="19"/>
        <item x="0"/>
        <item x="8"/>
        <item x="22"/>
        <item x="23"/>
        <item x="2"/>
        <item x="5"/>
        <item x="1"/>
        <item x="4"/>
        <item x="16"/>
        <item x="11"/>
        <item t="default"/>
      </items>
    </pivotField>
    <pivotField dataField="1" numFmtId="2" showAll="0">
      <items count="25">
        <item x="11"/>
        <item x="10"/>
        <item x="22"/>
        <item x="21"/>
        <item x="15"/>
        <item x="23"/>
        <item x="5"/>
        <item x="12"/>
        <item x="4"/>
        <item x="16"/>
        <item x="17"/>
        <item x="8"/>
        <item x="9"/>
        <item x="20"/>
        <item x="6"/>
        <item x="19"/>
        <item x="1"/>
        <item x="7"/>
        <item x="14"/>
        <item x="0"/>
        <item x="18"/>
        <item x="2"/>
        <item x="3"/>
        <item x="13"/>
        <item t="default"/>
      </items>
    </pivotField>
    <pivotField dataField="1" numFmtId="2" showAll="0">
      <items count="25">
        <item x="14"/>
        <item x="20"/>
        <item x="18"/>
        <item x="19"/>
        <item x="6"/>
        <item x="7"/>
        <item x="17"/>
        <item x="12"/>
        <item x="13"/>
        <item x="21"/>
        <item x="23"/>
        <item x="9"/>
        <item x="22"/>
        <item x="3"/>
        <item x="16"/>
        <item x="0"/>
        <item x="15"/>
        <item x="8"/>
        <item x="4"/>
        <item x="2"/>
        <item x="5"/>
        <item x="11"/>
        <item x="1"/>
        <item x="10"/>
        <item t="default"/>
      </items>
    </pivotField>
    <pivotField dataField="1" numFmtId="2" showAll="0">
      <items count="25">
        <item x="14"/>
        <item x="6"/>
        <item x="7"/>
        <item x="20"/>
        <item x="17"/>
        <item x="18"/>
        <item x="13"/>
        <item x="12"/>
        <item x="9"/>
        <item x="19"/>
        <item x="21"/>
        <item x="23"/>
        <item x="3"/>
        <item x="8"/>
        <item x="4"/>
        <item x="0"/>
        <item x="15"/>
        <item x="2"/>
        <item x="16"/>
        <item x="5"/>
        <item x="22"/>
        <item x="11"/>
        <item x="1"/>
        <item x="10"/>
        <item t="default"/>
      </items>
    </pivotField>
    <pivotField dataField="1" numFmtId="2" showAll="0">
      <items count="25">
        <item x="14"/>
        <item x="20"/>
        <item x="18"/>
        <item x="6"/>
        <item x="17"/>
        <item x="7"/>
        <item x="19"/>
        <item x="13"/>
        <item x="21"/>
        <item x="12"/>
        <item x="23"/>
        <item x="9"/>
        <item x="3"/>
        <item x="0"/>
        <item x="15"/>
        <item x="4"/>
        <item x="8"/>
        <item x="22"/>
        <item x="2"/>
        <item x="16"/>
        <item x="5"/>
        <item x="1"/>
        <item x="11"/>
        <item x="10"/>
        <item t="default"/>
      </items>
    </pivotField>
  </pivotFields>
  <rowFields count="1">
    <field x="-2"/>
  </rowFields>
  <row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20">
    <dataField name="Average of CP_dig" fld="2" subtotal="average" baseField="0" baseItem="0"/>
    <dataField name="Average of Fat_dig" fld="3" subtotal="average" baseField="0" baseItem="0"/>
    <dataField name="Average of NDF_dig" fld="4" subtotal="average" baseField="0" baseItem="0"/>
    <dataField name="Average of ADF_dig" fld="5" subtotal="average" baseField="0" baseItem="0"/>
    <dataField name="Average of OM_dig" fld="6" subtotal="average" baseField="0" baseItem="0"/>
    <dataField name="Max of CP_dig" fld="2" subtotal="max" baseField="0" baseItem="0"/>
    <dataField name="Max of ADF_dig" fld="5" subtotal="max" baseField="0" baseItem="0"/>
    <dataField name="Max of Fat_dig" fld="3" subtotal="max" baseField="0" baseItem="0"/>
    <dataField name="Max of NDF_dig" fld="4" subtotal="max" baseField="0" baseItem="0"/>
    <dataField name="Max of OM_dig" fld="6" subtotal="max" baseField="0" baseItem="0"/>
    <dataField name="Min of CP_dig" fld="2" subtotal="min" baseField="0" baseItem="0"/>
    <dataField name="Min of Fat_dig" fld="3" subtotal="min" baseField="0" baseItem="0"/>
    <dataField name="Min of NDF_dig" fld="4" subtotal="min" baseField="0" baseItem="0"/>
    <dataField name="Min of OM_dig" fld="6" subtotal="min" baseField="0" baseItem="0"/>
    <dataField name="Min of ADF_dig" fld="5" subtotal="min" baseField="0" baseItem="0"/>
    <dataField name="StdDev of CP_dig" fld="2" subtotal="stdDev" baseField="0" baseItem="0"/>
    <dataField name="StdDev of NDF_dig" fld="4" subtotal="stdDev" baseField="0" baseItem="0"/>
    <dataField name="StdDev of OM_dig" fld="6" subtotal="stdDev" baseField="0" baseItem="0"/>
    <dataField name="StdDev of Fat_dig" fld="3" subtotal="stdDev" baseField="0" baseItem="0"/>
    <dataField name="StdDev of ADF_dig" fld="5" subtotal="stdDev" baseField="0" baseItem="0"/>
  </dataFields>
  <formats count="4">
    <format dxfId="8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dataOnly="0" outline="0" fieldPosition="0">
        <references count="1">
          <reference field="4294967294" count="5">
            <x v="5"/>
            <x v="6"/>
            <x v="7"/>
            <x v="8"/>
            <x v="9"/>
          </reference>
        </references>
      </pivotArea>
    </format>
    <format dxfId="6">
      <pivotArea dataOnly="0" outline="0" fieldPosition="0">
        <references count="1">
          <reference field="4294967294" count="5">
            <x v="10"/>
            <x v="11"/>
            <x v="12"/>
            <x v="13"/>
            <x v="14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CD-C8E3-D645-B968-0D5DFC2EA6F0}">
  <dimension ref="A1:T25"/>
  <sheetViews>
    <sheetView workbookViewId="0">
      <selection activeCell="S2" sqref="S2"/>
    </sheetView>
  </sheetViews>
  <sheetFormatPr baseColWidth="10" defaultRowHeight="16" x14ac:dyDescent="0.2"/>
  <sheetData>
    <row r="1" spans="1:20" x14ac:dyDescent="0.2">
      <c r="A1" s="2" t="s">
        <v>0</v>
      </c>
      <c r="B1" s="3" t="s">
        <v>1</v>
      </c>
      <c r="C1" s="4" t="s">
        <v>7</v>
      </c>
      <c r="D1" s="4" t="s">
        <v>6</v>
      </c>
      <c r="E1" s="4" t="s">
        <v>8</v>
      </c>
      <c r="F1" s="4" t="s">
        <v>9</v>
      </c>
      <c r="G1" s="4" t="s">
        <v>10</v>
      </c>
      <c r="H1" s="5" t="s">
        <v>11</v>
      </c>
      <c r="I1" s="5" t="s">
        <v>12</v>
      </c>
      <c r="J1" s="4" t="s">
        <v>13</v>
      </c>
      <c r="K1" s="4" t="s">
        <v>27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35</v>
      </c>
    </row>
    <row r="2" spans="1:20" x14ac:dyDescent="0.2">
      <c r="A2" s="6">
        <v>2</v>
      </c>
      <c r="B2" s="6" t="s">
        <v>3</v>
      </c>
      <c r="C2" s="7">
        <v>16.187999999999999</v>
      </c>
      <c r="D2" s="7">
        <v>2.3199999999999998</v>
      </c>
      <c r="E2" s="7">
        <v>0.94</v>
      </c>
      <c r="F2" s="7">
        <v>38.47</v>
      </c>
      <c r="G2" s="7">
        <v>16.690000000000001</v>
      </c>
      <c r="H2" s="7">
        <v>55.22</v>
      </c>
      <c r="I2" s="7">
        <v>37.25</v>
      </c>
      <c r="J2" s="8">
        <v>8190</v>
      </c>
      <c r="K2" s="10">
        <f t="shared" ref="K2:K25" si="0">J2/10000</f>
        <v>0.81899999999999995</v>
      </c>
      <c r="L2" s="9">
        <f t="shared" ref="L2:L25" si="1">100-D2</f>
        <v>97.68</v>
      </c>
      <c r="M2" s="9">
        <f t="shared" ref="M2:M25" si="2">C2/(L2/100)</f>
        <v>16.572481572481568</v>
      </c>
      <c r="N2" s="9">
        <f t="shared" ref="N2:N25" si="3">E2/(L2/100)</f>
        <v>0.96232596232596213</v>
      </c>
      <c r="O2" s="9">
        <f t="shared" ref="O2:O25" si="4">F2/(L2/100)</f>
        <v>39.383701883701875</v>
      </c>
      <c r="P2" s="9">
        <f t="shared" ref="P2:P25" si="5">G2/(L2/100)</f>
        <v>17.086404586404587</v>
      </c>
      <c r="Q2" s="9">
        <f t="shared" ref="Q2:Q25" si="6">H2/(L2/100)</f>
        <v>56.53153153153152</v>
      </c>
      <c r="R2" s="9">
        <f t="shared" ref="R2:R25" si="7">I2/(L2/100)</f>
        <v>38.134725634725633</v>
      </c>
      <c r="S2" s="9">
        <f t="shared" ref="S2:S25" si="8">K2/(L2/100)</f>
        <v>0.8384520884520883</v>
      </c>
      <c r="T2" s="9">
        <f>100-P2</f>
        <v>82.913595413595417</v>
      </c>
    </row>
    <row r="3" spans="1:20" x14ac:dyDescent="0.2">
      <c r="A3" s="6">
        <v>6</v>
      </c>
      <c r="B3" s="6" t="s">
        <v>3</v>
      </c>
      <c r="C3" s="7">
        <v>17.367000000000001</v>
      </c>
      <c r="D3" s="7">
        <v>1.99</v>
      </c>
      <c r="E3" s="7">
        <v>1.21</v>
      </c>
      <c r="F3" s="7">
        <v>31.63</v>
      </c>
      <c r="G3" s="7">
        <v>18.579999999999998</v>
      </c>
      <c r="H3" s="7">
        <v>53.03</v>
      </c>
      <c r="I3" s="7">
        <v>35.32</v>
      </c>
      <c r="J3" s="8">
        <v>9250</v>
      </c>
      <c r="K3" s="10">
        <f t="shared" si="0"/>
        <v>0.92500000000000004</v>
      </c>
      <c r="L3" s="9">
        <f t="shared" si="1"/>
        <v>98.01</v>
      </c>
      <c r="M3" s="9">
        <f t="shared" si="2"/>
        <v>17.719620446893174</v>
      </c>
      <c r="N3" s="9">
        <f t="shared" si="3"/>
        <v>1.2345679012345678</v>
      </c>
      <c r="O3" s="9">
        <f t="shared" si="4"/>
        <v>32.272217120701967</v>
      </c>
      <c r="P3" s="9">
        <f t="shared" si="5"/>
        <v>18.957249260279561</v>
      </c>
      <c r="Q3" s="9">
        <f t="shared" si="6"/>
        <v>54.106723803693498</v>
      </c>
      <c r="R3" s="9">
        <f t="shared" si="7"/>
        <v>36.037139067442098</v>
      </c>
      <c r="S3" s="9">
        <f t="shared" si="8"/>
        <v>0.94378124681154985</v>
      </c>
      <c r="T3" s="9">
        <f t="shared" ref="T3:T25" si="9">100-P3</f>
        <v>81.042750739720447</v>
      </c>
    </row>
    <row r="4" spans="1:20" x14ac:dyDescent="0.2">
      <c r="A4" s="6">
        <v>8</v>
      </c>
      <c r="B4" s="6" t="s">
        <v>3</v>
      </c>
      <c r="C4" s="7">
        <v>16.129000000000001</v>
      </c>
      <c r="D4" s="7">
        <v>1.66</v>
      </c>
      <c r="E4" s="7">
        <v>0.93</v>
      </c>
      <c r="F4" s="7">
        <v>33.71</v>
      </c>
      <c r="G4" s="7">
        <v>18.78</v>
      </c>
      <c r="H4" s="7">
        <v>53.85</v>
      </c>
      <c r="I4" s="7">
        <v>36.97</v>
      </c>
      <c r="J4" s="8">
        <v>8580</v>
      </c>
      <c r="K4" s="10">
        <f t="shared" si="0"/>
        <v>0.85799999999999998</v>
      </c>
      <c r="L4" s="9">
        <f t="shared" si="1"/>
        <v>98.34</v>
      </c>
      <c r="M4" s="9">
        <f t="shared" si="2"/>
        <v>16.401260931462275</v>
      </c>
      <c r="N4" s="9">
        <f t="shared" si="3"/>
        <v>0.94569859670530809</v>
      </c>
      <c r="O4" s="9">
        <f t="shared" si="4"/>
        <v>34.279031930038641</v>
      </c>
      <c r="P4" s="9">
        <f t="shared" si="5"/>
        <v>19.097010372178158</v>
      </c>
      <c r="Q4" s="9">
        <f t="shared" si="6"/>
        <v>54.758999389871875</v>
      </c>
      <c r="R4" s="9">
        <f t="shared" si="7"/>
        <v>37.594061419564774</v>
      </c>
      <c r="S4" s="9">
        <f t="shared" si="8"/>
        <v>0.87248322147651003</v>
      </c>
      <c r="T4" s="9">
        <f t="shared" si="9"/>
        <v>80.902989627821839</v>
      </c>
    </row>
    <row r="5" spans="1:20" x14ac:dyDescent="0.2">
      <c r="A5" s="6">
        <v>9</v>
      </c>
      <c r="B5" s="6" t="s">
        <v>3</v>
      </c>
      <c r="C5" s="7">
        <v>16.599</v>
      </c>
      <c r="D5" s="7">
        <v>1.82</v>
      </c>
      <c r="E5" s="7">
        <v>0.83</v>
      </c>
      <c r="F5" s="7">
        <v>39.19</v>
      </c>
      <c r="G5" s="7">
        <v>17.47</v>
      </c>
      <c r="H5" s="7">
        <v>55.38</v>
      </c>
      <c r="I5" s="7">
        <v>39.229999999999997</v>
      </c>
      <c r="J5" s="8">
        <v>8120</v>
      </c>
      <c r="K5" s="10">
        <f t="shared" si="0"/>
        <v>0.81200000000000006</v>
      </c>
      <c r="L5" s="9">
        <f t="shared" si="1"/>
        <v>98.18</v>
      </c>
      <c r="M5" s="9">
        <f t="shared" si="2"/>
        <v>16.906701975962516</v>
      </c>
      <c r="N5" s="9">
        <f t="shared" si="3"/>
        <v>0.84538602566714183</v>
      </c>
      <c r="O5" s="9">
        <f t="shared" si="4"/>
        <v>39.916479934813601</v>
      </c>
      <c r="P5" s="9">
        <f t="shared" si="5"/>
        <v>17.793848034222854</v>
      </c>
      <c r="Q5" s="9">
        <f t="shared" si="6"/>
        <v>56.406600122224482</v>
      </c>
      <c r="R5" s="9">
        <f t="shared" si="7"/>
        <v>39.957221430026472</v>
      </c>
      <c r="S5" s="9">
        <f t="shared" si="8"/>
        <v>0.82705235282134848</v>
      </c>
      <c r="T5" s="9">
        <f t="shared" si="9"/>
        <v>82.206151965777138</v>
      </c>
    </row>
    <row r="6" spans="1:20" x14ac:dyDescent="0.2">
      <c r="A6" s="6">
        <v>18</v>
      </c>
      <c r="B6" s="6" t="s">
        <v>3</v>
      </c>
      <c r="C6" s="7">
        <v>15.346</v>
      </c>
      <c r="D6" s="7">
        <v>2.0299999999999998</v>
      </c>
      <c r="E6" s="7">
        <v>1.88</v>
      </c>
      <c r="F6" s="7">
        <v>35.93</v>
      </c>
      <c r="G6" s="7">
        <v>18.079999999999998</v>
      </c>
      <c r="H6" s="7">
        <v>54.28</v>
      </c>
      <c r="I6" s="7">
        <v>39.450000000000003</v>
      </c>
      <c r="J6" s="8">
        <v>8420</v>
      </c>
      <c r="K6" s="10">
        <f t="shared" si="0"/>
        <v>0.84199999999999997</v>
      </c>
      <c r="L6" s="9">
        <f t="shared" si="1"/>
        <v>97.97</v>
      </c>
      <c r="M6" s="9">
        <f t="shared" si="2"/>
        <v>15.663978769010921</v>
      </c>
      <c r="N6" s="9">
        <f t="shared" si="3"/>
        <v>1.9189547820761457</v>
      </c>
      <c r="O6" s="9">
        <f t="shared" si="4"/>
        <v>36.67449219148719</v>
      </c>
      <c r="P6" s="9">
        <f t="shared" si="5"/>
        <v>18.454628968051441</v>
      </c>
      <c r="Q6" s="9">
        <f t="shared" si="6"/>
        <v>55.40471572930489</v>
      </c>
      <c r="R6" s="9">
        <f t="shared" si="7"/>
        <v>40.267428804736149</v>
      </c>
      <c r="S6" s="9">
        <f t="shared" si="8"/>
        <v>0.85944676941920994</v>
      </c>
      <c r="T6" s="9">
        <f t="shared" si="9"/>
        <v>81.545371031948562</v>
      </c>
    </row>
    <row r="7" spans="1:20" x14ac:dyDescent="0.2">
      <c r="A7" s="14">
        <v>23</v>
      </c>
      <c r="B7" s="14" t="s">
        <v>3</v>
      </c>
      <c r="C7" s="15">
        <v>16.803000000000001</v>
      </c>
      <c r="D7" s="15">
        <v>1.9</v>
      </c>
      <c r="E7" s="15">
        <v>2.4</v>
      </c>
      <c r="F7" s="15">
        <v>30.68</v>
      </c>
      <c r="G7" s="15">
        <v>20.16</v>
      </c>
      <c r="H7" s="15">
        <v>51.92</v>
      </c>
      <c r="I7" s="15">
        <v>37.409999999999997</v>
      </c>
      <c r="J7" s="16">
        <v>8940</v>
      </c>
      <c r="K7" s="17">
        <f t="shared" si="0"/>
        <v>0.89400000000000002</v>
      </c>
      <c r="L7" s="18">
        <f t="shared" si="1"/>
        <v>98.1</v>
      </c>
      <c r="M7" s="18">
        <f t="shared" si="2"/>
        <v>17.128440366972477</v>
      </c>
      <c r="N7" s="18">
        <f t="shared" si="3"/>
        <v>2.4464831804281344</v>
      </c>
      <c r="O7" s="18">
        <f t="shared" si="4"/>
        <v>31.274209989806319</v>
      </c>
      <c r="P7" s="18">
        <f t="shared" si="5"/>
        <v>20.550458715596331</v>
      </c>
      <c r="Q7" s="18">
        <f t="shared" si="6"/>
        <v>52.925586136595314</v>
      </c>
      <c r="R7" s="18">
        <f t="shared" si="7"/>
        <v>38.134556574923543</v>
      </c>
      <c r="S7" s="18">
        <f t="shared" si="8"/>
        <v>0.91131498470948014</v>
      </c>
      <c r="T7" s="18">
        <f t="shared" si="9"/>
        <v>79.449541284403665</v>
      </c>
    </row>
    <row r="8" spans="1:20" x14ac:dyDescent="0.2">
      <c r="A8" s="6">
        <v>7</v>
      </c>
      <c r="B8" s="6" t="s">
        <v>5</v>
      </c>
      <c r="C8" s="7">
        <v>16.366</v>
      </c>
      <c r="D8" s="7">
        <v>2.1800000000000002</v>
      </c>
      <c r="E8" s="7">
        <v>0.81</v>
      </c>
      <c r="F8" s="7">
        <v>35.450000000000003</v>
      </c>
      <c r="G8" s="7">
        <v>15.65</v>
      </c>
      <c r="H8" s="7">
        <v>55.57</v>
      </c>
      <c r="I8" s="7">
        <v>41.29</v>
      </c>
      <c r="J8" s="8">
        <v>6620</v>
      </c>
      <c r="K8" s="10">
        <f t="shared" si="0"/>
        <v>0.66200000000000003</v>
      </c>
      <c r="L8" s="9">
        <f t="shared" si="1"/>
        <v>97.82</v>
      </c>
      <c r="M8" s="9">
        <f t="shared" si="2"/>
        <v>16.730729912083419</v>
      </c>
      <c r="N8" s="9">
        <f t="shared" si="3"/>
        <v>0.82805152320588848</v>
      </c>
      <c r="O8" s="9">
        <f t="shared" si="4"/>
        <v>36.240032713146597</v>
      </c>
      <c r="P8" s="9">
        <f t="shared" si="5"/>
        <v>15.998773257002659</v>
      </c>
      <c r="Q8" s="9">
        <f t="shared" si="6"/>
        <v>56.808423635248417</v>
      </c>
      <c r="R8" s="9">
        <f t="shared" si="7"/>
        <v>42.21018196687794</v>
      </c>
      <c r="S8" s="9">
        <f t="shared" si="8"/>
        <v>0.6767532202003681</v>
      </c>
      <c r="T8" s="9">
        <f t="shared" si="9"/>
        <v>84.001226742997346</v>
      </c>
    </row>
    <row r="9" spans="1:20" x14ac:dyDescent="0.2">
      <c r="A9" s="6">
        <v>11</v>
      </c>
      <c r="B9" s="6" t="s">
        <v>5</v>
      </c>
      <c r="C9" s="7">
        <v>17.096</v>
      </c>
      <c r="D9" s="7">
        <v>1.78</v>
      </c>
      <c r="E9" s="7">
        <v>0.63</v>
      </c>
      <c r="F9" s="7">
        <v>35.450000000000003</v>
      </c>
      <c r="G9" s="7">
        <v>14.88</v>
      </c>
      <c r="H9" s="7">
        <v>57.16</v>
      </c>
      <c r="I9" s="7">
        <v>40.619999999999997</v>
      </c>
      <c r="J9" s="8">
        <v>6810</v>
      </c>
      <c r="K9" s="10">
        <f t="shared" si="0"/>
        <v>0.68100000000000005</v>
      </c>
      <c r="L9" s="9">
        <f t="shared" si="1"/>
        <v>98.22</v>
      </c>
      <c r="M9" s="9">
        <f t="shared" si="2"/>
        <v>17.405823661168807</v>
      </c>
      <c r="N9" s="9">
        <f t="shared" si="3"/>
        <v>0.64141722663408673</v>
      </c>
      <c r="O9" s="9">
        <f t="shared" si="4"/>
        <v>36.092445530441871</v>
      </c>
      <c r="P9" s="9">
        <f t="shared" si="5"/>
        <v>15.149664019547956</v>
      </c>
      <c r="Q9" s="9">
        <f t="shared" si="6"/>
        <v>58.195886784768888</v>
      </c>
      <c r="R9" s="9">
        <f t="shared" si="7"/>
        <v>41.356139279169213</v>
      </c>
      <c r="S9" s="9">
        <f t="shared" si="8"/>
        <v>0.69334147831398907</v>
      </c>
      <c r="T9" s="9">
        <f t="shared" si="9"/>
        <v>84.850335980452044</v>
      </c>
    </row>
    <row r="10" spans="1:20" x14ac:dyDescent="0.2">
      <c r="A10" s="6">
        <v>13</v>
      </c>
      <c r="B10" s="6" t="s">
        <v>5</v>
      </c>
      <c r="C10" s="7">
        <v>17.376999999999999</v>
      </c>
      <c r="D10" s="7">
        <v>1.73</v>
      </c>
      <c r="E10" s="7">
        <v>1.21</v>
      </c>
      <c r="F10" s="7">
        <v>31.5</v>
      </c>
      <c r="G10" s="7">
        <v>16.84</v>
      </c>
      <c r="H10" s="7">
        <v>53.9</v>
      </c>
      <c r="I10" s="7">
        <v>39.159999999999997</v>
      </c>
      <c r="J10" s="8">
        <v>7990</v>
      </c>
      <c r="K10" s="10">
        <f t="shared" si="0"/>
        <v>0.79900000000000004</v>
      </c>
      <c r="L10" s="9">
        <f t="shared" si="1"/>
        <v>98.27</v>
      </c>
      <c r="M10" s="9">
        <f t="shared" si="2"/>
        <v>17.682914419456601</v>
      </c>
      <c r="N10" s="9">
        <f t="shared" si="3"/>
        <v>1.2313015162307928</v>
      </c>
      <c r="O10" s="9">
        <f t="shared" si="4"/>
        <v>32.054543604355352</v>
      </c>
      <c r="P10" s="9">
        <f t="shared" si="5"/>
        <v>17.136460771344257</v>
      </c>
      <c r="Q10" s="9">
        <f t="shared" si="6"/>
        <v>54.848885723008046</v>
      </c>
      <c r="R10" s="9">
        <f t="shared" si="7"/>
        <v>39.849394525287472</v>
      </c>
      <c r="S10" s="9">
        <f t="shared" si="8"/>
        <v>0.81306604253587067</v>
      </c>
      <c r="T10" s="9">
        <f t="shared" si="9"/>
        <v>82.863539228655739</v>
      </c>
    </row>
    <row r="11" spans="1:20" x14ac:dyDescent="0.2">
      <c r="A11" s="6">
        <v>14</v>
      </c>
      <c r="B11" s="6" t="s">
        <v>5</v>
      </c>
      <c r="C11" s="7">
        <v>17.654</v>
      </c>
      <c r="D11" s="7">
        <v>1.5</v>
      </c>
      <c r="E11" s="7">
        <v>1.1100000000000001</v>
      </c>
      <c r="F11" s="7">
        <v>33.9</v>
      </c>
      <c r="G11" s="7">
        <v>16.079999999999998</v>
      </c>
      <c r="H11" s="7">
        <v>54.9</v>
      </c>
      <c r="I11" s="7">
        <v>42.02</v>
      </c>
      <c r="J11" s="8">
        <v>7650</v>
      </c>
      <c r="K11" s="10">
        <f t="shared" si="0"/>
        <v>0.76500000000000001</v>
      </c>
      <c r="L11" s="9">
        <f t="shared" si="1"/>
        <v>98.5</v>
      </c>
      <c r="M11" s="9">
        <f t="shared" si="2"/>
        <v>17.92284263959391</v>
      </c>
      <c r="N11" s="9">
        <f t="shared" si="3"/>
        <v>1.1269035532994924</v>
      </c>
      <c r="O11" s="9">
        <f t="shared" si="4"/>
        <v>34.416243654822331</v>
      </c>
      <c r="P11" s="9">
        <f t="shared" si="5"/>
        <v>16.324873096446698</v>
      </c>
      <c r="Q11" s="9">
        <f t="shared" si="6"/>
        <v>55.736040609137056</v>
      </c>
      <c r="R11" s="9">
        <f t="shared" si="7"/>
        <v>42.659898477157363</v>
      </c>
      <c r="S11" s="9">
        <f t="shared" si="8"/>
        <v>0.7766497461928934</v>
      </c>
      <c r="T11" s="9">
        <f t="shared" si="9"/>
        <v>83.675126903553306</v>
      </c>
    </row>
    <row r="12" spans="1:20" x14ac:dyDescent="0.2">
      <c r="A12" s="6">
        <v>16</v>
      </c>
      <c r="B12" s="6" t="s">
        <v>5</v>
      </c>
      <c r="C12" s="7">
        <v>22.387</v>
      </c>
      <c r="D12" s="7">
        <v>1.99</v>
      </c>
      <c r="E12" s="7">
        <v>2.48</v>
      </c>
      <c r="F12" s="7">
        <v>24.41</v>
      </c>
      <c r="G12" s="7">
        <v>21.35</v>
      </c>
      <c r="H12" s="7">
        <v>45.6</v>
      </c>
      <c r="I12" s="7">
        <v>28.66</v>
      </c>
      <c r="J12" s="8">
        <v>9830</v>
      </c>
      <c r="K12" s="10">
        <f t="shared" si="0"/>
        <v>0.98299999999999998</v>
      </c>
      <c r="L12" s="9">
        <f t="shared" si="1"/>
        <v>98.01</v>
      </c>
      <c r="M12" s="9">
        <f t="shared" si="2"/>
        <v>22.841546780940718</v>
      </c>
      <c r="N12" s="9">
        <f t="shared" si="3"/>
        <v>2.5303540455055606</v>
      </c>
      <c r="O12" s="9">
        <f t="shared" si="4"/>
        <v>24.905621875318843</v>
      </c>
      <c r="P12" s="9">
        <f t="shared" si="5"/>
        <v>21.783491480461176</v>
      </c>
      <c r="Q12" s="9">
        <f t="shared" si="6"/>
        <v>46.525864707682885</v>
      </c>
      <c r="R12" s="9">
        <f t="shared" si="7"/>
        <v>29.241914090398936</v>
      </c>
      <c r="S12" s="9">
        <f t="shared" si="8"/>
        <v>1.0029588817467605</v>
      </c>
      <c r="T12" s="9">
        <f t="shared" si="9"/>
        <v>78.21650851953882</v>
      </c>
    </row>
    <row r="13" spans="1:20" x14ac:dyDescent="0.2">
      <c r="A13" s="14">
        <v>19</v>
      </c>
      <c r="B13" s="14" t="s">
        <v>5</v>
      </c>
      <c r="C13" s="15">
        <v>18.283999999999999</v>
      </c>
      <c r="D13" s="15">
        <v>1.28</v>
      </c>
      <c r="E13" s="15">
        <v>2.74</v>
      </c>
      <c r="F13" s="15">
        <v>30.15</v>
      </c>
      <c r="G13" s="15">
        <v>17.68</v>
      </c>
      <c r="H13" s="15">
        <v>53.67</v>
      </c>
      <c r="I13" s="15">
        <v>37.75</v>
      </c>
      <c r="J13" s="16">
        <v>9250</v>
      </c>
      <c r="K13" s="17">
        <f t="shared" si="0"/>
        <v>0.92500000000000004</v>
      </c>
      <c r="L13" s="18">
        <f t="shared" si="1"/>
        <v>98.72</v>
      </c>
      <c r="M13" s="18">
        <f t="shared" si="2"/>
        <v>18.521069692058347</v>
      </c>
      <c r="N13" s="18">
        <f t="shared" si="3"/>
        <v>2.7755267423014591</v>
      </c>
      <c r="O13" s="18">
        <f t="shared" si="4"/>
        <v>30.540923824959481</v>
      </c>
      <c r="P13" s="18">
        <f t="shared" si="5"/>
        <v>17.909238249594814</v>
      </c>
      <c r="Q13" s="18">
        <f t="shared" si="6"/>
        <v>54.36588330632091</v>
      </c>
      <c r="R13" s="18">
        <f t="shared" si="7"/>
        <v>38.239465153970826</v>
      </c>
      <c r="S13" s="18">
        <f t="shared" si="8"/>
        <v>0.93699351701782829</v>
      </c>
      <c r="T13" s="18">
        <f t="shared" si="9"/>
        <v>82.090761750405193</v>
      </c>
    </row>
    <row r="14" spans="1:20" x14ac:dyDescent="0.2">
      <c r="A14" s="6">
        <v>1</v>
      </c>
      <c r="B14" s="6" t="s">
        <v>2</v>
      </c>
      <c r="C14" s="7">
        <v>17.227</v>
      </c>
      <c r="D14" s="7">
        <v>1.83</v>
      </c>
      <c r="E14" s="7">
        <v>2.2200000000000002</v>
      </c>
      <c r="F14" s="7">
        <v>32.67</v>
      </c>
      <c r="G14" s="7">
        <v>14.24</v>
      </c>
      <c r="H14" s="7">
        <v>56.09</v>
      </c>
      <c r="I14" s="7">
        <v>39.22</v>
      </c>
      <c r="J14" s="8">
        <v>7900</v>
      </c>
      <c r="K14" s="10">
        <f t="shared" si="0"/>
        <v>0.79</v>
      </c>
      <c r="L14" s="9">
        <f t="shared" si="1"/>
        <v>98.17</v>
      </c>
      <c r="M14" s="9">
        <f t="shared" si="2"/>
        <v>17.548130793521441</v>
      </c>
      <c r="N14" s="9">
        <f t="shared" si="3"/>
        <v>2.261383314658246</v>
      </c>
      <c r="O14" s="9">
        <f t="shared" si="4"/>
        <v>33.27900580625446</v>
      </c>
      <c r="P14" s="9">
        <f t="shared" si="5"/>
        <v>14.5054497300601</v>
      </c>
      <c r="Q14" s="9">
        <f t="shared" si="6"/>
        <v>57.135581134766227</v>
      </c>
      <c r="R14" s="9">
        <f t="shared" si="7"/>
        <v>39.951105225629007</v>
      </c>
      <c r="S14" s="9">
        <f t="shared" si="8"/>
        <v>0.80472649485586234</v>
      </c>
      <c r="T14" s="9">
        <f t="shared" si="9"/>
        <v>85.494550269939907</v>
      </c>
    </row>
    <row r="15" spans="1:20" x14ac:dyDescent="0.2">
      <c r="A15" s="6">
        <v>3</v>
      </c>
      <c r="B15" s="6" t="s">
        <v>2</v>
      </c>
      <c r="C15" s="7">
        <v>17.503</v>
      </c>
      <c r="D15" s="7">
        <v>1.93</v>
      </c>
      <c r="E15" s="7">
        <v>0.89</v>
      </c>
      <c r="F15" s="7">
        <v>34.520000000000003</v>
      </c>
      <c r="G15" s="7">
        <v>13.02</v>
      </c>
      <c r="H15" s="7">
        <v>55.94</v>
      </c>
      <c r="I15" s="7">
        <v>39.619999999999997</v>
      </c>
      <c r="J15" s="8">
        <v>7890</v>
      </c>
      <c r="K15" s="10">
        <f t="shared" si="0"/>
        <v>0.78900000000000003</v>
      </c>
      <c r="L15" s="9">
        <f t="shared" si="1"/>
        <v>98.07</v>
      </c>
      <c r="M15" s="9">
        <f t="shared" si="2"/>
        <v>17.847455898847763</v>
      </c>
      <c r="N15" s="9">
        <f t="shared" si="3"/>
        <v>0.90751504027735297</v>
      </c>
      <c r="O15" s="9">
        <f t="shared" si="4"/>
        <v>35.19934740491486</v>
      </c>
      <c r="P15" s="9">
        <f t="shared" si="5"/>
        <v>13.276231263383298</v>
      </c>
      <c r="Q15" s="9">
        <f t="shared" si="6"/>
        <v>57.040889160803509</v>
      </c>
      <c r="R15" s="9">
        <f t="shared" si="7"/>
        <v>40.39971448965025</v>
      </c>
      <c r="S15" s="9">
        <f t="shared" si="8"/>
        <v>0.80452737840318156</v>
      </c>
      <c r="T15" s="9">
        <f t="shared" si="9"/>
        <v>86.723768736616705</v>
      </c>
    </row>
    <row r="16" spans="1:20" x14ac:dyDescent="0.2">
      <c r="A16" s="6">
        <v>10</v>
      </c>
      <c r="B16" s="6" t="s">
        <v>2</v>
      </c>
      <c r="C16" s="7">
        <v>17.097000000000001</v>
      </c>
      <c r="D16" s="7">
        <v>1.9</v>
      </c>
      <c r="E16" s="7">
        <v>0.92</v>
      </c>
      <c r="F16" s="7">
        <v>35.479999999999997</v>
      </c>
      <c r="G16" s="7">
        <v>15.13</v>
      </c>
      <c r="H16" s="7">
        <v>60.12</v>
      </c>
      <c r="I16" s="7">
        <v>41.46</v>
      </c>
      <c r="J16" s="8">
        <v>6460</v>
      </c>
      <c r="K16" s="10">
        <f t="shared" si="0"/>
        <v>0.64600000000000002</v>
      </c>
      <c r="L16" s="9">
        <f t="shared" si="1"/>
        <v>98.1</v>
      </c>
      <c r="M16" s="9">
        <f t="shared" si="2"/>
        <v>17.428134556574925</v>
      </c>
      <c r="N16" s="9">
        <f t="shared" si="3"/>
        <v>0.93781855249745161</v>
      </c>
      <c r="O16" s="9">
        <f t="shared" si="4"/>
        <v>36.167176350662587</v>
      </c>
      <c r="P16" s="9">
        <f t="shared" si="5"/>
        <v>15.423037716615699</v>
      </c>
      <c r="Q16" s="9">
        <f t="shared" si="6"/>
        <v>61.284403669724767</v>
      </c>
      <c r="R16" s="9">
        <f t="shared" si="7"/>
        <v>42.262996941896027</v>
      </c>
      <c r="S16" s="9">
        <f t="shared" si="8"/>
        <v>0.65851172273190628</v>
      </c>
      <c r="T16" s="9">
        <f t="shared" si="9"/>
        <v>84.576962283384304</v>
      </c>
    </row>
    <row r="17" spans="1:20" x14ac:dyDescent="0.2">
      <c r="A17" s="6">
        <v>15</v>
      </c>
      <c r="B17" s="6" t="s">
        <v>2</v>
      </c>
      <c r="C17" s="7">
        <v>18.687999999999999</v>
      </c>
      <c r="D17" s="7">
        <v>2.15</v>
      </c>
      <c r="E17" s="7">
        <v>3.15</v>
      </c>
      <c r="F17" s="7">
        <v>31.14</v>
      </c>
      <c r="G17" s="7">
        <v>16.77</v>
      </c>
      <c r="H17" s="7">
        <v>51.08</v>
      </c>
      <c r="I17" s="7">
        <v>35.93</v>
      </c>
      <c r="J17" s="8">
        <v>8690</v>
      </c>
      <c r="K17" s="10">
        <f t="shared" si="0"/>
        <v>0.86899999999999999</v>
      </c>
      <c r="L17" s="9">
        <f t="shared" si="1"/>
        <v>97.85</v>
      </c>
      <c r="M17" s="9">
        <f t="shared" si="2"/>
        <v>19.098620337250896</v>
      </c>
      <c r="N17" s="9">
        <f t="shared" si="3"/>
        <v>3.2192130812468065</v>
      </c>
      <c r="O17" s="9">
        <f t="shared" si="4"/>
        <v>31.82422074603986</v>
      </c>
      <c r="P17" s="9">
        <f t="shared" si="5"/>
        <v>17.138477261113952</v>
      </c>
      <c r="Q17" s="9">
        <f t="shared" si="6"/>
        <v>52.202350536535519</v>
      </c>
      <c r="R17" s="9">
        <f t="shared" si="7"/>
        <v>36.719468574348497</v>
      </c>
      <c r="S17" s="9">
        <f t="shared" si="8"/>
        <v>0.88809402146142058</v>
      </c>
      <c r="T17" s="9">
        <f t="shared" si="9"/>
        <v>82.861522738886052</v>
      </c>
    </row>
    <row r="18" spans="1:20" x14ac:dyDescent="0.2">
      <c r="A18" s="6">
        <v>20</v>
      </c>
      <c r="B18" s="6" t="s">
        <v>2</v>
      </c>
      <c r="C18" s="7">
        <v>18.035</v>
      </c>
      <c r="D18" s="7">
        <v>1.22</v>
      </c>
      <c r="E18" s="7">
        <v>2.54</v>
      </c>
      <c r="F18" s="7">
        <v>32.840000000000003</v>
      </c>
      <c r="G18" s="7">
        <v>16.25</v>
      </c>
      <c r="H18" s="7">
        <v>56.79</v>
      </c>
      <c r="I18" s="7">
        <v>37.729999999999997</v>
      </c>
      <c r="J18" s="8">
        <v>9520</v>
      </c>
      <c r="K18" s="10">
        <f t="shared" si="0"/>
        <v>0.95199999999999996</v>
      </c>
      <c r="L18" s="9">
        <f t="shared" si="1"/>
        <v>98.78</v>
      </c>
      <c r="M18" s="9">
        <f t="shared" si="2"/>
        <v>18.257744482688803</v>
      </c>
      <c r="N18" s="9">
        <f t="shared" si="3"/>
        <v>2.5713707228183842</v>
      </c>
      <c r="O18" s="9">
        <f t="shared" si="4"/>
        <v>33.245596274549506</v>
      </c>
      <c r="P18" s="9">
        <f t="shared" si="5"/>
        <v>16.450698521968011</v>
      </c>
      <c r="Q18" s="9">
        <f t="shared" si="6"/>
        <v>57.491395019234659</v>
      </c>
      <c r="R18" s="9">
        <f t="shared" si="7"/>
        <v>38.195991091314028</v>
      </c>
      <c r="S18" s="9">
        <f t="shared" si="8"/>
        <v>0.96375784571775658</v>
      </c>
      <c r="T18" s="9">
        <f t="shared" si="9"/>
        <v>83.549301478031992</v>
      </c>
    </row>
    <row r="19" spans="1:20" x14ac:dyDescent="0.2">
      <c r="A19" s="14">
        <v>22</v>
      </c>
      <c r="B19" s="14" t="s">
        <v>2</v>
      </c>
      <c r="C19" s="15">
        <v>17.600999999999999</v>
      </c>
      <c r="D19" s="15">
        <v>1.52</v>
      </c>
      <c r="E19" s="15">
        <v>2.0099999999999998</v>
      </c>
      <c r="F19" s="15">
        <v>31.06</v>
      </c>
      <c r="G19" s="15">
        <v>14.46</v>
      </c>
      <c r="H19" s="15">
        <v>54.42</v>
      </c>
      <c r="I19" s="15">
        <v>38.82</v>
      </c>
      <c r="J19" s="16">
        <v>7540</v>
      </c>
      <c r="K19" s="17">
        <f t="shared" si="0"/>
        <v>0.754</v>
      </c>
      <c r="L19" s="18">
        <f t="shared" si="1"/>
        <v>98.48</v>
      </c>
      <c r="M19" s="18">
        <f t="shared" si="2"/>
        <v>17.872664500406174</v>
      </c>
      <c r="N19" s="18">
        <f t="shared" si="3"/>
        <v>2.0410235580828591</v>
      </c>
      <c r="O19" s="18">
        <f t="shared" si="4"/>
        <v>31.539398862713238</v>
      </c>
      <c r="P19" s="18">
        <f t="shared" si="5"/>
        <v>14.683184402924452</v>
      </c>
      <c r="Q19" s="18">
        <f t="shared" si="6"/>
        <v>55.259951259138916</v>
      </c>
      <c r="R19" s="18">
        <f t="shared" si="7"/>
        <v>39.419171405361496</v>
      </c>
      <c r="S19" s="18">
        <f t="shared" si="8"/>
        <v>0.76563769293257511</v>
      </c>
      <c r="T19" s="18">
        <f t="shared" si="9"/>
        <v>85.316815597075546</v>
      </c>
    </row>
    <row r="20" spans="1:20" x14ac:dyDescent="0.2">
      <c r="A20" s="6">
        <v>4</v>
      </c>
      <c r="B20" s="6" t="s">
        <v>4</v>
      </c>
      <c r="C20" s="7">
        <v>16.077000000000002</v>
      </c>
      <c r="D20" s="7">
        <v>1.97</v>
      </c>
      <c r="E20" s="7">
        <v>0.7</v>
      </c>
      <c r="F20" s="7">
        <v>34.340000000000003</v>
      </c>
      <c r="G20" s="7">
        <v>16.22</v>
      </c>
      <c r="H20" s="7">
        <v>53.88</v>
      </c>
      <c r="I20" s="7">
        <v>38.729999999999997</v>
      </c>
      <c r="J20" s="8">
        <v>7140</v>
      </c>
      <c r="K20" s="10">
        <f t="shared" si="0"/>
        <v>0.71399999999999997</v>
      </c>
      <c r="L20" s="9">
        <f t="shared" si="1"/>
        <v>98.03</v>
      </c>
      <c r="M20" s="9">
        <f t="shared" si="2"/>
        <v>16.400081607671122</v>
      </c>
      <c r="N20" s="9">
        <f t="shared" si="3"/>
        <v>0.71406712230949698</v>
      </c>
      <c r="O20" s="9">
        <f t="shared" si="4"/>
        <v>35.030092828725898</v>
      </c>
      <c r="P20" s="9">
        <f t="shared" si="5"/>
        <v>16.545955319800058</v>
      </c>
      <c r="Q20" s="9">
        <f t="shared" si="6"/>
        <v>54.962766500051004</v>
      </c>
      <c r="R20" s="9">
        <f t="shared" si="7"/>
        <v>39.508313781495453</v>
      </c>
      <c r="S20" s="9">
        <f t="shared" si="8"/>
        <v>0.72834846475568693</v>
      </c>
      <c r="T20" s="9">
        <f t="shared" si="9"/>
        <v>83.454044680199942</v>
      </c>
    </row>
    <row r="21" spans="1:20" x14ac:dyDescent="0.2">
      <c r="A21" s="6">
        <v>5</v>
      </c>
      <c r="B21" s="6" t="s">
        <v>4</v>
      </c>
      <c r="C21" s="7">
        <v>15.8</v>
      </c>
      <c r="D21" s="7">
        <v>1.78</v>
      </c>
      <c r="E21" s="7">
        <v>0.92</v>
      </c>
      <c r="F21" s="7">
        <v>36.799999999999997</v>
      </c>
      <c r="G21" s="7">
        <v>19.62</v>
      </c>
      <c r="H21" s="7">
        <v>53.62</v>
      </c>
      <c r="I21" s="7">
        <v>37.65</v>
      </c>
      <c r="J21" s="8">
        <v>7460</v>
      </c>
      <c r="K21" s="10">
        <f t="shared" si="0"/>
        <v>0.746</v>
      </c>
      <c r="L21" s="9">
        <f t="shared" si="1"/>
        <v>98.22</v>
      </c>
      <c r="M21" s="9">
        <f t="shared" si="2"/>
        <v>16.086336794950114</v>
      </c>
      <c r="N21" s="9">
        <f t="shared" si="3"/>
        <v>0.93667277540215854</v>
      </c>
      <c r="O21" s="9">
        <f t="shared" si="4"/>
        <v>37.466911016086335</v>
      </c>
      <c r="P21" s="9">
        <f t="shared" si="5"/>
        <v>19.975565058032988</v>
      </c>
      <c r="Q21" s="9">
        <f t="shared" si="6"/>
        <v>54.591732844634492</v>
      </c>
      <c r="R21" s="9">
        <f t="shared" si="7"/>
        <v>38.332315210751375</v>
      </c>
      <c r="S21" s="9">
        <f t="shared" si="8"/>
        <v>0.75951944614131539</v>
      </c>
      <c r="T21" s="9">
        <f t="shared" si="9"/>
        <v>80.024434941967016</v>
      </c>
    </row>
    <row r="22" spans="1:20" x14ac:dyDescent="0.2">
      <c r="A22" s="6">
        <v>12</v>
      </c>
      <c r="B22" s="6" t="s">
        <v>4</v>
      </c>
      <c r="C22" s="7">
        <v>17.094000000000001</v>
      </c>
      <c r="D22" s="7">
        <v>1.89</v>
      </c>
      <c r="E22" s="7">
        <v>1.1000000000000001</v>
      </c>
      <c r="F22" s="7">
        <v>34.090000000000003</v>
      </c>
      <c r="G22" s="7">
        <v>15.57</v>
      </c>
      <c r="H22" s="7">
        <v>54.7</v>
      </c>
      <c r="I22" s="7">
        <v>39.85</v>
      </c>
      <c r="J22" s="8">
        <v>7160</v>
      </c>
      <c r="K22" s="10">
        <f t="shared" si="0"/>
        <v>0.71599999999999997</v>
      </c>
      <c r="L22" s="9">
        <f t="shared" si="1"/>
        <v>98.11</v>
      </c>
      <c r="M22" s="9">
        <f t="shared" si="2"/>
        <v>17.423300377127717</v>
      </c>
      <c r="N22" s="9">
        <f t="shared" si="3"/>
        <v>1.1211905004586689</v>
      </c>
      <c r="O22" s="9">
        <f t="shared" si="4"/>
        <v>34.746712873305476</v>
      </c>
      <c r="P22" s="9">
        <f t="shared" si="5"/>
        <v>15.869941901946795</v>
      </c>
      <c r="Q22" s="9">
        <f t="shared" si="6"/>
        <v>55.753745795535629</v>
      </c>
      <c r="R22" s="9">
        <f t="shared" si="7"/>
        <v>40.617674039343598</v>
      </c>
      <c r="S22" s="9">
        <f t="shared" si="8"/>
        <v>0.72979308938946075</v>
      </c>
      <c r="T22" s="9">
        <f t="shared" si="9"/>
        <v>84.130058098053212</v>
      </c>
    </row>
    <row r="23" spans="1:20" x14ac:dyDescent="0.2">
      <c r="A23" s="6">
        <v>17</v>
      </c>
      <c r="B23" s="6" t="s">
        <v>4</v>
      </c>
      <c r="C23" s="7">
        <v>17.516999999999999</v>
      </c>
      <c r="D23" s="7">
        <v>2.04</v>
      </c>
      <c r="E23" s="7">
        <v>2.09</v>
      </c>
      <c r="F23" s="7">
        <v>31.28</v>
      </c>
      <c r="G23" s="7">
        <v>14.98</v>
      </c>
      <c r="H23" s="7">
        <v>54.27</v>
      </c>
      <c r="I23" s="7">
        <v>39.08</v>
      </c>
      <c r="J23" s="8">
        <v>8030</v>
      </c>
      <c r="K23" s="10">
        <f t="shared" si="0"/>
        <v>0.80300000000000005</v>
      </c>
      <c r="L23" s="9">
        <f t="shared" si="1"/>
        <v>97.96</v>
      </c>
      <c r="M23" s="9">
        <f t="shared" si="2"/>
        <v>17.88178848509596</v>
      </c>
      <c r="N23" s="9">
        <f t="shared" si="3"/>
        <v>2.1335238873009392</v>
      </c>
      <c r="O23" s="9">
        <f t="shared" si="4"/>
        <v>31.931400571661907</v>
      </c>
      <c r="P23" s="9">
        <f t="shared" si="5"/>
        <v>15.291955900367499</v>
      </c>
      <c r="Q23" s="9">
        <f t="shared" si="6"/>
        <v>55.400163331972244</v>
      </c>
      <c r="R23" s="9">
        <f t="shared" si="7"/>
        <v>39.893834218048184</v>
      </c>
      <c r="S23" s="9">
        <f t="shared" si="8"/>
        <v>0.81972233564720309</v>
      </c>
      <c r="T23" s="9">
        <f t="shared" si="9"/>
        <v>84.708044099632502</v>
      </c>
    </row>
    <row r="24" spans="1:20" x14ac:dyDescent="0.2">
      <c r="A24" s="6">
        <v>21</v>
      </c>
      <c r="B24" s="6" t="s">
        <v>4</v>
      </c>
      <c r="C24" s="7">
        <v>18.468</v>
      </c>
      <c r="D24" s="7">
        <v>1.37</v>
      </c>
      <c r="E24" s="7">
        <v>2.44</v>
      </c>
      <c r="F24" s="7">
        <v>32.71</v>
      </c>
      <c r="G24" s="7">
        <v>20.43</v>
      </c>
      <c r="H24" s="7">
        <v>53.74</v>
      </c>
      <c r="I24" s="7">
        <v>34.76</v>
      </c>
      <c r="J24" s="8">
        <v>8940</v>
      </c>
      <c r="K24" s="10">
        <f t="shared" si="0"/>
        <v>0.89400000000000002</v>
      </c>
      <c r="L24" s="9">
        <f t="shared" si="1"/>
        <v>98.63</v>
      </c>
      <c r="M24" s="9">
        <f t="shared" si="2"/>
        <v>18.724526006286119</v>
      </c>
      <c r="N24" s="9">
        <f t="shared" si="3"/>
        <v>2.4738923248504512</v>
      </c>
      <c r="O24" s="9">
        <f t="shared" si="4"/>
        <v>33.164351617155027</v>
      </c>
      <c r="P24" s="9">
        <f t="shared" si="5"/>
        <v>20.713778769137178</v>
      </c>
      <c r="Q24" s="9">
        <f t="shared" si="6"/>
        <v>54.486464564534124</v>
      </c>
      <c r="R24" s="9">
        <f t="shared" si="7"/>
        <v>35.24282672614823</v>
      </c>
      <c r="S24" s="9">
        <f t="shared" si="8"/>
        <v>0.9064179255804522</v>
      </c>
      <c r="T24" s="9">
        <f t="shared" si="9"/>
        <v>79.286221230862822</v>
      </c>
    </row>
    <row r="25" spans="1:20" x14ac:dyDescent="0.2">
      <c r="A25" s="6">
        <v>24</v>
      </c>
      <c r="B25" s="6" t="s">
        <v>4</v>
      </c>
      <c r="C25" s="7">
        <v>17.12</v>
      </c>
      <c r="D25" s="7">
        <v>1.7</v>
      </c>
      <c r="E25" s="7">
        <v>2.14</v>
      </c>
      <c r="F25" s="7">
        <v>33.14</v>
      </c>
      <c r="G25" s="7">
        <v>15.82</v>
      </c>
      <c r="H25" s="7">
        <v>55.76</v>
      </c>
      <c r="I25" s="7">
        <v>40.01</v>
      </c>
      <c r="J25" s="8">
        <v>8350</v>
      </c>
      <c r="K25" s="10">
        <f t="shared" si="0"/>
        <v>0.83499999999999996</v>
      </c>
      <c r="L25" s="9">
        <f t="shared" si="1"/>
        <v>98.3</v>
      </c>
      <c r="M25" s="9">
        <f t="shared" si="2"/>
        <v>17.416073245167855</v>
      </c>
      <c r="N25" s="9">
        <f t="shared" si="3"/>
        <v>2.1770091556459819</v>
      </c>
      <c r="O25" s="9">
        <f t="shared" si="4"/>
        <v>33.713123092573753</v>
      </c>
      <c r="P25" s="9">
        <f t="shared" si="5"/>
        <v>16.093591047812819</v>
      </c>
      <c r="Q25" s="9">
        <f t="shared" si="6"/>
        <v>56.724313326551375</v>
      </c>
      <c r="R25" s="9">
        <f t="shared" si="7"/>
        <v>40.70193285859613</v>
      </c>
      <c r="S25" s="9">
        <f t="shared" si="8"/>
        <v>0.84944048830111896</v>
      </c>
      <c r="T25" s="9">
        <f t="shared" si="9"/>
        <v>83.906408952187178</v>
      </c>
    </row>
  </sheetData>
  <sortState xmlns:xlrd2="http://schemas.microsoft.com/office/spreadsheetml/2017/richdata2" ref="A2:S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6BFA-F5C6-E14F-A1CB-533E0215F7B9}">
  <dimension ref="A1:U5"/>
  <sheetViews>
    <sheetView workbookViewId="0">
      <selection activeCell="N14" sqref="N14"/>
    </sheetView>
  </sheetViews>
  <sheetFormatPr baseColWidth="10" defaultRowHeight="16" x14ac:dyDescent="0.2"/>
  <cols>
    <col min="8" max="8" width="15.1640625" customWidth="1"/>
    <col min="9" max="9" width="11.5" customWidth="1"/>
  </cols>
  <sheetData>
    <row r="1" spans="1:21" x14ac:dyDescent="0.2">
      <c r="A1" s="12" t="s">
        <v>28</v>
      </c>
      <c r="B1" s="4" t="s">
        <v>7</v>
      </c>
      <c r="C1" s="4" t="s">
        <v>6</v>
      </c>
      <c r="D1" s="4" t="s">
        <v>8</v>
      </c>
      <c r="E1" s="4" t="s">
        <v>9</v>
      </c>
      <c r="F1" s="4" t="s">
        <v>10</v>
      </c>
      <c r="G1" s="5" t="s">
        <v>18</v>
      </c>
      <c r="H1" s="5" t="s">
        <v>13</v>
      </c>
      <c r="I1" s="5" t="s">
        <v>27</v>
      </c>
      <c r="J1" s="4" t="s">
        <v>12</v>
      </c>
      <c r="K1" s="4" t="s">
        <v>11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29</v>
      </c>
      <c r="R1" s="5" t="s">
        <v>26</v>
      </c>
      <c r="S1" s="5" t="s">
        <v>25</v>
      </c>
      <c r="T1" s="5" t="s">
        <v>24</v>
      </c>
      <c r="U1" s="5" t="s">
        <v>35</v>
      </c>
    </row>
    <row r="2" spans="1:21" x14ac:dyDescent="0.2">
      <c r="A2" s="11" t="s">
        <v>14</v>
      </c>
      <c r="B2" s="7">
        <v>15.72</v>
      </c>
      <c r="C2" s="7">
        <v>11.72</v>
      </c>
      <c r="D2" s="7">
        <v>1.18</v>
      </c>
      <c r="E2" s="7">
        <v>13.04</v>
      </c>
      <c r="F2" s="7">
        <v>7.89</v>
      </c>
      <c r="G2" s="7">
        <v>35.25</v>
      </c>
      <c r="H2" s="1">
        <v>2150</v>
      </c>
      <c r="I2" s="13">
        <f>H2/10000</f>
        <v>0.215</v>
      </c>
      <c r="J2" s="7">
        <v>16.309999999999999</v>
      </c>
      <c r="K2" s="7">
        <v>24.58</v>
      </c>
      <c r="L2" s="9">
        <f>100-C2</f>
        <v>88.28</v>
      </c>
      <c r="M2" s="9">
        <f>B2/(L2/100)</f>
        <v>17.806977797915724</v>
      </c>
      <c r="N2" s="9">
        <f>D2/(L2/100)</f>
        <v>1.3366560942455821</v>
      </c>
      <c r="O2" s="9">
        <f>E2/(L2/100)</f>
        <v>14.771182600815585</v>
      </c>
      <c r="P2" s="9">
        <f>F2/(L2/100)</f>
        <v>8.9374716810149515</v>
      </c>
      <c r="Q2" s="9">
        <f>G2/(L2/100)</f>
        <v>39.929768917082008</v>
      </c>
      <c r="R2" s="9">
        <f>I2/(L2/100)</f>
        <v>0.24354327140915269</v>
      </c>
      <c r="S2" s="9">
        <f>J2/(L2/100)</f>
        <v>18.475305845038513</v>
      </c>
      <c r="T2" s="9">
        <f>K2/(L2/100)</f>
        <v>27.843226098776618</v>
      </c>
      <c r="U2" s="9">
        <f>100-P2</f>
        <v>91.062528318985045</v>
      </c>
    </row>
    <row r="3" spans="1:21" x14ac:dyDescent="0.2">
      <c r="A3" s="11" t="s">
        <v>15</v>
      </c>
      <c r="B3" s="7">
        <v>16.059999999999999</v>
      </c>
      <c r="C3" s="7">
        <v>11.86</v>
      </c>
      <c r="D3" s="7">
        <v>0.81</v>
      </c>
      <c r="E3" s="7">
        <v>12.57</v>
      </c>
      <c r="F3" s="7">
        <v>7.62</v>
      </c>
      <c r="G3" s="7">
        <v>32.58</v>
      </c>
      <c r="H3" s="1">
        <v>1990</v>
      </c>
      <c r="I3" s="13">
        <f t="shared" ref="I3:I5" si="0">H3/10000</f>
        <v>0.19900000000000001</v>
      </c>
      <c r="J3" s="7">
        <v>15.62</v>
      </c>
      <c r="K3" s="7">
        <v>22.99</v>
      </c>
      <c r="L3" s="9">
        <f t="shared" ref="L3:L5" si="1">100-C3</f>
        <v>88.14</v>
      </c>
      <c r="M3" s="9">
        <f t="shared" ref="M3:M5" si="2">B3/(L3/100)</f>
        <v>18.221012026321759</v>
      </c>
      <c r="N3" s="9">
        <f t="shared" ref="N3:N5" si="3">D3/(L3/100)</f>
        <v>0.91899251191286602</v>
      </c>
      <c r="O3" s="9">
        <f t="shared" ref="O3:O5" si="4">E3/(L3/100)</f>
        <v>14.26140231449966</v>
      </c>
      <c r="P3" s="9">
        <f t="shared" ref="P3:P5" si="5">F3/(L3/100)</f>
        <v>8.6453369639210358</v>
      </c>
      <c r="Q3" s="9">
        <f t="shared" ref="Q3:Q5" si="6">G3/(L3/100)</f>
        <v>36.963921034717494</v>
      </c>
      <c r="R3" s="9">
        <f t="shared" ref="R3:R5" si="7">I3/(L3/100)</f>
        <v>0.22577717267982758</v>
      </c>
      <c r="S3" s="9">
        <f t="shared" ref="S3:S5" si="8">J3/(L3/100)</f>
        <v>17.721806217381438</v>
      </c>
      <c r="T3" s="9">
        <f t="shared" ref="T3:T5" si="9">K3/(L3/100)</f>
        <v>26.083503517131835</v>
      </c>
      <c r="U3" s="9">
        <f t="shared" ref="U3:U5" si="10">100-P3</f>
        <v>91.354663036078961</v>
      </c>
    </row>
    <row r="4" spans="1:21" x14ac:dyDescent="0.2">
      <c r="A4" s="11" t="s">
        <v>16</v>
      </c>
      <c r="B4" s="7">
        <v>17.07</v>
      </c>
      <c r="C4" s="7">
        <v>11.34</v>
      </c>
      <c r="D4" s="7">
        <v>1.5</v>
      </c>
      <c r="E4" s="7">
        <v>12.19</v>
      </c>
      <c r="F4" s="7">
        <v>7.05</v>
      </c>
      <c r="G4" s="7">
        <v>33.11</v>
      </c>
      <c r="H4" s="1">
        <v>2220</v>
      </c>
      <c r="I4" s="13">
        <f t="shared" si="0"/>
        <v>0.222</v>
      </c>
      <c r="J4" s="7">
        <v>15.57</v>
      </c>
      <c r="K4" s="7">
        <v>22.32</v>
      </c>
      <c r="L4" s="9">
        <f t="shared" si="1"/>
        <v>88.66</v>
      </c>
      <c r="M4" s="9">
        <f t="shared" si="2"/>
        <v>19.25332731784345</v>
      </c>
      <c r="N4" s="9">
        <f t="shared" si="3"/>
        <v>1.6918565305662081</v>
      </c>
      <c r="O4" s="9">
        <f t="shared" si="4"/>
        <v>13.749154071734717</v>
      </c>
      <c r="P4" s="9">
        <f t="shared" si="5"/>
        <v>7.951725693661178</v>
      </c>
      <c r="Q4" s="9">
        <f t="shared" si="6"/>
        <v>37.344913151364764</v>
      </c>
      <c r="R4" s="9">
        <f t="shared" si="7"/>
        <v>0.25039476652379883</v>
      </c>
      <c r="S4" s="9">
        <f t="shared" si="8"/>
        <v>17.561470787277241</v>
      </c>
      <c r="T4" s="9">
        <f t="shared" si="9"/>
        <v>25.174825174825177</v>
      </c>
      <c r="U4" s="9">
        <f t="shared" si="10"/>
        <v>92.048274306338826</v>
      </c>
    </row>
    <row r="5" spans="1:21" x14ac:dyDescent="0.2">
      <c r="A5" s="11" t="s">
        <v>17</v>
      </c>
      <c r="B5" s="7">
        <v>17.7</v>
      </c>
      <c r="C5" s="7">
        <v>11.17</v>
      </c>
      <c r="D5" s="7">
        <v>1.1000000000000001</v>
      </c>
      <c r="E5" s="7">
        <v>13.28</v>
      </c>
      <c r="F5" s="7">
        <v>7.74</v>
      </c>
      <c r="G5" s="7">
        <v>31.34</v>
      </c>
      <c r="H5" s="1">
        <v>2300</v>
      </c>
      <c r="I5" s="13">
        <f t="shared" si="0"/>
        <v>0.23</v>
      </c>
      <c r="J5" s="7">
        <v>17.04</v>
      </c>
      <c r="K5" s="7">
        <v>22.65</v>
      </c>
      <c r="L5" s="9">
        <f t="shared" si="1"/>
        <v>88.83</v>
      </c>
      <c r="M5" s="9">
        <f t="shared" si="2"/>
        <v>19.925700776764607</v>
      </c>
      <c r="N5" s="9">
        <f t="shared" si="3"/>
        <v>1.2383203872565576</v>
      </c>
      <c r="O5" s="9">
        <f t="shared" si="4"/>
        <v>14.949904311606439</v>
      </c>
      <c r="P5" s="9">
        <f t="shared" si="5"/>
        <v>8.7132725430597784</v>
      </c>
      <c r="Q5" s="9">
        <f t="shared" si="6"/>
        <v>35.280873578745918</v>
      </c>
      <c r="R5" s="9">
        <f t="shared" si="7"/>
        <v>0.2589215355172802</v>
      </c>
      <c r="S5" s="9">
        <f t="shared" si="8"/>
        <v>19.182708544410673</v>
      </c>
      <c r="T5" s="9">
        <f t="shared" si="9"/>
        <v>25.498142519419115</v>
      </c>
      <c r="U5" s="9">
        <f t="shared" si="10"/>
        <v>91.286727456940227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B04C-E7BA-6845-AA4E-96634765D148}">
  <dimension ref="A3:F31"/>
  <sheetViews>
    <sheetView tabSelected="1" workbookViewId="0">
      <selection activeCell="I20" sqref="I20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6" width="12.1640625" bestFit="1" customWidth="1"/>
    <col min="7" max="8" width="15.5" bestFit="1" customWidth="1"/>
    <col min="9" max="9" width="17.83203125" bestFit="1" customWidth="1"/>
    <col min="10" max="10" width="18.5" bestFit="1" customWidth="1"/>
  </cols>
  <sheetData>
    <row r="3" spans="1:6" x14ac:dyDescent="0.2">
      <c r="B3" s="19" t="s">
        <v>36</v>
      </c>
    </row>
    <row r="4" spans="1:6" x14ac:dyDescent="0.2">
      <c r="A4" s="19" t="s">
        <v>38</v>
      </c>
      <c r="B4" t="s">
        <v>3</v>
      </c>
      <c r="C4" t="s">
        <v>5</v>
      </c>
      <c r="D4" t="s">
        <v>2</v>
      </c>
      <c r="E4" t="s">
        <v>4</v>
      </c>
      <c r="F4" t="s">
        <v>37</v>
      </c>
    </row>
    <row r="5" spans="1:6" x14ac:dyDescent="0.2">
      <c r="A5" s="21" t="s">
        <v>39</v>
      </c>
      <c r="B5" s="24">
        <v>73.83114811404225</v>
      </c>
      <c r="C5" s="24">
        <v>71.667381242911389</v>
      </c>
      <c r="D5" s="24">
        <v>70.90090722629175</v>
      </c>
      <c r="E5" s="24">
        <v>71.7273494014797</v>
      </c>
      <c r="F5" s="24">
        <v>72.031696496181269</v>
      </c>
    </row>
    <row r="6" spans="1:6" x14ac:dyDescent="0.2">
      <c r="A6" s="21" t="s">
        <v>40</v>
      </c>
      <c r="B6" s="24">
        <v>71.21406395630369</v>
      </c>
      <c r="C6" s="24">
        <v>56.600394038613587</v>
      </c>
      <c r="D6" s="24">
        <v>64.674888360339452</v>
      </c>
      <c r="E6" s="24">
        <v>59.419394378986887</v>
      </c>
      <c r="F6" s="24">
        <v>62.977185183560891</v>
      </c>
    </row>
    <row r="7" spans="1:6" x14ac:dyDescent="0.2">
      <c r="A7" s="21" t="s">
        <v>41</v>
      </c>
      <c r="B7" s="24">
        <v>44.856429392714936</v>
      </c>
      <c r="C7" s="24">
        <v>40.632929670741923</v>
      </c>
      <c r="D7" s="24">
        <v>29.45241769450962</v>
      </c>
      <c r="E7" s="24">
        <v>29.221287936725588</v>
      </c>
      <c r="F7" s="24">
        <v>36.040766173673013</v>
      </c>
    </row>
    <row r="8" spans="1:6" x14ac:dyDescent="0.2">
      <c r="A8" s="21" t="s">
        <v>42</v>
      </c>
      <c r="B8" s="24">
        <v>42.050220316236405</v>
      </c>
      <c r="C8" s="24">
        <v>37.16487863209781</v>
      </c>
      <c r="D8" s="24">
        <v>29.539657631674441</v>
      </c>
      <c r="E8" s="24">
        <v>33.448836977424172</v>
      </c>
      <c r="F8" s="24">
        <v>35.550898389358203</v>
      </c>
    </row>
    <row r="9" spans="1:6" x14ac:dyDescent="0.2">
      <c r="A9" s="22" t="s">
        <v>43</v>
      </c>
      <c r="B9" s="18">
        <v>75.085361619187509</v>
      </c>
      <c r="C9" s="18">
        <v>74.389634775297694</v>
      </c>
      <c r="D9" s="18">
        <v>71.260602518889598</v>
      </c>
      <c r="E9" s="18">
        <v>70.463665332567075</v>
      </c>
      <c r="F9" s="18">
        <v>72.799816061485458</v>
      </c>
    </row>
    <row r="10" spans="1:6" x14ac:dyDescent="0.2">
      <c r="A10" s="23" t="s">
        <v>44</v>
      </c>
      <c r="B10" s="25">
        <v>75.073057001081878</v>
      </c>
      <c r="C10" s="25">
        <v>75.507280131937662</v>
      </c>
      <c r="D10" s="25">
        <v>75.362385727577504</v>
      </c>
      <c r="E10" s="25">
        <v>73.357691396867281</v>
      </c>
      <c r="F10" s="25">
        <v>75.507280131937662</v>
      </c>
    </row>
    <row r="11" spans="1:6" x14ac:dyDescent="0.2">
      <c r="A11" s="21" t="s">
        <v>45</v>
      </c>
      <c r="B11" s="24">
        <v>49.665766318126821</v>
      </c>
      <c r="C11" s="24">
        <v>62.855483032291588</v>
      </c>
      <c r="D11" s="24">
        <v>43.491442819902517</v>
      </c>
      <c r="E11" s="24">
        <v>47.519194210752964</v>
      </c>
      <c r="F11" s="24">
        <v>62.855483032291588</v>
      </c>
    </row>
    <row r="12" spans="1:6" x14ac:dyDescent="0.2">
      <c r="A12" s="21" t="s">
        <v>46</v>
      </c>
      <c r="B12" s="24">
        <v>81.375761876930781</v>
      </c>
      <c r="C12" s="24">
        <v>77.271985642029705</v>
      </c>
      <c r="D12" s="24">
        <v>83.305449936628648</v>
      </c>
      <c r="E12" s="24">
        <v>79.500891265597147</v>
      </c>
      <c r="F12" s="24">
        <v>83.305449936628648</v>
      </c>
    </row>
    <row r="13" spans="1:6" x14ac:dyDescent="0.2">
      <c r="A13" s="21" t="s">
        <v>47</v>
      </c>
      <c r="B13" s="24">
        <v>49.853979284410521</v>
      </c>
      <c r="C13" s="24">
        <v>59.846312939811497</v>
      </c>
      <c r="D13" s="24">
        <v>41.535815484365905</v>
      </c>
      <c r="E13" s="24">
        <v>38.959262386970273</v>
      </c>
      <c r="F13" s="24">
        <v>59.846312939811497</v>
      </c>
    </row>
    <row r="14" spans="1:6" x14ac:dyDescent="0.2">
      <c r="A14" s="22" t="s">
        <v>48</v>
      </c>
      <c r="B14" s="18">
        <v>77.034322542470321</v>
      </c>
      <c r="C14" s="18">
        <v>80.726321635715749</v>
      </c>
      <c r="D14" s="18">
        <v>76.417790495686077</v>
      </c>
      <c r="E14" s="18">
        <v>75.189828298603786</v>
      </c>
      <c r="F14" s="18">
        <v>80.726321635715749</v>
      </c>
    </row>
    <row r="15" spans="1:6" x14ac:dyDescent="0.2">
      <c r="A15" s="23" t="s">
        <v>49</v>
      </c>
      <c r="B15" s="25">
        <v>72.041632196442677</v>
      </c>
      <c r="C15" s="25">
        <v>68.893228952368403</v>
      </c>
      <c r="D15" s="25">
        <v>65.580318520896469</v>
      </c>
      <c r="E15" s="25">
        <v>68.976896127260673</v>
      </c>
      <c r="F15" s="25">
        <v>65.580318520896469</v>
      </c>
    </row>
    <row r="16" spans="1:6" x14ac:dyDescent="0.2">
      <c r="A16" s="21" t="s">
        <v>50</v>
      </c>
      <c r="B16" s="24">
        <v>51.086338300534635</v>
      </c>
      <c r="C16" s="24">
        <v>27.225892559225883</v>
      </c>
      <c r="D16" s="24">
        <v>46.352128883774448</v>
      </c>
      <c r="E16" s="24">
        <v>42.932682529997969</v>
      </c>
      <c r="F16" s="24">
        <v>27.225892559225883</v>
      </c>
    </row>
    <row r="17" spans="1:6" x14ac:dyDescent="0.2">
      <c r="A17" s="21" t="s">
        <v>51</v>
      </c>
      <c r="B17" s="24">
        <v>40.344086064604561</v>
      </c>
      <c r="C17" s="24">
        <v>27.339812791322629</v>
      </c>
      <c r="D17" s="24">
        <v>7.435334065714585</v>
      </c>
      <c r="E17" s="24">
        <v>22.422829800091236</v>
      </c>
      <c r="F17" s="24">
        <v>7.435334065714585</v>
      </c>
    </row>
    <row r="18" spans="1:6" x14ac:dyDescent="0.2">
      <c r="A18" s="21" t="s">
        <v>52</v>
      </c>
      <c r="B18" s="24">
        <v>73.41676997053159</v>
      </c>
      <c r="C18" s="24">
        <v>69.323584765489571</v>
      </c>
      <c r="D18" s="24">
        <v>65.061989686658166</v>
      </c>
      <c r="E18" s="24">
        <v>67.302693537975244</v>
      </c>
      <c r="F18" s="24">
        <v>65.061989686658166</v>
      </c>
    </row>
    <row r="19" spans="1:6" x14ac:dyDescent="0.2">
      <c r="A19" s="22" t="s">
        <v>53</v>
      </c>
      <c r="B19" s="18">
        <v>36.313588629176706</v>
      </c>
      <c r="C19" s="18">
        <v>20.538100893192151</v>
      </c>
      <c r="D19" s="18">
        <v>8.4915621253064728</v>
      </c>
      <c r="E19" s="18">
        <v>24.876891704041739</v>
      </c>
      <c r="F19" s="18">
        <v>8.4915621253064728</v>
      </c>
    </row>
    <row r="20" spans="1:6" x14ac:dyDescent="0.2">
      <c r="A20" s="20" t="s">
        <v>54</v>
      </c>
      <c r="B20" s="9">
        <v>1.109645398652062</v>
      </c>
      <c r="C20" s="9">
        <v>2.4384646807423858</v>
      </c>
      <c r="D20" s="9">
        <v>3.2152165890120874</v>
      </c>
      <c r="E20" s="9">
        <v>1.6618431940745613</v>
      </c>
      <c r="F20" s="9">
        <v>2.375931823279938</v>
      </c>
    </row>
    <row r="21" spans="1:6" x14ac:dyDescent="0.2">
      <c r="A21" s="20" t="s">
        <v>55</v>
      </c>
      <c r="B21" s="9">
        <v>4.0125490935519403</v>
      </c>
      <c r="C21" s="9">
        <v>12.763518210330027</v>
      </c>
      <c r="D21" s="9">
        <v>12.313223512019119</v>
      </c>
      <c r="E21" s="9">
        <v>6.2221800612252718</v>
      </c>
      <c r="F21" s="9">
        <v>11.380738385571831</v>
      </c>
    </row>
    <row r="22" spans="1:6" x14ac:dyDescent="0.2">
      <c r="A22" s="20" t="s">
        <v>56</v>
      </c>
      <c r="B22" s="9">
        <v>1.5305342269732558</v>
      </c>
      <c r="C22" s="9">
        <v>4.5645770410113249</v>
      </c>
      <c r="D22" s="9">
        <v>3.9784677799109693</v>
      </c>
      <c r="E22" s="9">
        <v>2.9524778108985705</v>
      </c>
      <c r="F22" s="9">
        <v>3.7997956008923963</v>
      </c>
    </row>
    <row r="23" spans="1:6" x14ac:dyDescent="0.2">
      <c r="A23" s="20" t="s">
        <v>57</v>
      </c>
      <c r="B23" s="9">
        <v>12.791225184158993</v>
      </c>
      <c r="C23" s="9">
        <v>19.554439555743592</v>
      </c>
      <c r="D23" s="9">
        <v>13.852326484037521</v>
      </c>
      <c r="E23" s="9">
        <v>16.286320761484912</v>
      </c>
      <c r="F23" s="9">
        <v>15.825010416013289</v>
      </c>
    </row>
    <row r="24" spans="1:6" x14ac:dyDescent="0.2">
      <c r="A24" s="20" t="s">
        <v>58</v>
      </c>
      <c r="B24" s="9">
        <v>4.8694169369281308</v>
      </c>
      <c r="C24" s="9">
        <v>15.989245782627773</v>
      </c>
      <c r="D24" s="9">
        <v>12.491602161723113</v>
      </c>
      <c r="E24" s="9">
        <v>8.0324677535442568</v>
      </c>
      <c r="F24" s="9">
        <v>11.443695997786355</v>
      </c>
    </row>
    <row r="25" spans="1:6" x14ac:dyDescent="0.2">
      <c r="B25" s="9"/>
      <c r="C25" s="9"/>
      <c r="D25" s="9"/>
      <c r="E25" s="9"/>
      <c r="F25" s="9"/>
    </row>
    <row r="26" spans="1:6" x14ac:dyDescent="0.2">
      <c r="B26" s="9"/>
      <c r="C26" s="9"/>
      <c r="D26" s="9"/>
      <c r="E26" s="9"/>
      <c r="F26" s="9"/>
    </row>
    <row r="27" spans="1:6" x14ac:dyDescent="0.2">
      <c r="A27" s="20" t="s">
        <v>59</v>
      </c>
      <c r="B27" s="9">
        <f>GETPIVOTDATA("StdDev of CP_dig",$A$3,"Treatment","A")/GETPIVOTDATA("Average of CP_dig",$A$3,"Treatment","A")*100</f>
        <v>1.5029502140994255</v>
      </c>
      <c r="C27" s="9">
        <f>GETPIVOTDATA("StdDev of CP_dig",$A$3,"Treatment","B")/GETPIVOTDATA("Average of CP_dig",$A$3,"Treatment","B")*100</f>
        <v>3.4024749313462235</v>
      </c>
      <c r="D27" s="9">
        <f>GETPIVOTDATA("StdDev of CP_dig",$A$3,"Treatment","C")/GETPIVOTDATA("Average of CP_dig",$A$3,"Treatment","C")*100</f>
        <v>4.5348031707834178</v>
      </c>
      <c r="E27" s="9">
        <f>GETPIVOTDATA("StdDev of CP_dig",$A$3,"Treatment","D")/GETPIVOTDATA("Average of CP_dig",$A$3,"Treatment","D")*100</f>
        <v>2.3168891753865344</v>
      </c>
      <c r="F27" s="9">
        <f>GETPIVOTDATA("StdDev of CP_dig",$A$3)/GETPIVOTDATA("Average of CP_dig",$A$3)*100</f>
        <v>3.2984532349670497</v>
      </c>
    </row>
    <row r="28" spans="1:6" x14ac:dyDescent="0.2">
      <c r="A28" s="20" t="s">
        <v>60</v>
      </c>
      <c r="B28" s="9">
        <f>GETPIVOTDATA("StdDev of Fat_dig",$A$3,"Treatment","A")/GETPIVOTDATA("Average of Fat_dig",$A$3,"Treatment","A")*100</f>
        <v>17.961655989760075</v>
      </c>
      <c r="C28" s="9">
        <f>GETPIVOTDATA("StdDev of Fat_dig",$A$3,"Treatment","B")/GETPIVOTDATA("Average of Fat_dig",$A$3,"Treatment","B")*100</f>
        <v>34.548239262085836</v>
      </c>
      <c r="D28" s="9">
        <f>GETPIVOTDATA("StdDev of Fat_dig",$A$3,"Treatment","C")/GETPIVOTDATA("Average of Fat_dig",$A$3,"Treatment","C")*100</f>
        <v>21.418400302229475</v>
      </c>
      <c r="E28" s="9">
        <f>GETPIVOTDATA("StdDev of Fat_dig",$A$3,"Treatment","D")/GETPIVOTDATA("Average of Fat_dig",$A$3,"Treatment","D")*100</f>
        <v>27.409099220379158</v>
      </c>
      <c r="F28" s="9">
        <f>GETPIVOTDATA("StdDev of Fat_dig",$A$3)/GETPIVOTDATA("Average of Fat_dig",$A$3)*100</f>
        <v>25.128164064316</v>
      </c>
    </row>
    <row r="29" spans="1:6" x14ac:dyDescent="0.2">
      <c r="A29" s="20" t="s">
        <v>61</v>
      </c>
      <c r="B29" s="9">
        <f>GETPIVOTDATA("StdDev of NDF_dig",$A$3,"Treatment","A")/GETPIVOTDATA("Average of NDF_dig",$A$3,"Treatment","A")*100</f>
        <v>8.9453154160406978</v>
      </c>
      <c r="C29" s="9">
        <f>GETPIVOTDATA("StdDev of NDF_dig",$A$3,"Treatment","B")/GETPIVOTDATA("Average of NDF_dig",$A$3,"Treatment","B")*100</f>
        <v>31.411759658375072</v>
      </c>
      <c r="D29" s="9">
        <f>GETPIVOTDATA("StdDev of NDF_dig",$A$3,"Treatment","C")/GETPIVOTDATA("Average of NDF_dig",$A$3,"Treatment","C")*100</f>
        <v>41.807173997516998</v>
      </c>
      <c r="E29" s="9">
        <f>GETPIVOTDATA("StdDev of NDF_dig",$A$3,"Treatment","D")/GETPIVOTDATA("Average of NDF_dig",$A$3,"Treatment","D")*100</f>
        <v>21.293312172613643</v>
      </c>
      <c r="F29" s="9">
        <f>GETPIVOTDATA("StdDev of NDF_dig",$A$3)/GETPIVOTDATA("Average of NDF_dig",$A$3)*100</f>
        <v>31.577404128231905</v>
      </c>
    </row>
    <row r="30" spans="1:6" x14ac:dyDescent="0.2">
      <c r="A30" s="20" t="s">
        <v>62</v>
      </c>
      <c r="B30" s="9">
        <f>GETPIVOTDATA("StdDev of ADF_dig",$A$3,"Treatment","A")/GETPIVOTDATA("Average of ADF_dig",$A$3,"Treatment","A")*100</f>
        <v>11.580003387159318</v>
      </c>
      <c r="C30" s="9">
        <f>GETPIVOTDATA("StdDev of ADF_dig",$A$3,"Treatment","B")/GETPIVOTDATA("Average of ADF_dig",$A$3,"Treatment","B")*100</f>
        <v>43.022461988665029</v>
      </c>
      <c r="D30" s="9">
        <f>GETPIVOTDATA("StdDev of ADF_dig",$A$3,"Treatment","C")/GETPIVOTDATA("Average of ADF_dig",$A$3,"Treatment","C")*100</f>
        <v>42.287565812302319</v>
      </c>
      <c r="E30" s="9">
        <f>GETPIVOTDATA("StdDev of ADF_dig",$A$3,"Treatment","D")/GETPIVOTDATA("Average of ADF_dig",$A$3,"Treatment","D")*100</f>
        <v>24.014191461920365</v>
      </c>
      <c r="F30" s="9">
        <f>GETPIVOTDATA("StdDev of ADF_dig",$A$3)/GETPIVOTDATA("Average of ADF_dig",$A$3)*100</f>
        <v>32.189611279167863</v>
      </c>
    </row>
    <row r="31" spans="1:6" x14ac:dyDescent="0.2">
      <c r="A31" s="20" t="s">
        <v>63</v>
      </c>
      <c r="B31" s="9">
        <f>GETPIVOTDATA("StdDev of OM_dig",$A$3,"Treatment","A")/GETPIVOTDATA("Average of OM_dig",$A$3,"Treatment","A")*100</f>
        <v>2.0383922964048682</v>
      </c>
      <c r="C31" s="9">
        <f>GETPIVOTDATA("StdDev of OM_dig",$A$3,"Treatment","B")/GETPIVOTDATA("Average of OM_dig",$A$3,"Treatment","B")*100</f>
        <v>6.136039052751296</v>
      </c>
      <c r="D31" s="9">
        <f>GETPIVOTDATA("StdDev of OM_dig",$A$3,"Treatment","C")/GETPIVOTDATA("Average of OM_dig",$A$3,"Treatment","C")*100</f>
        <v>5.5829836393207124</v>
      </c>
      <c r="E31" s="9">
        <f>GETPIVOTDATA("StdDev of OM_dig",$A$3,"Treatment","D")/GETPIVOTDATA("Average of OM_dig",$A$3,"Treatment","D")*100</f>
        <v>4.1900712898822006</v>
      </c>
      <c r="F31" s="9">
        <f>GETPIVOTDATA("StdDev of OM_dig",$A$3)/GETPIVOTDATA("Average of OM_dig",$A$3)*100</f>
        <v>5.2195126395417741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29AD-C36C-1641-81AA-CE3A8D557D04}">
  <dimension ref="A1:G25"/>
  <sheetViews>
    <sheetView workbookViewId="0">
      <selection activeCell="H7" sqref="H7"/>
    </sheetView>
  </sheetViews>
  <sheetFormatPr baseColWidth="10" defaultRowHeight="16" x14ac:dyDescent="0.2"/>
  <sheetData>
    <row r="1" spans="1:7" x14ac:dyDescent="0.2">
      <c r="A1" s="2" t="str">
        <f>Fecal!A1</f>
        <v>Pen</v>
      </c>
      <c r="B1" s="3" t="str">
        <f>Fecal!B1</f>
        <v>Treatment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</row>
    <row r="2" spans="1:7" x14ac:dyDescent="0.2">
      <c r="A2" s="6">
        <f>Fecal!A2</f>
        <v>2</v>
      </c>
      <c r="B2" s="6" t="str">
        <f>Fecal!B2</f>
        <v>A</v>
      </c>
      <c r="C2" s="9">
        <f>100-(100*(Feed!$R$2/Fecal!S2)*(Fecal!M2/Feed!$M$2))</f>
        <v>72.966939760832901</v>
      </c>
      <c r="D2" s="9">
        <f>100-(100*(Feed!$R$2/Fecal!S2)*(Fecal!N2/Feed!$N$2))</f>
        <v>79.087767223360444</v>
      </c>
      <c r="E2" s="9">
        <f>100-(100*(Feed!$R$2/Fecal!S2)*(Fecal!Q2/Feed!$T$2))</f>
        <v>41.024846232331981</v>
      </c>
      <c r="F2" s="9">
        <f>100-(100*(Feed!$R$2/Fecal!S2)*(Fecal!R2/Feed!$S$2))</f>
        <v>40.044797494215011</v>
      </c>
      <c r="G2" s="9">
        <f>100-(100*(Feed!$R$2/Fecal!S2)*(Fecal!T2/Feed!$U$2))</f>
        <v>73.552542466586488</v>
      </c>
    </row>
    <row r="3" spans="1:7" x14ac:dyDescent="0.2">
      <c r="A3" s="6">
        <f>Fecal!A3</f>
        <v>6</v>
      </c>
      <c r="B3" s="6" t="str">
        <f>Fecal!B3</f>
        <v>A</v>
      </c>
      <c r="C3" s="9">
        <f>100-(100*(Feed!$R$2/Fecal!S3)*(Fecal!M3/Feed!$M$2))</f>
        <v>74.321539096348261</v>
      </c>
      <c r="D3" s="9">
        <f>100-(100*(Feed!$R$2/Fecal!S3)*(Fecal!N3/Feed!$N$2))</f>
        <v>76.165826843792942</v>
      </c>
      <c r="E3" s="9">
        <f>100-(100*(Feed!$R$2/Fecal!S3)*(Fecal!Q3/Feed!$T$2))</f>
        <v>49.853979284410521</v>
      </c>
      <c r="F3" s="9">
        <f>100-(100*(Feed!$R$2/Fecal!S3)*(Fecal!R3/Feed!$S$2))</f>
        <v>49.665766318126821</v>
      </c>
      <c r="G3" s="9">
        <f>100-(100*(Feed!$R$2/Fecal!S3)*(Fecal!T3/Feed!$U$2))</f>
        <v>77.034322542470321</v>
      </c>
    </row>
    <row r="4" spans="1:7" x14ac:dyDescent="0.2">
      <c r="A4" s="6">
        <f>Fecal!A4</f>
        <v>8</v>
      </c>
      <c r="B4" s="6" t="str">
        <f>Fecal!B4</f>
        <v>A</v>
      </c>
      <c r="C4" s="9">
        <f>100-(100*(Feed!$R$2/Fecal!S4)*(Fecal!M4/Feed!$M$2))</f>
        <v>74.289763459610782</v>
      </c>
      <c r="D4" s="9">
        <f>100-(100*(Feed!$R$2/Fecal!S4)*(Fecal!N4/Feed!$N$2))</f>
        <v>80.250681521867961</v>
      </c>
      <c r="E4" s="9">
        <f>100-(100*(Feed!$R$2/Fecal!S4)*(Fecal!Q4/Feed!$T$2))</f>
        <v>45.10219235605728</v>
      </c>
      <c r="F4" s="9">
        <f>100-(100*(Feed!$R$2/Fecal!S4)*(Fecal!R4/Feed!$S$2))</f>
        <v>43.200218951291916</v>
      </c>
      <c r="G4" s="9">
        <f>100-(100*(Feed!$R$2/Fecal!S4)*(Fecal!T4/Feed!$U$2))</f>
        <v>75.200443293489684</v>
      </c>
    </row>
    <row r="5" spans="1:7" x14ac:dyDescent="0.2">
      <c r="A5" s="6">
        <f>Fecal!A5</f>
        <v>9</v>
      </c>
      <c r="B5" s="6" t="str">
        <f>Fecal!B5</f>
        <v>A</v>
      </c>
      <c r="C5" s="9">
        <f>100-(100*(Feed!$R$2/Fecal!S5)*(Fecal!M5/Feed!$M$2))</f>
        <v>72.041632196442677</v>
      </c>
      <c r="D5" s="9">
        <f>100-(100*(Feed!$R$2/Fecal!S5)*(Fecal!N5/Feed!$N$2))</f>
        <v>81.375761876930781</v>
      </c>
      <c r="E5" s="9">
        <f>100-(100*(Feed!$R$2/Fecal!S5)*(Fecal!Q5/Feed!$T$2))</f>
        <v>40.344086064604561</v>
      </c>
      <c r="F5" s="9">
        <f>100-(100*(Feed!$R$2/Fecal!S5)*(Fecal!R5/Feed!$S$2))</f>
        <v>36.313588629176706</v>
      </c>
      <c r="G5" s="9">
        <f>100-(100*(Feed!$R$2/Fecal!S5)*(Fecal!T5/Feed!$U$2))</f>
        <v>73.41676997053159</v>
      </c>
    </row>
    <row r="6" spans="1:7" x14ac:dyDescent="0.2">
      <c r="A6" s="6">
        <f>Fecal!A6</f>
        <v>18</v>
      </c>
      <c r="B6" s="6" t="str">
        <f>Fecal!B6</f>
        <v>A</v>
      </c>
      <c r="C6" s="9">
        <f>100-(100*(Feed!$R$2/Fecal!S6)*(Fecal!M6/Feed!$M$2))</f>
        <v>75.073057001081878</v>
      </c>
      <c r="D6" s="9">
        <f>100-(100*(Feed!$R$2/Fecal!S6)*(Fecal!N6/Feed!$N$2))</f>
        <v>59.318007971335398</v>
      </c>
      <c r="E6" s="9">
        <f>100-(100*(Feed!$R$2/Fecal!S6)*(Fecal!Q6/Feed!$T$2))</f>
        <v>43.612306705140419</v>
      </c>
      <c r="F6" s="9">
        <f>100-(100*(Feed!$R$2/Fecal!S6)*(Fecal!R6/Feed!$S$2))</f>
        <v>38.238275339291711</v>
      </c>
      <c r="G6" s="9">
        <f>100-(100*(Feed!$R$2/Fecal!S6)*(Fecal!T6/Feed!$U$2))</f>
        <v>74.624374227895544</v>
      </c>
    </row>
    <row r="7" spans="1:7" x14ac:dyDescent="0.2">
      <c r="A7" s="6">
        <f>Fecal!A7</f>
        <v>23</v>
      </c>
      <c r="B7" s="6" t="str">
        <f>Fecal!B7</f>
        <v>A</v>
      </c>
      <c r="C7" s="9">
        <f>100-(100*(Feed!$R$2/Fecal!S7)*(Fecal!M7/Feed!$M$2))</f>
        <v>74.293957169936988</v>
      </c>
      <c r="D7" s="9">
        <f>100-(100*(Feed!$R$2/Fecal!S7)*(Fecal!N7/Feed!$N$2))</f>
        <v>51.086338300534635</v>
      </c>
      <c r="E7" s="9">
        <f>100-(100*(Feed!$R$2/Fecal!S7)*(Fecal!Q7/Feed!$T$2))</f>
        <v>49.201165713744821</v>
      </c>
      <c r="F7" s="9">
        <f>100-(100*(Feed!$R$2/Fecal!S7)*(Fecal!R7/Feed!$S$2))</f>
        <v>44.838675165316289</v>
      </c>
      <c r="G7" s="9">
        <f>100-(100*(Feed!$R$2/Fecal!S7)*(Fecal!T7/Feed!$U$2))</f>
        <v>76.683717214151486</v>
      </c>
    </row>
    <row r="8" spans="1:7" x14ac:dyDescent="0.2">
      <c r="A8" s="6">
        <f>Fecal!A8</f>
        <v>7</v>
      </c>
      <c r="B8" s="6" t="str">
        <f>Fecal!B8</f>
        <v>B</v>
      </c>
      <c r="C8" s="9">
        <f>100-(100*(Feed!$R$3/Fecal!S8)*(Fecal!M8/Feed!$M$3))</f>
        <v>69.366819291704445</v>
      </c>
      <c r="D8" s="9">
        <f>100-(100*(Feed!$R$3/Fecal!S8)*(Fecal!N8/Feed!$N$3))</f>
        <v>69.939577039274923</v>
      </c>
      <c r="E8" s="9">
        <f>100-(100*(Feed!$R$3/Fecal!S8)*(Fecal!Q8/Feed!$T$3))</f>
        <v>27.339812791322629</v>
      </c>
      <c r="F8" s="9">
        <f>100-(100*(Feed!$R$3/Fecal!S8)*(Fecal!R8/Feed!$S$3))</f>
        <v>20.538100893192151</v>
      </c>
      <c r="G8" s="9">
        <f>100-(100*(Feed!$R$3/Fecal!S8)*(Fecal!T8/Feed!$U$3))</f>
        <v>69.323584765489571</v>
      </c>
    </row>
    <row r="9" spans="1:7" x14ac:dyDescent="0.2">
      <c r="A9" s="6">
        <f>Fecal!A9</f>
        <v>11</v>
      </c>
      <c r="B9" s="6" t="str">
        <f>Fecal!B9</f>
        <v>B</v>
      </c>
      <c r="C9" s="9">
        <f>100-(100*(Feed!$R$3/Fecal!S9)*(Fecal!M9/Feed!$M$3))</f>
        <v>68.893228952368403</v>
      </c>
      <c r="D9" s="9">
        <f>100-(100*(Feed!$R$3/Fecal!S9)*(Fecal!N9/Feed!$N$3))</f>
        <v>77.271985642029705</v>
      </c>
      <c r="E9" s="9">
        <f>100-(100*(Feed!$R$3/Fecal!S9)*(Fecal!Q9/Feed!$T$3))</f>
        <v>27.346052903037062</v>
      </c>
      <c r="F9" s="9">
        <f>100-(100*(Feed!$R$3/Fecal!S9)*(Fecal!R9/Feed!$S$3))</f>
        <v>24.008528544112082</v>
      </c>
      <c r="G9" s="9">
        <f>100-(100*(Feed!$R$3/Fecal!S9)*(Fecal!T9/Feed!$U$3))</f>
        <v>69.754853365021631</v>
      </c>
    </row>
    <row r="10" spans="1:7" x14ac:dyDescent="0.2">
      <c r="A10" s="6">
        <f>Fecal!A10</f>
        <v>13</v>
      </c>
      <c r="B10" s="6" t="str">
        <f>Fecal!B10</f>
        <v>B</v>
      </c>
      <c r="C10" s="9">
        <f>100-(100*(Feed!$R$3/Fecal!S10)*(Fecal!M10/Feed!$M$3))</f>
        <v>73.051440390151441</v>
      </c>
      <c r="D10" s="9">
        <f>100-(100*(Feed!$R$3/Fecal!S10)*(Fecal!N10/Feed!$N$3))</f>
        <v>62.794542560917201</v>
      </c>
      <c r="E10" s="9">
        <f>100-(100*(Feed!$R$3/Fecal!S10)*(Fecal!Q10/Feed!$T$3))</f>
        <v>41.607631549005632</v>
      </c>
      <c r="F10" s="9">
        <f>100-(100*(Feed!$R$3/Fecal!S10)*(Fecal!R10/Feed!$S$3))</f>
        <v>37.559273034955659</v>
      </c>
      <c r="G10" s="9">
        <f>100-(100*(Feed!$R$3/Fecal!S10)*(Fecal!T10/Feed!$U$3))</f>
        <v>74.812389679846945</v>
      </c>
    </row>
    <row r="11" spans="1:7" x14ac:dyDescent="0.2">
      <c r="A11" s="6">
        <f>Fecal!A11</f>
        <v>14</v>
      </c>
      <c r="B11" s="6" t="str">
        <f>Fecal!B11</f>
        <v>B</v>
      </c>
      <c r="C11" s="9">
        <f>100-(100*(Feed!$R$3/Fecal!S11)*(Fecal!M11/Feed!$M$3))</f>
        <v>71.405057830521159</v>
      </c>
      <c r="D11" s="9">
        <f>100-(100*(Feed!$R$3/Fecal!S11)*(Fecal!N11/Feed!$N$3))</f>
        <v>64.352457032195588</v>
      </c>
      <c r="E11" s="9">
        <f>100-(100*(Feed!$R$3/Fecal!S11)*(Fecal!Q11/Feed!$T$3))</f>
        <v>37.880920093135103</v>
      </c>
      <c r="F11" s="9">
        <f>100-(100*(Feed!$R$3/Fecal!S11)*(Fecal!R11/Feed!$S$3))</f>
        <v>30.021172788364154</v>
      </c>
      <c r="G11" s="9">
        <f>100-(100*(Feed!$R$3/Fecal!S11)*(Fecal!T11/Feed!$U$3))</f>
        <v>73.373107481111333</v>
      </c>
    </row>
    <row r="12" spans="1:7" x14ac:dyDescent="0.2">
      <c r="A12" s="6">
        <f>Fecal!A12</f>
        <v>16</v>
      </c>
      <c r="B12" s="6" t="str">
        <f>Fecal!B12</f>
        <v>B</v>
      </c>
      <c r="C12" s="9">
        <f>100-(100*(Feed!$R$3/Fecal!S12)*(Fecal!M12/Feed!$M$3))</f>
        <v>71.780460860785269</v>
      </c>
      <c r="D12" s="9">
        <f>100-(100*(Feed!$R$3/Fecal!S12)*(Fecal!N12/Feed!$N$3))</f>
        <v>38.017909398038249</v>
      </c>
      <c r="E12" s="9">
        <f>100-(100*(Feed!$R$3/Fecal!S12)*(Fecal!Q12/Feed!$T$3))</f>
        <v>59.846312939811497</v>
      </c>
      <c r="F12" s="9">
        <f>100-(100*(Feed!$R$3/Fecal!S12)*(Fecal!R12/Feed!$S$3))</f>
        <v>62.855483032291588</v>
      </c>
      <c r="G12" s="9">
        <f>100-(100*(Feed!$R$3/Fecal!S12)*(Fecal!T12/Feed!$U$3))</f>
        <v>80.726321635715749</v>
      </c>
    </row>
    <row r="13" spans="1:7" x14ac:dyDescent="0.2">
      <c r="A13" s="6">
        <f>Fecal!A13</f>
        <v>19</v>
      </c>
      <c r="B13" s="6" t="str">
        <f>Fecal!B13</f>
        <v>B</v>
      </c>
      <c r="C13" s="9">
        <f>100-(100*(Feed!$R$3/Fecal!S13)*(Fecal!M13/Feed!$M$3))</f>
        <v>75.507280131937662</v>
      </c>
      <c r="D13" s="9">
        <f>100-(100*(Feed!$R$3/Fecal!S13)*(Fecal!N13/Feed!$N$3))</f>
        <v>27.225892559225883</v>
      </c>
      <c r="E13" s="9">
        <f>100-(100*(Feed!$R$3/Fecal!S13)*(Fecal!Q13/Feed!$T$3))</f>
        <v>49.776847748139609</v>
      </c>
      <c r="F13" s="9">
        <f>100-(100*(Feed!$R$3/Fecal!S13)*(Fecal!R13/Feed!$S$3))</f>
        <v>48.00671349967125</v>
      </c>
      <c r="G13" s="9">
        <f>100-(100*(Feed!$R$3/Fecal!S13)*(Fecal!T13/Feed!$U$3))</f>
        <v>78.347551724600905</v>
      </c>
    </row>
    <row r="14" spans="1:7" x14ac:dyDescent="0.2">
      <c r="A14" s="6">
        <f>Fecal!A14</f>
        <v>1</v>
      </c>
      <c r="B14" s="6" t="str">
        <f>Fecal!B14</f>
        <v>C</v>
      </c>
      <c r="C14" s="9">
        <f>100-(100*(Feed!$R$4/Fecal!S14)*(Fecal!M14/Feed!$M$4))</f>
        <v>71.640274966074173</v>
      </c>
      <c r="D14" s="9">
        <f>100-(100*(Feed!$R$4/Fecal!S14)*(Fecal!N14/Feed!$N$4))</f>
        <v>58.41012658227848</v>
      </c>
      <c r="E14" s="9">
        <f>100-(100*(Feed!$R$4/Fecal!S14)*(Fecal!Q14/Feed!$T$4))</f>
        <v>29.381720430107521</v>
      </c>
      <c r="F14" s="9">
        <f>100-(100*(Feed!$R$4/Fecal!S14)*(Fecal!R14/Feed!$S$4))</f>
        <v>29.214409404648677</v>
      </c>
      <c r="G14" s="9">
        <f>100-(100*(Feed!$R$4/Fecal!S14)*(Fecal!T14/Feed!$U$4))</f>
        <v>71.099874518976478</v>
      </c>
    </row>
    <row r="15" spans="1:7" x14ac:dyDescent="0.2">
      <c r="A15" s="6">
        <f>Fecal!A15</f>
        <v>3</v>
      </c>
      <c r="B15" s="6" t="str">
        <f>Fecal!B15</f>
        <v>C</v>
      </c>
      <c r="C15" s="9">
        <f>100-(100*(Feed!$R$4/Fecal!S15)*(Fecal!M15/Feed!$M$4))</f>
        <v>71.149393795621251</v>
      </c>
      <c r="D15" s="9">
        <f>100-(100*(Feed!$R$4/Fecal!S15)*(Fecal!N15/Feed!$N$4))</f>
        <v>83.305449936628648</v>
      </c>
      <c r="E15" s="9">
        <f>100-(100*(Feed!$R$4/Fecal!S15)*(Fecal!Q15/Feed!$T$4))</f>
        <v>29.48130885699878</v>
      </c>
      <c r="F15" s="9">
        <f>100-(100*(Feed!$R$4/Fecal!S15)*(Fecal!R15/Feed!$S$4))</f>
        <v>28.401845217599416</v>
      </c>
      <c r="G15" s="9">
        <f>100-(100*(Feed!$R$4/Fecal!S15)*(Fecal!T15/Feed!$U$4))</f>
        <v>70.677100537984842</v>
      </c>
    </row>
    <row r="16" spans="1:7" x14ac:dyDescent="0.2">
      <c r="A16" s="6">
        <f>Fecal!A16</f>
        <v>10</v>
      </c>
      <c r="B16" s="6" t="str">
        <f>Fecal!B16</f>
        <v>C</v>
      </c>
      <c r="C16" s="9">
        <f>100-(100*(Feed!$R$4/Fecal!S16)*(Fecal!M16/Feed!$M$4))</f>
        <v>65.580318520896469</v>
      </c>
      <c r="D16" s="9">
        <f>100-(100*(Feed!$R$4/Fecal!S16)*(Fecal!N16/Feed!$N$4))</f>
        <v>78.922600619195052</v>
      </c>
      <c r="E16" s="9">
        <f>100-(100*(Feed!$R$4/Fecal!S16)*(Fecal!Q16/Feed!$T$4))</f>
        <v>7.435334065714585</v>
      </c>
      <c r="F16" s="9">
        <f>100-(100*(Feed!$R$4/Fecal!S16)*(Fecal!R16/Feed!$S$4))</f>
        <v>8.4915621253064728</v>
      </c>
      <c r="G16" s="9">
        <f>100-(100*(Feed!$R$4/Fecal!S16)*(Fecal!T16/Feed!$U$4))</f>
        <v>65.061989686658166</v>
      </c>
    </row>
    <row r="17" spans="1:7" x14ac:dyDescent="0.2">
      <c r="A17" s="6">
        <f>Fecal!A17</f>
        <v>15</v>
      </c>
      <c r="B17" s="6" t="str">
        <f>Fecal!B17</f>
        <v>C</v>
      </c>
      <c r="C17" s="9">
        <f>100-(100*(Feed!$R$4/Fecal!S17)*(Fecal!M17/Feed!$M$4))</f>
        <v>72.031929717409469</v>
      </c>
      <c r="D17" s="9">
        <f>100-(100*(Feed!$R$4/Fecal!S17)*(Fecal!N17/Feed!$N$4))</f>
        <v>46.352128883774448</v>
      </c>
      <c r="E17" s="9">
        <f>100-(100*(Feed!$R$4/Fecal!S17)*(Fecal!Q17/Feed!$T$4))</f>
        <v>41.535815484365905</v>
      </c>
      <c r="F17" s="9">
        <f>100-(100*(Feed!$R$4/Fecal!S17)*(Fecal!R17/Feed!$S$4))</f>
        <v>41.04755759837343</v>
      </c>
      <c r="G17" s="9">
        <f>100-(100*(Feed!$R$4/Fecal!S17)*(Fecal!T17/Feed!$U$4))</f>
        <v>74.619302080723259</v>
      </c>
    </row>
    <row r="18" spans="1:7" x14ac:dyDescent="0.2">
      <c r="A18" s="6">
        <f>Fecal!A18</f>
        <v>20</v>
      </c>
      <c r="B18" s="6" t="str">
        <f>Fecal!B18</f>
        <v>C</v>
      </c>
      <c r="C18" s="9">
        <f>100-(100*(Feed!$R$4/Fecal!S18)*(Fecal!M18/Feed!$M$4))</f>
        <v>75.362385727577504</v>
      </c>
      <c r="D18" s="9">
        <f>100-(100*(Feed!$R$4/Fecal!S18)*(Fecal!N18/Feed!$N$4))</f>
        <v>60.512605042016801</v>
      </c>
      <c r="E18" s="9">
        <f>100-(100*(Feed!$R$4/Fecal!S18)*(Fecal!Q18/Feed!$T$4))</f>
        <v>40.66735565193818</v>
      </c>
      <c r="F18" s="9">
        <f>100-(100*(Feed!$R$4/Fecal!S18)*(Fecal!R18/Feed!$S$4))</f>
        <v>43.491442819902517</v>
      </c>
      <c r="G18" s="9">
        <f>100-(100*(Feed!$R$4/Fecal!S18)*(Fecal!T18/Feed!$U$4))</f>
        <v>76.417790495686077</v>
      </c>
    </row>
    <row r="19" spans="1:7" x14ac:dyDescent="0.2">
      <c r="A19" s="6">
        <f>Fecal!A19</f>
        <v>22</v>
      </c>
      <c r="B19" s="6" t="str">
        <f>Fecal!B19</f>
        <v>C</v>
      </c>
      <c r="C19" s="9">
        <f>100-(100*(Feed!$R$4/Fecal!S19)*(Fecal!M19/Feed!$M$4))</f>
        <v>69.641140630171606</v>
      </c>
      <c r="D19" s="9">
        <f>100-(100*(Feed!$R$4/Fecal!S19)*(Fecal!N19/Feed!$N$4))</f>
        <v>60.54641909814324</v>
      </c>
      <c r="E19" s="9">
        <f>100-(100*(Feed!$R$4/Fecal!S19)*(Fecal!Q19/Feed!$T$4))</f>
        <v>28.212971677932742</v>
      </c>
      <c r="F19" s="9">
        <f>100-(100*(Feed!$R$4/Fecal!S19)*(Fecal!R19/Feed!$S$4))</f>
        <v>26.591128624216125</v>
      </c>
      <c r="G19" s="9">
        <f>100-(100*(Feed!$R$4/Fecal!S19)*(Fecal!T19/Feed!$U$4))</f>
        <v>69.687557793308855</v>
      </c>
    </row>
    <row r="20" spans="1:7" x14ac:dyDescent="0.2">
      <c r="A20" s="6">
        <f>Fecal!A20</f>
        <v>4</v>
      </c>
      <c r="B20" s="6" t="str">
        <f>Fecal!B20</f>
        <v>D</v>
      </c>
      <c r="C20" s="9">
        <f>100-(100*(Feed!$R$5/Fecal!S20)*(Fecal!M20/Feed!$M$5))</f>
        <v>70.740872620234526</v>
      </c>
      <c r="D20" s="9">
        <f>100-(100*(Feed!$R$5/Fecal!S20)*(Fecal!N20/Feed!$N$5))</f>
        <v>79.500891265597147</v>
      </c>
      <c r="E20" s="9">
        <f>100-(100*(Feed!$R$5/Fecal!S20)*(Fecal!Q20/Feed!$T$5))</f>
        <v>23.371732799079879</v>
      </c>
      <c r="F20" s="9">
        <f>100-(100*(Feed!$R$5/Fecal!S20)*(Fecal!R20/Feed!$S$5))</f>
        <v>26.783741665680353</v>
      </c>
      <c r="G20" s="9">
        <f>100-(100*(Feed!$R$5/Fecal!S20)*(Fecal!T20/Feed!$U$5))</f>
        <v>67.501095887855683</v>
      </c>
    </row>
    <row r="21" spans="1:7" x14ac:dyDescent="0.2">
      <c r="A21" s="6">
        <f>Fecal!A21</f>
        <v>5</v>
      </c>
      <c r="B21" s="6" t="str">
        <f>Fecal!B21</f>
        <v>D</v>
      </c>
      <c r="C21" s="9">
        <f>100-(100*(Feed!$R$5/Fecal!S21)*(Fecal!M21/Feed!$M$5))</f>
        <v>72.478453825298004</v>
      </c>
      <c r="D21" s="9">
        <f>100-(100*(Feed!$R$5/Fecal!S21)*(Fecal!N21/Feed!$N$5))</f>
        <v>74.21398976358762</v>
      </c>
      <c r="E21" s="9">
        <f>100-(100*(Feed!$R$5/Fecal!S21)*(Fecal!Q21/Feed!$T$5))</f>
        <v>27.012647290331358</v>
      </c>
      <c r="F21" s="9">
        <f>100-(100*(Feed!$R$5/Fecal!S21)*(Fecal!R21/Feed!$S$5))</f>
        <v>31.878469206660867</v>
      </c>
      <c r="G21" s="9">
        <f>100-(100*(Feed!$R$5/Fecal!S21)*(Fecal!T21/Feed!$U$5))</f>
        <v>70.115619721508921</v>
      </c>
    </row>
    <row r="22" spans="1:7" x14ac:dyDescent="0.2">
      <c r="A22" s="6">
        <f>Fecal!A22</f>
        <v>12</v>
      </c>
      <c r="B22" s="6" t="str">
        <f>Fecal!B22</f>
        <v>D</v>
      </c>
      <c r="C22" s="9">
        <f>100-(100*(Feed!$R$5/Fecal!S22)*(Fecal!M22/Feed!$M$5))</f>
        <v>68.976896127260673</v>
      </c>
      <c r="D22" s="9">
        <f>100-(100*(Feed!$R$5/Fecal!S22)*(Fecal!N22/Feed!$N$5))</f>
        <v>67.877094972067027</v>
      </c>
      <c r="E22" s="9">
        <f>100-(100*(Feed!$R$5/Fecal!S22)*(Fecal!Q22/Feed!$T$5))</f>
        <v>22.422829800091236</v>
      </c>
      <c r="F22" s="9">
        <f>100-(100*(Feed!$R$5/Fecal!S22)*(Fecal!R22/Feed!$S$5))</f>
        <v>24.876891704041739</v>
      </c>
      <c r="G22" s="9">
        <f>100-(100*(Feed!$R$5/Fecal!S22)*(Fecal!T22/Feed!$U$5))</f>
        <v>67.302693537975244</v>
      </c>
    </row>
    <row r="23" spans="1:7" x14ac:dyDescent="0.2">
      <c r="A23" s="6">
        <f>Fecal!A23</f>
        <v>17</v>
      </c>
      <c r="B23" s="6" t="str">
        <f>Fecal!B23</f>
        <v>D</v>
      </c>
      <c r="C23" s="9">
        <f>100-(100*(Feed!$R$5/Fecal!S23)*(Fecal!M23/Feed!$M$5))</f>
        <v>71.653544969077828</v>
      </c>
      <c r="D23" s="9">
        <f>100-(100*(Feed!$R$5/Fecal!S23)*(Fecal!N23/Feed!$N$5))</f>
        <v>45.5790784557908</v>
      </c>
      <c r="E23" s="9">
        <f>100-(100*(Feed!$R$5/Fecal!S23)*(Fecal!Q23/Feed!$T$5))</f>
        <v>31.371594929609998</v>
      </c>
      <c r="F23" s="9">
        <f>100-(100*(Feed!$R$5/Fecal!S23)*(Fecal!R23/Feed!$S$5))</f>
        <v>34.310303498032624</v>
      </c>
      <c r="G23" s="9">
        <f>100-(100*(Feed!$R$5/Fecal!S23)*(Fecal!T23/Feed!$U$5))</f>
        <v>70.689824368385487</v>
      </c>
    </row>
    <row r="24" spans="1:7" x14ac:dyDescent="0.2">
      <c r="A24" s="6">
        <f>Fecal!A24</f>
        <v>21</v>
      </c>
      <c r="B24" s="6" t="str">
        <f>Fecal!B24</f>
        <v>D</v>
      </c>
      <c r="C24" s="9">
        <f>100-(100*(Feed!$R$5/Fecal!S24)*(Fecal!M24/Feed!$M$5))</f>
        <v>73.156637470139913</v>
      </c>
      <c r="D24" s="9">
        <f>100-(100*(Feed!$R$5/Fecal!S24)*(Fecal!N24/Feed!$N$5))</f>
        <v>42.932682529997969</v>
      </c>
      <c r="E24" s="9">
        <f>100-(100*(Feed!$R$5/Fecal!S24)*(Fecal!Q24/Feed!$T$5))</f>
        <v>38.959262386970273</v>
      </c>
      <c r="F24" s="9">
        <f>100-(100*(Feed!$R$5/Fecal!S24)*(Fecal!R24/Feed!$S$5))</f>
        <v>47.519194210752964</v>
      </c>
      <c r="G24" s="9">
        <f>100-(100*(Feed!$R$5/Fecal!S24)*(Fecal!T24/Feed!$U$5))</f>
        <v>75.189828298603786</v>
      </c>
    </row>
    <row r="25" spans="1:7" x14ac:dyDescent="0.2">
      <c r="A25" s="6">
        <f>Fecal!A25</f>
        <v>24</v>
      </c>
      <c r="B25" s="6" t="str">
        <f>Fecal!B25</f>
        <v>D</v>
      </c>
      <c r="C25" s="9">
        <f>100-(100*(Feed!$R$5/Fecal!S25)*(Fecal!M25/Feed!$M$5))</f>
        <v>73.357691396867281</v>
      </c>
      <c r="D25" s="9">
        <f>100-(100*(Feed!$R$5/Fecal!S25)*(Fecal!N25/Feed!$N$5))</f>
        <v>46.412629286880787</v>
      </c>
      <c r="E25" s="9">
        <f>100-(100*(Feed!$R$5/Fecal!S25)*(Fecal!Q25/Feed!$T$5))</f>
        <v>32.18966041427079</v>
      </c>
      <c r="F25" s="9">
        <f>100-(100*(Feed!$R$5/Fecal!S25)*(Fecal!R25/Feed!$S$5))</f>
        <v>35.324421579376462</v>
      </c>
      <c r="G25" s="9">
        <f>100-(100*(Feed!$R$5/Fecal!S25)*(Fecal!T25/Feed!$U$5))</f>
        <v>71.9829301810733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Fecal</vt:lpstr>
      <vt:lpstr>Feed</vt:lpstr>
      <vt:lpstr>Pivot</vt:lpstr>
      <vt:lpstr>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2021-09-20T13:52:03Z</dcterms:created>
  <dcterms:modified xsi:type="dcterms:W3CDTF">2021-09-23T15:16:50Z</dcterms:modified>
</cp:coreProperties>
</file>