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 activeTab="3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/>
</workbook>
</file>

<file path=xl/calcChain.xml><?xml version="1.0" encoding="utf-8"?>
<calcChain xmlns="http://schemas.openxmlformats.org/spreadsheetml/2006/main">
  <c r="Q54" i="1" l="1"/>
  <c r="V38" i="1"/>
  <c r="V37" i="1"/>
  <c r="V36" i="1"/>
  <c r="V35" i="1"/>
  <c r="V34" i="1"/>
  <c r="U38" i="1"/>
  <c r="U37" i="1"/>
  <c r="U36" i="1"/>
  <c r="U35" i="1"/>
  <c r="U34" i="1"/>
  <c r="R38" i="1"/>
  <c r="R37" i="1"/>
  <c r="R36" i="1"/>
  <c r="R35" i="1"/>
  <c r="R34" i="1"/>
  <c r="Q38" i="1"/>
  <c r="Q37" i="1"/>
  <c r="Q36" i="1"/>
  <c r="Q35" i="1"/>
  <c r="Q34" i="1"/>
  <c r="P38" i="1"/>
  <c r="P37" i="1"/>
  <c r="P36" i="1"/>
  <c r="P35" i="1"/>
  <c r="P34" i="1"/>
  <c r="O38" i="1"/>
  <c r="O37" i="1"/>
  <c r="O36" i="1"/>
  <c r="O35" i="1"/>
  <c r="O34" i="1"/>
  <c r="L38" i="1"/>
  <c r="L37" i="1"/>
  <c r="L36" i="1"/>
  <c r="L35" i="1"/>
  <c r="L34" i="1"/>
  <c r="J38" i="1"/>
  <c r="J37" i="1"/>
  <c r="J36" i="1"/>
  <c r="J35" i="1"/>
  <c r="J34" i="1"/>
  <c r="I38" i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E38" i="1"/>
  <c r="E37" i="1"/>
  <c r="E36" i="1"/>
  <c r="E35" i="1"/>
  <c r="E3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R23" i="1"/>
  <c r="R22" i="1"/>
  <c r="R21" i="1"/>
  <c r="T21" i="1" s="1"/>
  <c r="R20" i="1"/>
  <c r="R19" i="1"/>
  <c r="R18" i="1"/>
  <c r="R17" i="1"/>
  <c r="R16" i="1"/>
  <c r="R15" i="1"/>
  <c r="R14" i="1"/>
  <c r="R13" i="1"/>
  <c r="R12" i="1"/>
  <c r="R11" i="1"/>
  <c r="R10" i="1"/>
  <c r="R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23" i="1"/>
  <c r="P22" i="1"/>
  <c r="P21" i="1"/>
  <c r="P20" i="1"/>
  <c r="F20" i="1" s="1"/>
  <c r="P19" i="1"/>
  <c r="P18" i="1"/>
  <c r="P17" i="1"/>
  <c r="P16" i="1"/>
  <c r="P15" i="1"/>
  <c r="P14" i="1"/>
  <c r="P13" i="1"/>
  <c r="P12" i="1"/>
  <c r="P11" i="1"/>
  <c r="P10" i="1"/>
  <c r="P9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I23" i="1"/>
  <c r="I22" i="1"/>
  <c r="I21" i="1"/>
  <c r="I20" i="1"/>
  <c r="I19" i="1"/>
  <c r="J19" i="1" s="1"/>
  <c r="I18" i="1"/>
  <c r="I17" i="1"/>
  <c r="I16" i="1"/>
  <c r="I15" i="1"/>
  <c r="I14" i="1"/>
  <c r="I13" i="1"/>
  <c r="I12" i="1"/>
  <c r="I11" i="1"/>
  <c r="I10" i="1"/>
  <c r="I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S23" i="1"/>
  <c r="T23" i="1"/>
  <c r="N23" i="1"/>
  <c r="M23" i="1"/>
  <c r="J23" i="1"/>
  <c r="E23" i="1"/>
  <c r="S22" i="1"/>
  <c r="T22" i="1"/>
  <c r="M22" i="1"/>
  <c r="N22" i="1"/>
  <c r="J22" i="1"/>
  <c r="F22" i="1"/>
  <c r="E22" i="1"/>
  <c r="S21" i="1"/>
  <c r="N21" i="1"/>
  <c r="M21" i="1"/>
  <c r="J21" i="1"/>
  <c r="E21" i="1"/>
  <c r="J20" i="1"/>
  <c r="E20" i="1"/>
  <c r="E19" i="1"/>
  <c r="B19" i="1"/>
  <c r="B20" i="1"/>
  <c r="B21" i="1"/>
  <c r="B22" i="1"/>
  <c r="B23" i="1"/>
  <c r="E18" i="1"/>
  <c r="E17" i="1"/>
  <c r="E16" i="1"/>
  <c r="E15" i="1"/>
  <c r="E14" i="1"/>
  <c r="E13" i="1"/>
  <c r="E12" i="1"/>
  <c r="E11" i="1"/>
  <c r="E10" i="1"/>
  <c r="E9" i="1"/>
  <c r="N19" i="1" l="1"/>
  <c r="S19" i="1"/>
  <c r="S20" i="1"/>
  <c r="N20" i="1"/>
  <c r="T20" i="1"/>
  <c r="M19" i="1"/>
  <c r="M20" i="1"/>
  <c r="T19" i="1"/>
  <c r="F21" i="1"/>
  <c r="F23" i="1"/>
  <c r="F19" i="1"/>
  <c r="B18" i="1" l="1"/>
  <c r="B17" i="1"/>
  <c r="B16" i="1"/>
  <c r="B15" i="1"/>
  <c r="B14" i="1"/>
  <c r="B13" i="1"/>
  <c r="B12" i="1"/>
  <c r="B11" i="1"/>
  <c r="B10" i="1"/>
  <c r="B9" i="1"/>
  <c r="W31" i="1" l="1"/>
  <c r="W30" i="1"/>
  <c r="W29" i="1"/>
  <c r="W28" i="1"/>
  <c r="W27" i="1"/>
  <c r="W26" i="1"/>
  <c r="W25" i="1"/>
  <c r="W24" i="1"/>
  <c r="K28" i="1" l="1"/>
  <c r="K26" i="1"/>
  <c r="K31" i="1"/>
  <c r="K30" i="1"/>
  <c r="K27" i="1"/>
  <c r="K29" i="1"/>
  <c r="K25" i="1"/>
  <c r="K24" i="1"/>
  <c r="J5" i="1" l="1"/>
  <c r="N17" i="1" l="1"/>
  <c r="S18" i="1"/>
  <c r="N16" i="1"/>
  <c r="S16" i="1"/>
  <c r="T18" i="1"/>
  <c r="T15" i="1"/>
  <c r="S15" i="1"/>
  <c r="S17" i="1"/>
  <c r="T17" i="1"/>
  <c r="M18" i="1"/>
  <c r="T16" i="1"/>
  <c r="N15" i="1"/>
  <c r="M15" i="1"/>
  <c r="N18" i="1"/>
  <c r="M17" i="1"/>
  <c r="M16" i="1"/>
  <c r="J16" i="1"/>
  <c r="J15" i="1"/>
  <c r="J18" i="1"/>
  <c r="J17" i="1"/>
  <c r="F15" i="1"/>
  <c r="F16" i="1"/>
  <c r="F18" i="1"/>
  <c r="F17" i="1"/>
  <c r="T14" i="1" l="1"/>
  <c r="M14" i="1" l="1"/>
  <c r="S13" i="1"/>
  <c r="T13" i="1"/>
  <c r="S12" i="1"/>
  <c r="T12" i="1"/>
  <c r="M12" i="1"/>
  <c r="N14" i="1"/>
  <c r="M13" i="1"/>
  <c r="S14" i="1"/>
  <c r="N13" i="1"/>
  <c r="N12" i="1"/>
  <c r="J13" i="1"/>
  <c r="J14" i="1"/>
  <c r="J12" i="1"/>
  <c r="T11" i="1" l="1"/>
  <c r="M11" i="1"/>
  <c r="N11" i="1"/>
  <c r="S11" i="1"/>
  <c r="J11" i="1"/>
  <c r="B34" i="1" l="1"/>
  <c r="B36" i="1"/>
  <c r="B35" i="1"/>
  <c r="B38" i="1"/>
  <c r="B37" i="1"/>
  <c r="M38" i="1"/>
  <c r="M34" i="1" l="1"/>
  <c r="M35" i="1"/>
  <c r="M37" i="1"/>
  <c r="N37" i="1"/>
  <c r="T36" i="1"/>
  <c r="M36" i="1"/>
  <c r="S37" i="1"/>
  <c r="N38" i="1"/>
  <c r="N36" i="1"/>
  <c r="N34" i="1"/>
  <c r="R53" i="1"/>
  <c r="N35" i="1"/>
  <c r="T38" i="1"/>
  <c r="S34" i="1"/>
  <c r="Q53" i="1"/>
  <c r="S35" i="1"/>
  <c r="S36" i="1"/>
  <c r="S38" i="1"/>
  <c r="T35" i="1"/>
  <c r="T34" i="1"/>
  <c r="T37" i="1"/>
  <c r="F35" i="1"/>
  <c r="H5" i="1"/>
  <c r="H4" i="1" s="1"/>
  <c r="R32" i="1" l="1"/>
  <c r="R55" i="1" s="1"/>
  <c r="Q32" i="1"/>
  <c r="Q55" i="1" s="1"/>
  <c r="S9" i="1"/>
  <c r="T53" i="1"/>
  <c r="S53" i="1"/>
  <c r="J10" i="1"/>
  <c r="J9" i="1"/>
  <c r="F14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D22" i="1" l="1"/>
  <c r="D20" i="1"/>
  <c r="D21" i="1"/>
  <c r="D19" i="1"/>
  <c r="D23" i="1"/>
  <c r="S32" i="1"/>
  <c r="S55" i="1" s="1"/>
  <c r="T32" i="1"/>
  <c r="T55" i="1" s="1"/>
  <c r="M3" i="1"/>
  <c r="M5" i="1" s="1"/>
  <c r="P53" i="1"/>
  <c r="P55" i="1" s="1"/>
  <c r="D16" i="1" l="1"/>
  <c r="D18" i="1"/>
  <c r="D17" i="1"/>
  <c r="D15" i="1"/>
  <c r="D14" i="1"/>
  <c r="D54" i="1"/>
  <c r="D11" i="1"/>
  <c r="D13" i="1"/>
  <c r="D12" i="1"/>
  <c r="D37" i="1"/>
  <c r="D36" i="1"/>
  <c r="D34" i="1"/>
  <c r="D35" i="1"/>
  <c r="D38" i="1"/>
  <c r="D9" i="1"/>
  <c r="D10" i="1"/>
  <c r="N3" i="1"/>
  <c r="L3" i="1"/>
  <c r="M53" i="1" l="1"/>
  <c r="N53" i="1"/>
  <c r="N32" i="1"/>
  <c r="M32" i="1"/>
  <c r="D32" i="1"/>
  <c r="U55" i="1" s="1"/>
  <c r="N5" i="1"/>
  <c r="O3" i="1"/>
  <c r="N55" i="1" l="1"/>
  <c r="M55" i="1"/>
  <c r="D53" i="1"/>
  <c r="D55" i="1" s="1"/>
  <c r="O55" i="1" l="1"/>
</calcChain>
</file>

<file path=xl/sharedStrings.xml><?xml version="1.0" encoding="utf-8"?>
<sst xmlns="http://schemas.openxmlformats.org/spreadsheetml/2006/main" count="6978" uniqueCount="5169">
  <si>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</si>
  <si>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</si>
  <si>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</si>
  <si>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</si>
  <si>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</si>
  <si>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</si>
  <si>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</si>
  <si>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</si>
  <si>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</si>
  <si>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</si>
  <si>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</si>
  <si>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</si>
  <si>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</si>
  <si>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</si>
  <si>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</si>
  <si>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</si>
  <si>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</si>
  <si>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</si>
  <si>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</si>
  <si>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</si>
  <si>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</si>
  <si>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</si>
  <si>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</si>
  <si>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</si>
  <si>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</si>
  <si>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</si>
  <si>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</si>
  <si>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</si>
  <si>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</si>
  <si>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</si>
  <si>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</si>
  <si>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</si>
  <si>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</si>
  <si>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</si>
  <si>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</si>
  <si>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</si>
  <si>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</si>
  <si>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</si>
  <si>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</si>
  <si>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</si>
  <si>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</si>
  <si>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</si>
  <si>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</si>
  <si>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</si>
  <si>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</si>
  <si>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</si>
  <si>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</si>
  <si>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</si>
  <si>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</si>
  <si>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</si>
  <si>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</si>
  <si>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</si>
  <si>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</si>
  <si>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</si>
  <si>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</si>
  <si>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</si>
  <si>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</si>
  <si>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</si>
  <si>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</si>
  <si>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</si>
  <si>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</si>
  <si>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</si>
  <si>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</si>
  <si>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</si>
  <si>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</si>
  <si>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</si>
  <si>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</si>
  <si>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</si>
  <si>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</si>
  <si>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</si>
  <si>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</si>
  <si>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</si>
  <si>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</si>
  <si>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</si>
  <si>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</si>
  <si>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</si>
  <si>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</si>
  <si>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</si>
  <si>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</si>
  <si>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</si>
  <si>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</si>
  <si>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</si>
  <si>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</si>
  <si>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</si>
  <si>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</si>
  <si>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</si>
  <si>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</si>
  <si>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</si>
  <si>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</si>
  <si>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</si>
  <si>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</si>
  <si>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</si>
  <si>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</si>
  <si>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</si>
  <si>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</si>
  <si>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</si>
  <si>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</si>
  <si>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</si>
  <si>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</si>
  <si>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</si>
  <si>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</si>
  <si>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</si>
  <si>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</si>
  <si>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</si>
  <si>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</si>
  <si>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</si>
  <si>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</si>
  <si>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</si>
  <si>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</si>
  <si>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</si>
  <si>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</si>
  <si>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</si>
  <si>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</si>
  <si>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</si>
  <si>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</si>
  <si>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</si>
  <si>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</si>
  <si>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</si>
  <si>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</si>
  <si>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</si>
  <si>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</si>
  <si>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</si>
  <si>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</si>
  <si>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</si>
  <si>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</si>
  <si>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</si>
  <si>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</si>
  <si>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</si>
  <si>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</si>
  <si>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</si>
  <si>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</si>
  <si>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</si>
  <si>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</si>
  <si>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</si>
  <si>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</si>
  <si>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</si>
  <si>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</si>
  <si>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</si>
  <si>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</si>
  <si>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</si>
  <si>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</si>
  <si>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</si>
  <si>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</si>
  <si>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</si>
  <si>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</si>
  <si>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</si>
  <si>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</si>
  <si>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</si>
  <si>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</si>
  <si>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</si>
  <si>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</si>
  <si>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</si>
  <si>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</si>
  <si>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</si>
  <si>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</si>
  <si>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</si>
  <si>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</si>
  <si>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</si>
  <si>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</si>
  <si>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</si>
  <si>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</si>
  <si>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</si>
  <si>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</si>
  <si>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</si>
  <si>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</si>
  <si>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</si>
  <si>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</si>
  <si>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</si>
  <si>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</si>
  <si>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</si>
  <si>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</si>
  <si>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</si>
  <si>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</si>
  <si>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</si>
  <si>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</si>
  <si>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</si>
  <si>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</si>
  <si>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</si>
  <si>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</si>
  <si>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</si>
  <si>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</si>
  <si>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</si>
  <si>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</si>
  <si>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</si>
  <si>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</si>
  <si>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</si>
  <si>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</si>
  <si>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</si>
  <si>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</si>
  <si>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</si>
  <si>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</si>
  <si>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</si>
  <si>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</si>
  <si>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</si>
  <si>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</si>
  <si>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</si>
  <si>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</si>
  <si>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</si>
  <si>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</si>
  <si>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</si>
  <si>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</si>
  <si>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</si>
  <si>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</si>
  <si>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</si>
  <si>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</si>
  <si>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</si>
  <si>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</si>
  <si>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</si>
  <si>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</si>
  <si>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</si>
  <si>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</si>
  <si>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</si>
  <si>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</si>
  <si>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</si>
  <si>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</si>
  <si>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</si>
  <si>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</si>
  <si>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</si>
  <si>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</si>
  <si>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</si>
  <si>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</si>
  <si>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</si>
  <si>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</si>
  <si>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</si>
  <si>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</si>
  <si>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</si>
  <si>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</si>
  <si>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</si>
  <si>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</si>
  <si>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</si>
  <si>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</si>
  <si>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</si>
  <si>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</si>
  <si>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</si>
  <si>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</si>
  <si>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</si>
  <si>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</si>
  <si>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</si>
  <si>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</si>
  <si>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</si>
  <si>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</si>
  <si>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</si>
  <si>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</si>
  <si>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</si>
  <si>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</si>
  <si>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</si>
  <si>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</si>
  <si>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</si>
  <si>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</si>
  <si>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</si>
  <si>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</si>
  <si>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</si>
  <si>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</si>
  <si>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</si>
  <si>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</si>
  <si>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</si>
  <si>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</si>
  <si>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</si>
  <si>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</si>
  <si>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</si>
  <si>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</si>
  <si>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</si>
  <si>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</si>
  <si>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</si>
  <si>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</si>
  <si>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</si>
  <si>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</si>
  <si>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</si>
  <si>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</si>
  <si>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</si>
  <si>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</si>
  <si>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</si>
  <si>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</si>
  <si>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</si>
  <si>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</si>
  <si>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</si>
  <si>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</si>
  <si>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</si>
  <si>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</si>
  <si>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</si>
  <si>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</si>
  <si>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</si>
  <si>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</si>
  <si>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</si>
  <si>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</si>
  <si>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</si>
  <si>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</si>
  <si>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</si>
  <si>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</si>
  <si>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</si>
  <si>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</si>
  <si>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</si>
  <si>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</si>
  <si>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</si>
  <si>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</si>
  <si>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</si>
  <si>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</si>
  <si>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</si>
  <si>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</si>
  <si>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</si>
  <si>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</si>
  <si>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</si>
  <si>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</si>
  <si>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</si>
  <si>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</si>
  <si>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</si>
  <si>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</si>
  <si>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</si>
  <si>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</si>
  <si>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</si>
  <si>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</si>
  <si>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</si>
  <si>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</si>
  <si>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</si>
  <si>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</si>
  <si>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</si>
  <si>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</si>
  <si>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</si>
  <si>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</si>
  <si>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</si>
  <si>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</si>
  <si>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</si>
  <si>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</si>
  <si>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</si>
  <si>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</si>
  <si>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</si>
  <si>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</si>
  <si>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</si>
  <si>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</si>
  <si>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</si>
  <si>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</si>
  <si>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</si>
  <si>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</si>
  <si>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</si>
  <si>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</si>
  <si>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</si>
  <si>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</si>
  <si>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</si>
  <si>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</si>
  <si>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</si>
  <si>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</si>
  <si>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</si>
  <si>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</si>
  <si>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</si>
  <si>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</si>
  <si>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</si>
  <si>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</si>
  <si>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</si>
  <si>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</si>
  <si>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</si>
  <si>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</si>
  <si>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</si>
  <si>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</si>
  <si>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</si>
  <si>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</si>
  <si>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</si>
  <si>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</si>
  <si>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</si>
  <si>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</si>
  <si>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</si>
  <si>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</si>
  <si>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</si>
  <si>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</si>
  <si>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</si>
  <si>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</si>
  <si>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</si>
  <si>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</si>
  <si>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</si>
  <si>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</si>
  <si>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</si>
  <si>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</si>
  <si>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</si>
  <si>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</si>
  <si>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</si>
  <si>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</si>
  <si>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</si>
  <si>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</si>
  <si>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</si>
  <si>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</si>
  <si>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</si>
  <si>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</si>
  <si>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</si>
  <si>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</si>
  <si>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</si>
  <si>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</si>
  <si>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</si>
  <si>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</si>
  <si>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</si>
  <si>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</si>
  <si>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</si>
  <si>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</si>
  <si>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</si>
  <si>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</si>
  <si>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</si>
  <si>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</si>
  <si>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</si>
  <si>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</si>
  <si>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</si>
  <si>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</si>
  <si>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</si>
  <si>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</si>
  <si>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</si>
  <si>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</si>
  <si>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</si>
  <si>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</si>
  <si>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</si>
  <si>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</si>
  <si>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</si>
  <si>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</si>
  <si>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</si>
  <si>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</si>
  <si>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</si>
  <si>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</si>
  <si>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</si>
  <si>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</si>
  <si>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</si>
  <si>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</si>
  <si>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</si>
  <si>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</si>
  <si>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</si>
  <si>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</si>
  <si>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</si>
  <si>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</si>
  <si>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</si>
  <si>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</si>
  <si>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</si>
  <si>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</si>
  <si>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</si>
  <si>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</si>
  <si>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</si>
  <si>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</si>
  <si>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</si>
  <si>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</si>
  <si>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</si>
  <si>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</si>
  <si>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</si>
  <si>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</si>
  <si>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</si>
  <si>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</si>
  <si>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</si>
  <si>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</si>
  <si>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</si>
  <si>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</si>
  <si>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</si>
  <si>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</si>
  <si>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</si>
  <si>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</si>
  <si>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</si>
  <si>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</si>
  <si>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</si>
  <si>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</si>
  <si>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</si>
  <si>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</si>
  <si>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</si>
  <si>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</si>
  <si>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</si>
  <si>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</si>
  <si>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</si>
  <si>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</si>
  <si>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</si>
  <si>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</si>
  <si>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</si>
  <si>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</si>
  <si>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</si>
  <si>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</si>
  <si>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</si>
  <si>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</si>
  <si>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</si>
  <si>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</si>
  <si>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</si>
  <si>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</si>
  <si>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</si>
  <si>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</si>
  <si>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</si>
  <si>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</si>
  <si>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</si>
  <si>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</si>
  <si>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</si>
  <si>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</si>
  <si>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</si>
  <si>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</si>
  <si>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</si>
  <si>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</si>
  <si>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</si>
  <si>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</si>
  <si>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</si>
  <si>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</si>
  <si>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</si>
  <si>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</si>
  <si>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</si>
  <si>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</si>
  <si>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</si>
  <si>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</si>
  <si>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</si>
  <si>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</si>
  <si>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</si>
  <si>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</si>
  <si>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</si>
  <si>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</si>
  <si>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</si>
  <si>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</si>
  <si>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</si>
  <si>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</si>
  <si>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</si>
  <si>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</si>
  <si>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</si>
  <si>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</si>
  <si>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</si>
  <si>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</si>
  <si>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</si>
  <si>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</si>
  <si>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</si>
  <si>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</si>
  <si>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</si>
  <si>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</si>
  <si>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</si>
  <si>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</si>
  <si>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</si>
  <si>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</si>
  <si>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</si>
  <si>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</si>
  <si>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</si>
  <si>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</si>
  <si>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</si>
  <si>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</si>
  <si>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</si>
  <si>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</si>
  <si>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</si>
  <si>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</si>
  <si>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</si>
  <si>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</si>
  <si>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</si>
  <si>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</si>
  <si>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</si>
  <si>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</si>
  <si>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</si>
  <si>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</si>
  <si>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</si>
  <si>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</si>
  <si>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</si>
  <si>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</si>
  <si>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</si>
  <si>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</si>
  <si>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</si>
  <si>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</si>
  <si>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</si>
  <si>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</si>
  <si>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</si>
  <si>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</si>
  <si>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</si>
  <si>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</si>
  <si>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</si>
  <si>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</si>
  <si>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</si>
  <si>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</si>
  <si>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</si>
  <si>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</si>
  <si>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</si>
  <si>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</si>
  <si>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</si>
  <si>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</si>
  <si>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</si>
  <si>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</si>
  <si>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</si>
  <si>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</si>
  <si>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</si>
  <si>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</si>
  <si>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</si>
  <si>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</si>
  <si>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</si>
  <si>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</si>
  <si>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</si>
  <si>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</si>
  <si>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</si>
  <si>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</si>
  <si>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</si>
  <si>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</si>
  <si>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</si>
  <si>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</si>
  <si>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</si>
  <si>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</si>
  <si>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</si>
  <si>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</si>
  <si>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</si>
  <si>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</si>
  <si>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</si>
  <si>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</si>
  <si>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</si>
  <si>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</si>
  <si>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</si>
  <si>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</si>
  <si>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</si>
  <si>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</si>
  <si>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</si>
  <si>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</si>
  <si>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</si>
  <si>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</si>
  <si>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</si>
  <si>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</si>
  <si>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</si>
  <si>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</si>
  <si>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</si>
  <si>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</si>
  <si>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</si>
  <si>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</si>
  <si>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</si>
  <si>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</si>
  <si>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</si>
  <si>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</si>
  <si>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</si>
  <si>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</si>
  <si>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</si>
  <si>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</si>
  <si>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</si>
  <si>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</si>
  <si>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</si>
  <si>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</si>
  <si>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</si>
  <si>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</si>
  <si>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</si>
  <si>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</si>
  <si>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</si>
  <si>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</si>
  <si>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</si>
  <si>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</si>
  <si>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</si>
  <si>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</si>
  <si>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</si>
  <si>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</si>
  <si>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</si>
  <si>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</si>
  <si>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</si>
  <si>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</si>
  <si>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</si>
  <si>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</si>
  <si>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</si>
  <si>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</si>
  <si>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</si>
  <si>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</si>
  <si>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</si>
  <si>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</si>
  <si>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</si>
  <si>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</si>
  <si>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</si>
  <si>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</si>
  <si>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</si>
  <si>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</si>
  <si>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</si>
  <si>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</si>
  <si>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</si>
  <si>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</si>
  <si>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</si>
  <si>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</si>
  <si>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</si>
  <si>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</si>
  <si>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</si>
  <si>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</si>
  <si>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</si>
  <si>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</si>
  <si>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</si>
  <si>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</si>
  <si>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</si>
  <si>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</si>
  <si>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</si>
  <si>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</si>
  <si>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</si>
  <si>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</si>
  <si>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</si>
  <si>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</si>
  <si>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</si>
  <si>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</si>
  <si>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</si>
  <si>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</si>
  <si>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</si>
  <si>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</si>
  <si>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</si>
  <si>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</si>
  <si>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</si>
  <si>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</si>
  <si>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</si>
  <si>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</si>
  <si>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</si>
  <si>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</si>
  <si>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</si>
  <si>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</si>
  <si>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</si>
  <si>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</si>
  <si>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</si>
  <si>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</si>
  <si>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</si>
  <si>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</si>
  <si>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</si>
  <si>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</si>
  <si>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</si>
  <si>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</si>
  <si>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</si>
  <si>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</si>
  <si>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</si>
  <si>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</si>
  <si>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</si>
  <si>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</si>
  <si>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</si>
  <si>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</si>
  <si>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</si>
  <si>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</si>
  <si>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</si>
  <si>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</si>
  <si>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</si>
  <si>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</si>
  <si>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</si>
  <si>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</si>
  <si>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</si>
  <si>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</si>
  <si>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</si>
  <si>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</si>
  <si>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</si>
  <si>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</si>
  <si>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</si>
  <si>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</si>
  <si>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</si>
  <si>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</si>
  <si>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</si>
  <si>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</si>
  <si>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</si>
  <si>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</si>
  <si>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</si>
  <si>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</si>
  <si>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</si>
  <si>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</si>
  <si>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</si>
  <si>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</si>
  <si>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</si>
  <si>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</si>
  <si>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</si>
  <si>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</si>
  <si>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</si>
  <si>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</si>
  <si>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</si>
  <si>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</si>
  <si>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</si>
  <si>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</si>
  <si>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</si>
  <si>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</si>
  <si>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</si>
  <si>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</si>
  <si>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</si>
  <si>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</si>
  <si>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</si>
  <si>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</si>
  <si>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</si>
  <si>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</si>
  <si>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</si>
  <si>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</si>
  <si>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</si>
  <si>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</si>
  <si>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</si>
  <si>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</si>
  <si>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</si>
  <si>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</si>
  <si>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</si>
  <si>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</si>
  <si>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</si>
  <si>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</si>
  <si>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</si>
  <si>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</si>
  <si>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</si>
  <si>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</si>
  <si>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</si>
  <si>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</si>
  <si>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</si>
  <si>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</si>
  <si>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</si>
  <si>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</si>
  <si>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</si>
  <si>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</si>
  <si>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</si>
  <si>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</si>
  <si>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</si>
  <si>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</si>
  <si>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</si>
  <si>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</si>
  <si>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</si>
  <si>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</si>
  <si>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</si>
  <si>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</si>
  <si>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</si>
  <si>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</si>
  <si>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</si>
  <si>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</si>
  <si>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</si>
  <si>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</si>
  <si>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</si>
  <si>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</si>
  <si>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</si>
  <si>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</si>
  <si>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</si>
  <si>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</si>
  <si>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</si>
  <si>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</si>
  <si>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</si>
  <si>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</si>
  <si>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</si>
  <si>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</si>
  <si>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</si>
  <si>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</si>
  <si>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</si>
  <si>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</si>
  <si>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</si>
  <si>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</si>
  <si>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</si>
  <si>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</si>
  <si>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</si>
  <si>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</si>
  <si>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</si>
  <si>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</si>
  <si>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</si>
  <si>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</si>
  <si>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</si>
  <si>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</si>
  <si>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</si>
  <si>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</si>
  <si>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</si>
  <si>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</si>
  <si>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</si>
  <si>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</si>
  <si>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</si>
  <si>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</si>
  <si>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</si>
  <si>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</si>
  <si>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</si>
  <si>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</si>
  <si>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</si>
  <si>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</si>
  <si>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</si>
  <si>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</si>
  <si>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</si>
  <si>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</si>
  <si>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</si>
  <si>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</si>
  <si>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</si>
  <si>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</si>
  <si>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</si>
  <si>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</si>
  <si>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</si>
  <si>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</si>
  <si>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</si>
  <si>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</si>
  <si>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</si>
  <si>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</si>
  <si>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</si>
  <si>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</si>
  <si>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</si>
  <si>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</si>
  <si>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</si>
  <si>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</si>
  <si>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</si>
  <si>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</si>
  <si>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</si>
  <si>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</si>
  <si>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</si>
  <si>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</si>
  <si>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</si>
  <si>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</si>
  <si>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</si>
  <si>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</si>
  <si>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</si>
  <si>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</si>
  <si>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</si>
  <si>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</si>
  <si>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</si>
  <si>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</si>
  <si>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</si>
  <si>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</si>
  <si>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</si>
  <si>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</si>
  <si>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</si>
  <si>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</si>
  <si>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</si>
  <si>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</si>
  <si>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</si>
  <si>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</si>
  <si>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</si>
  <si>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</si>
  <si>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</si>
  <si>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</si>
  <si>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</si>
  <si>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</si>
  <si>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</si>
  <si>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</si>
  <si>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</si>
  <si>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</si>
  <si>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</si>
  <si>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</si>
  <si>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</si>
  <si>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</si>
  <si>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</si>
  <si>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</si>
  <si>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</si>
  <si>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</si>
  <si>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</si>
  <si>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</si>
  <si>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</si>
  <si>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</si>
  <si>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</si>
  <si>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</si>
  <si>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</si>
  <si>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</si>
  <si>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</si>
  <si>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</si>
  <si>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</si>
  <si>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</si>
  <si>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</si>
  <si>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</si>
  <si>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</si>
  <si>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</si>
  <si>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</si>
  <si>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</si>
  <si>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</si>
  <si>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</si>
  <si>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</si>
  <si>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</si>
  <si>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</si>
  <si>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</si>
  <si>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</si>
  <si>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</si>
  <si>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</si>
  <si>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</si>
  <si>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</si>
  <si>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</si>
  <si>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</si>
  <si>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</si>
  <si>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</si>
  <si>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</si>
  <si>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</si>
  <si>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</si>
  <si>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</si>
  <si>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</si>
  <si>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</si>
  <si>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</si>
  <si>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</si>
  <si>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</si>
  <si>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</si>
  <si>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</si>
  <si>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</si>
  <si>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</si>
  <si>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</si>
  <si>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</si>
  <si>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</si>
  <si>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</si>
  <si>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</si>
  <si>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</si>
  <si>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</si>
  <si>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</si>
  <si>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</si>
  <si>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</si>
  <si>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</si>
  <si>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</si>
  <si>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</si>
  <si>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</si>
  <si>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</si>
  <si>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</si>
  <si>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</si>
  <si>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</si>
  <si>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</si>
  <si>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</si>
  <si>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</si>
  <si>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</si>
  <si>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</si>
  <si>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</si>
  <si>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</si>
  <si>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</si>
  <si>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</si>
  <si>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</si>
  <si>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</si>
  <si>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</si>
  <si>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</si>
  <si>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</si>
  <si>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</si>
  <si>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</si>
  <si>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</si>
  <si>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</si>
  <si>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</si>
  <si>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</si>
  <si>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</si>
  <si>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</si>
  <si>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</si>
  <si>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</si>
  <si>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</si>
  <si>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</si>
  <si>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</si>
  <si>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</si>
  <si>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</si>
  <si>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</si>
  <si>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</si>
  <si>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</si>
  <si>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</si>
  <si>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</si>
  <si>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</si>
  <si>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</si>
  <si>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</si>
  <si>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</si>
  <si>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</si>
  <si>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</si>
  <si>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</si>
  <si>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</si>
  <si>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</si>
  <si>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</si>
  <si>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</si>
  <si>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</si>
  <si>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</si>
  <si>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</si>
  <si>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</si>
  <si>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</si>
  <si>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</si>
  <si>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</si>
  <si>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</si>
  <si>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</si>
  <si>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</si>
  <si>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</si>
  <si>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</si>
  <si>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</si>
  <si>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</si>
  <si>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</si>
  <si>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</si>
  <si>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</si>
  <si>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</si>
  <si>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</si>
  <si>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</si>
  <si>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</si>
  <si>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</si>
  <si>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</si>
  <si>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</si>
  <si>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</si>
  <si>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</si>
  <si>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</si>
  <si>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</si>
  <si>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</si>
  <si>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</si>
  <si>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</si>
  <si>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</si>
  <si>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</si>
  <si>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</si>
  <si>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</si>
  <si>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</si>
  <si>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</si>
  <si>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</si>
  <si>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</si>
  <si>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</si>
  <si>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</si>
  <si>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</si>
  <si>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</si>
  <si>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</si>
  <si>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</si>
  <si>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</si>
  <si>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</si>
  <si>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</si>
  <si>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</si>
  <si>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</si>
  <si>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</si>
  <si>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</si>
  <si>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</si>
  <si>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</si>
  <si>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</si>
  <si>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</si>
  <si>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</si>
  <si>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</si>
  <si>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</si>
  <si>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</si>
  <si>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</si>
  <si>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</si>
  <si>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</si>
  <si>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</si>
  <si>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</si>
  <si>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</si>
  <si>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</si>
  <si>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</si>
  <si>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</si>
  <si>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</si>
  <si>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</si>
  <si>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</si>
  <si>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</si>
  <si>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</si>
  <si>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</si>
  <si>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</si>
  <si>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</si>
  <si>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</si>
  <si>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</si>
  <si>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</si>
  <si>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</si>
  <si>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</si>
  <si>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</si>
  <si>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</si>
  <si>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</si>
  <si>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</si>
  <si>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</si>
  <si>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</si>
  <si>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</si>
  <si>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</si>
  <si>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</si>
  <si>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</si>
  <si>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</si>
  <si>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</si>
  <si>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</si>
  <si>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</si>
  <si>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</si>
  <si>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</si>
  <si>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</si>
  <si>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</si>
  <si>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</si>
  <si>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</si>
  <si>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</si>
  <si>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</si>
  <si>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</si>
  <si>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</si>
  <si>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</si>
  <si>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</si>
  <si>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</si>
  <si>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</si>
  <si>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</si>
  <si>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</si>
  <si>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</si>
  <si>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</si>
  <si>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</si>
  <si>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</si>
  <si>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</si>
  <si>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</si>
  <si>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</si>
  <si>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</si>
  <si>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</si>
  <si>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</si>
  <si>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</si>
  <si>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</si>
  <si>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</si>
  <si>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</si>
  <si>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</si>
  <si>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</si>
  <si>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</si>
  <si>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</si>
  <si>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</si>
  <si>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</si>
  <si>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</si>
  <si>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</si>
  <si>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</si>
  <si>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</si>
  <si>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</si>
  <si>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</si>
  <si>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</si>
  <si>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</si>
  <si>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</si>
  <si>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</si>
  <si>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</si>
  <si>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</si>
  <si>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</si>
  <si>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</si>
  <si>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</si>
  <si>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</si>
  <si>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</si>
  <si>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</si>
  <si>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</si>
  <si>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</si>
  <si>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</si>
  <si>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</si>
  <si>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</si>
  <si>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</si>
  <si>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</si>
  <si>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</si>
  <si>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</si>
  <si>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</si>
  <si>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</si>
  <si>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</si>
  <si>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</si>
  <si>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</si>
  <si>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</si>
  <si>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</si>
  <si>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</si>
  <si>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</si>
  <si>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</si>
  <si>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</si>
  <si>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</si>
  <si>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</si>
  <si>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</si>
  <si>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</si>
  <si>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</si>
  <si>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</si>
  <si>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</si>
  <si>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</si>
  <si>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</si>
  <si>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</si>
  <si>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</si>
  <si>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</si>
  <si>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</si>
  <si>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</si>
  <si>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</si>
  <si>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</si>
  <si>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</si>
  <si>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</si>
  <si>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</si>
  <si>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</si>
  <si>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</si>
  <si>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</si>
  <si>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</si>
  <si>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</si>
  <si>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</si>
  <si>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</si>
  <si>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</si>
  <si>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</si>
  <si>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</si>
  <si>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</si>
  <si>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</si>
  <si>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</si>
  <si>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</si>
  <si>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</si>
  <si>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</si>
  <si>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</si>
  <si>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</si>
  <si>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</si>
  <si>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</si>
  <si>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</si>
  <si>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</si>
  <si>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</si>
  <si>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</si>
  <si>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</si>
  <si>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</si>
  <si>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</si>
  <si>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</si>
  <si>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</si>
  <si>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</si>
  <si>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</si>
  <si>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</si>
  <si>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</si>
  <si>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</si>
  <si>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</si>
  <si>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</si>
  <si>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</si>
  <si>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</si>
  <si>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</si>
  <si>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</si>
  <si>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</si>
  <si>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</si>
  <si>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</si>
  <si>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</si>
  <si>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</si>
  <si>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</si>
  <si>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</si>
  <si>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</si>
  <si>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</si>
  <si>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</si>
  <si>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</si>
  <si>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</si>
  <si>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</si>
  <si>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</si>
  <si>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</si>
  <si>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</si>
  <si>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</si>
  <si>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</si>
  <si>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</si>
  <si>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</si>
  <si>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</si>
  <si>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</si>
  <si>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</si>
  <si>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</si>
  <si>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</si>
  <si>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</si>
  <si>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</si>
  <si>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</si>
  <si>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</si>
  <si>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</si>
  <si>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</si>
  <si>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</si>
  <si>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</si>
  <si>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</si>
  <si>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</si>
  <si>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</si>
  <si>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</si>
  <si>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</si>
  <si>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</si>
  <si>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</si>
  <si>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</si>
  <si>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</si>
  <si>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</si>
  <si>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</si>
  <si>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</si>
  <si>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</si>
  <si>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</si>
  <si>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</si>
  <si>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</si>
  <si>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</si>
  <si>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</si>
  <si>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</si>
  <si>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</si>
  <si>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</si>
  <si>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</si>
  <si>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</si>
  <si>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</si>
  <si>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</si>
  <si>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</si>
  <si>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</si>
  <si>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</si>
  <si>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</si>
  <si>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</si>
  <si>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</si>
  <si>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</si>
  <si>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</si>
  <si>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</si>
  <si>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</si>
  <si>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</si>
  <si>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</si>
  <si>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</si>
  <si>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</si>
  <si>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</si>
  <si>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</si>
  <si>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</si>
  <si>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</si>
  <si>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</si>
  <si>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</si>
  <si>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</si>
  <si>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</si>
  <si>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</si>
  <si>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</si>
  <si>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</si>
  <si>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</si>
  <si>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</si>
  <si>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</si>
  <si>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</si>
  <si>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</si>
  <si>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</si>
  <si>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</si>
  <si>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</si>
  <si>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</si>
  <si>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</si>
  <si>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</si>
  <si>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</si>
  <si>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</si>
  <si>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</si>
  <si>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</si>
  <si>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</si>
  <si>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</si>
  <si>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</si>
  <si>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</si>
  <si>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</si>
  <si>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</si>
  <si>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</si>
  <si>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</si>
  <si>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</si>
  <si>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</si>
  <si>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</si>
  <si>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</si>
  <si>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</si>
  <si>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</si>
  <si>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</si>
  <si>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</si>
  <si>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</si>
  <si>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</si>
  <si>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</si>
  <si>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</si>
  <si>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</si>
  <si>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</si>
  <si>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</si>
  <si>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</si>
  <si>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</si>
  <si>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</si>
  <si>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</si>
  <si>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</si>
  <si>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</si>
  <si>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</si>
  <si>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</si>
  <si>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</si>
  <si>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</si>
  <si>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</si>
  <si>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</si>
  <si>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</si>
  <si>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</si>
  <si>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</si>
  <si>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</si>
  <si>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</si>
  <si>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</si>
  <si>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</si>
  <si>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</si>
  <si>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</si>
  <si>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</si>
  <si>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</si>
  <si>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</si>
  <si>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</si>
  <si>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</si>
  <si>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</si>
  <si>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</si>
  <si>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</si>
  <si>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</si>
  <si>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</si>
  <si>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</si>
  <si>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</si>
  <si>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</si>
  <si>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</si>
  <si>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</si>
  <si>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</si>
  <si>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</si>
  <si>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</si>
  <si>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</si>
  <si>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</si>
  <si>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</si>
  <si>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</si>
  <si>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</si>
  <si>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</si>
  <si>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</si>
  <si>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</si>
  <si>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</si>
  <si>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</si>
  <si>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</si>
  <si>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</si>
  <si>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</si>
  <si>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</si>
  <si>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</si>
  <si>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</si>
  <si>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</si>
  <si>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</si>
  <si>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</si>
  <si>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</si>
  <si>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</si>
  <si>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</si>
  <si>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</si>
  <si>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</si>
  <si>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</si>
  <si>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</si>
  <si>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</si>
  <si>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</si>
  <si>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</si>
  <si>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</si>
  <si>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</si>
  <si>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</si>
  <si>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</si>
  <si>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</si>
  <si>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</si>
  <si>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</si>
  <si>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</si>
  <si>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</si>
  <si>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</si>
  <si>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</si>
  <si>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</si>
  <si>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</si>
  <si>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</si>
  <si>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</si>
  <si>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</si>
  <si>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</si>
  <si>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</si>
  <si>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</si>
  <si>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</si>
  <si>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</si>
  <si>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</si>
  <si>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</si>
  <si>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</si>
  <si>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</si>
  <si>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</si>
  <si>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</si>
  <si>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</si>
  <si>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</si>
  <si>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</si>
  <si>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</si>
  <si>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</si>
  <si>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</si>
  <si>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</si>
  <si>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</si>
  <si>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</si>
  <si>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</si>
  <si>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</si>
  <si>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</si>
  <si>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</si>
  <si>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</si>
  <si>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</si>
  <si>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</si>
  <si>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</si>
  <si>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</si>
  <si>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</si>
  <si>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</si>
  <si>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</si>
  <si>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</si>
  <si>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</si>
  <si>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</si>
  <si>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</si>
  <si>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</si>
  <si>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</si>
  <si>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</si>
  <si>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</si>
  <si>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</si>
  <si>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</si>
  <si>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</si>
  <si>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</si>
  <si>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</si>
  <si>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</si>
  <si>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</si>
  <si>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</si>
  <si>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</si>
  <si>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</si>
  <si>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</si>
  <si>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</si>
  <si>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</si>
  <si>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</si>
  <si>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</si>
  <si>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</si>
  <si>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</si>
  <si>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</si>
  <si>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</si>
  <si>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</si>
  <si>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</si>
  <si>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</si>
  <si>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</si>
  <si>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</si>
  <si>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</si>
  <si>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</si>
  <si>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</si>
  <si>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</si>
  <si>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</si>
  <si>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</si>
  <si>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</si>
  <si>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</si>
  <si>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</si>
  <si>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</si>
  <si>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</si>
  <si>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</si>
  <si>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</si>
  <si>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</si>
  <si>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</si>
  <si>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</si>
  <si>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</si>
  <si>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</si>
  <si>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</si>
  <si>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</si>
  <si>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</si>
  <si>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</si>
  <si>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</si>
  <si>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</si>
  <si>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</si>
  <si>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</si>
  <si>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</si>
  <si>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</si>
  <si>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</si>
  <si>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</si>
  <si>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</si>
  <si>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</si>
  <si>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</si>
  <si>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</si>
  <si>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</si>
  <si>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</si>
  <si>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</si>
  <si>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</si>
  <si>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</si>
  <si>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</si>
  <si>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</si>
  <si>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</si>
  <si>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</si>
  <si>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</si>
  <si>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</si>
  <si>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</si>
  <si>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</si>
  <si>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</si>
  <si>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</si>
  <si>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</si>
  <si>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</si>
  <si>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</si>
  <si>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</si>
  <si>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</si>
  <si>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</si>
  <si>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</si>
  <si>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</si>
  <si>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</si>
  <si>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</si>
  <si>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</si>
  <si>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</si>
  <si>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</si>
  <si>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</si>
  <si>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</si>
  <si>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</si>
  <si>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</si>
  <si>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</si>
  <si>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</si>
  <si>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</si>
  <si>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</si>
  <si>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</si>
  <si>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</si>
  <si>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</si>
  <si>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</si>
  <si>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</si>
  <si>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</si>
  <si>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</si>
  <si>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</si>
  <si>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</si>
  <si>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</si>
  <si>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</si>
  <si>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</si>
  <si>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</si>
  <si>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</si>
  <si>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</si>
  <si>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</si>
  <si>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</si>
  <si>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</si>
  <si>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</si>
  <si>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</si>
  <si>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</si>
  <si>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</si>
  <si>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</si>
  <si>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</si>
  <si>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</si>
  <si>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</si>
  <si>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</si>
  <si>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</si>
  <si>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</si>
  <si>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</si>
  <si>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</si>
  <si>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</si>
  <si>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</si>
  <si>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</si>
  <si>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</si>
  <si>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</si>
  <si>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</si>
  <si>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</si>
  <si>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</si>
  <si>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</si>
  <si>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</si>
  <si>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</si>
  <si>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</si>
  <si>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</si>
  <si>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</si>
  <si>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</si>
  <si>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</si>
  <si>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</si>
  <si>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</si>
  <si>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</si>
  <si>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</si>
  <si>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</si>
  <si>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</si>
  <si>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</si>
  <si>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</si>
  <si>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</si>
  <si>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</si>
  <si>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</si>
  <si>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</si>
  <si>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</si>
  <si>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</si>
  <si>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</si>
  <si>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</si>
  <si>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</si>
  <si>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</si>
  <si>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</si>
  <si>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</si>
  <si>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</si>
  <si>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</si>
  <si>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</si>
  <si>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</si>
  <si>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</si>
  <si>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</si>
  <si>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</si>
  <si>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</si>
  <si>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</si>
  <si>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</si>
  <si>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</si>
  <si>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</si>
  <si>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</si>
  <si>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</si>
  <si>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</si>
  <si>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</si>
  <si>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</si>
  <si>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</si>
  <si>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</si>
  <si>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</si>
  <si>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</si>
  <si>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</si>
  <si>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</si>
  <si>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</si>
  <si>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</si>
  <si>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</si>
  <si>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</si>
  <si>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</si>
  <si>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</si>
  <si>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</si>
  <si>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</si>
  <si>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</si>
  <si>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</si>
  <si>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</si>
  <si>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</si>
  <si>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</si>
  <si>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</si>
  <si>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</si>
  <si>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</si>
  <si>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</si>
  <si>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</si>
  <si>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</si>
  <si>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</si>
  <si>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</si>
  <si>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</si>
  <si>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</si>
  <si>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</si>
  <si>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</si>
  <si>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</si>
  <si>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</si>
  <si>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</si>
  <si>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</si>
  <si>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</si>
  <si>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</si>
  <si>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</si>
  <si>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</si>
  <si>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</si>
  <si>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</si>
  <si>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</si>
  <si>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</si>
  <si>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</si>
  <si>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</si>
  <si>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</si>
  <si>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</si>
  <si>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</si>
  <si>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</si>
  <si>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</si>
  <si>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</si>
  <si>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</si>
  <si>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</si>
  <si>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</si>
  <si>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</si>
  <si>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</si>
  <si>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</si>
  <si>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</si>
  <si>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</si>
  <si>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</si>
  <si>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</si>
  <si>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</si>
  <si>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</si>
  <si>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</si>
  <si>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</si>
  <si>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</si>
  <si>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</si>
  <si>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</si>
  <si>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</si>
  <si>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</si>
  <si>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</si>
  <si>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</si>
  <si>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</si>
  <si>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</si>
  <si>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</si>
  <si>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</si>
  <si>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</si>
  <si>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</si>
  <si>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</si>
  <si>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</si>
  <si>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</si>
  <si>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</si>
  <si>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</si>
  <si>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</si>
  <si>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</si>
  <si>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</si>
  <si>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</si>
  <si>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</si>
  <si>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</si>
  <si>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</si>
  <si>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</si>
  <si>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</si>
  <si>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</si>
  <si>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</si>
  <si>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</si>
  <si>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</si>
  <si>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</si>
  <si>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</si>
  <si>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</si>
  <si>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</si>
  <si>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</si>
  <si>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</si>
  <si>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</si>
  <si>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</si>
  <si>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</si>
  <si>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</si>
  <si>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</si>
  <si>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</si>
  <si>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</si>
  <si>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</si>
  <si>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</si>
  <si>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</si>
  <si>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</si>
  <si>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</si>
  <si>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</si>
  <si>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</si>
  <si>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</si>
  <si>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</si>
  <si>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</si>
  <si>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</si>
  <si>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</si>
  <si>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</si>
  <si>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</si>
  <si>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</si>
  <si>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</si>
  <si>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</si>
  <si>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</si>
  <si>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</si>
  <si>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</si>
  <si>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</si>
  <si>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</si>
  <si>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</si>
  <si>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</si>
  <si>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</si>
  <si>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</si>
  <si>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</si>
  <si>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</si>
  <si>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</si>
  <si>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</si>
  <si>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</si>
  <si>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</si>
  <si>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</si>
  <si>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</si>
  <si>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</si>
  <si>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</si>
  <si>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</si>
  <si>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</si>
  <si>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</si>
  <si>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</si>
  <si>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</si>
  <si>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</si>
  <si>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</si>
  <si>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</si>
  <si>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</si>
  <si>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</si>
  <si>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</si>
  <si>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</si>
  <si>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</si>
  <si>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</si>
  <si>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</si>
  <si>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</si>
  <si>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</si>
  <si>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</si>
  <si>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</si>
  <si>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</si>
  <si>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</si>
  <si>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</si>
  <si>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</si>
  <si>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</si>
  <si>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</si>
  <si>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</si>
  <si>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</si>
  <si>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</si>
  <si>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</si>
  <si>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</si>
  <si>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</si>
  <si>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</si>
  <si>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</si>
  <si>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</si>
  <si>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</si>
  <si>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</si>
  <si>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</si>
  <si>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</si>
  <si>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</si>
  <si>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</si>
  <si>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</si>
  <si>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</si>
  <si>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</si>
  <si>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</si>
  <si>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</si>
  <si>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</si>
  <si>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</si>
  <si>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</si>
  <si>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</si>
  <si>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</si>
  <si>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</si>
  <si>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</si>
  <si>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</si>
  <si>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</si>
  <si>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</si>
  <si>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</si>
  <si>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</si>
  <si>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</si>
  <si>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</si>
  <si>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</si>
  <si>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</si>
  <si>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</si>
  <si>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</si>
  <si>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</si>
  <si>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</si>
  <si>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</si>
  <si>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</si>
  <si>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</si>
  <si>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</si>
  <si>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</si>
  <si>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</si>
  <si>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</si>
  <si>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</si>
  <si>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</si>
  <si>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</si>
  <si>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</si>
  <si>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</si>
  <si>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</si>
  <si>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</si>
  <si>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</si>
  <si>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</si>
  <si>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</si>
  <si>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</si>
  <si>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</si>
  <si>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</si>
  <si>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</si>
  <si>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</si>
  <si>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</si>
  <si>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</si>
  <si>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</si>
  <si>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</si>
  <si>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</si>
  <si>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</si>
  <si>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</si>
  <si>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</si>
  <si>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</si>
  <si>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</si>
  <si>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</si>
  <si>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</si>
  <si>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</si>
  <si>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</si>
  <si>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</si>
  <si>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</si>
  <si>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</si>
  <si>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</si>
  <si>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</si>
  <si>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</si>
  <si>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</si>
  <si>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</si>
  <si>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</si>
  <si>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</si>
  <si>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</si>
  <si>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</si>
  <si>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</si>
  <si>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</si>
  <si>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</si>
  <si>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</si>
  <si>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</si>
  <si>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</si>
  <si>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</si>
  <si>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</si>
  <si>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</si>
  <si>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</si>
  <si>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</si>
  <si>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</si>
  <si>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</si>
  <si>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</si>
  <si>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</si>
  <si>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</si>
  <si>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</si>
  <si>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</si>
  <si>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</si>
  <si>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</si>
  <si>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</si>
  <si>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</si>
  <si>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</si>
  <si>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</si>
  <si>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</si>
  <si>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</si>
  <si>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</si>
  <si>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</si>
  <si>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</si>
  <si>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</si>
  <si>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</si>
  <si>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</si>
  <si>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</si>
  <si>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</si>
  <si>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</si>
  <si>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</si>
  <si>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</si>
  <si>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</si>
  <si>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</si>
  <si>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</si>
  <si>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</si>
  <si>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</si>
  <si>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</si>
  <si>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</si>
  <si>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</si>
  <si>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</si>
  <si>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</si>
  <si>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</si>
  <si>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</si>
  <si>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</si>
  <si>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</si>
  <si>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</si>
  <si>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</si>
  <si>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</si>
  <si>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</si>
  <si>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</si>
  <si>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</si>
  <si>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</si>
  <si>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</si>
  <si>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</si>
  <si>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</si>
  <si>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</si>
  <si>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</si>
  <si>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</si>
  <si>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</si>
  <si>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</si>
  <si>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</si>
  <si>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</si>
  <si>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</si>
  <si>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</si>
  <si>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</si>
  <si>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</si>
  <si>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</si>
  <si>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</si>
  <si>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</si>
  <si>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</si>
  <si>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</si>
  <si>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</si>
  <si>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</si>
  <si>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</si>
  <si>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</si>
  <si>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</si>
  <si>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</si>
  <si>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</si>
  <si>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</si>
  <si>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</si>
  <si>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</si>
  <si>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</si>
  <si>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</si>
  <si>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</si>
  <si>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</si>
  <si>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</si>
  <si>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</si>
  <si>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</si>
  <si>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</si>
  <si>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</si>
  <si>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</si>
  <si>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</si>
  <si>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</si>
  <si>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</si>
  <si>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</si>
  <si>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</si>
  <si>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</si>
  <si>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</si>
  <si>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</si>
  <si>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</si>
  <si>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</si>
  <si>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</si>
  <si>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</si>
  <si>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</si>
  <si>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</si>
  <si>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</si>
  <si>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</si>
  <si>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</si>
  <si>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</si>
  <si>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</si>
  <si>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</si>
  <si>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</si>
  <si>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</si>
  <si>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</si>
  <si>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</si>
  <si>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</si>
  <si>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</si>
  <si>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</si>
  <si>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</si>
  <si>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</si>
  <si>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</si>
  <si>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</si>
  <si>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</si>
  <si>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</si>
  <si>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</si>
  <si>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</si>
  <si>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</si>
  <si>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</si>
  <si>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</si>
  <si>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</si>
  <si>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</si>
  <si>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</si>
  <si>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</si>
  <si>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</si>
  <si>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</si>
  <si>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</si>
  <si>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</si>
  <si>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</si>
  <si>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</si>
  <si>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</si>
  <si>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</si>
  <si>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</si>
  <si>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</si>
  <si>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</si>
  <si>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</si>
  <si>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</si>
  <si>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</si>
  <si>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</si>
  <si>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</si>
  <si>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</si>
  <si>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</si>
  <si>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</si>
  <si>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</si>
  <si>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</si>
  <si>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</si>
  <si>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</si>
  <si>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</si>
  <si>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</si>
  <si>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</si>
  <si>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</si>
  <si>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</si>
  <si>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</si>
  <si>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</si>
  <si>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</si>
  <si>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</si>
  <si>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</si>
  <si>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</si>
  <si>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</si>
  <si>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</si>
  <si>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</si>
  <si>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</si>
  <si>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</si>
  <si>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</si>
  <si>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</si>
  <si>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</si>
  <si>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</si>
  <si>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</si>
  <si>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</si>
  <si>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</si>
  <si>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</si>
  <si>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</si>
  <si>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</si>
  <si>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</si>
  <si>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</si>
  <si>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</si>
  <si>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</si>
  <si>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</si>
  <si>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</si>
  <si>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</si>
  <si>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</si>
  <si>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</si>
  <si>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</si>
  <si>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</si>
  <si>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</si>
  <si>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</si>
  <si>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</si>
  <si>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</si>
  <si>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</si>
  <si>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</si>
  <si>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</si>
  <si>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</si>
  <si>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</si>
  <si>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</si>
  <si>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</si>
  <si>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</si>
  <si>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</si>
  <si>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</si>
  <si>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</si>
  <si>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</si>
  <si>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</si>
  <si>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</si>
  <si>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</si>
  <si>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</si>
  <si>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</si>
  <si>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</si>
  <si>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</si>
  <si>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</si>
  <si>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</si>
  <si>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</si>
  <si>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</si>
  <si>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</si>
  <si>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</si>
  <si>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</si>
  <si>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</si>
  <si>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</si>
  <si>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</si>
  <si>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</si>
  <si>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</si>
  <si>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</si>
  <si>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</si>
  <si>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</si>
  <si>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</si>
  <si>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</si>
  <si>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</si>
  <si>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</si>
  <si>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</si>
  <si>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</si>
  <si>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</si>
  <si>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</si>
  <si>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</si>
  <si>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</si>
  <si>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</si>
  <si>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</si>
  <si>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</si>
  <si>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</si>
  <si>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</si>
  <si>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</si>
  <si>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</si>
  <si>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</si>
  <si>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</si>
  <si>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</si>
  <si>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</si>
  <si>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</si>
  <si>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</si>
  <si>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</si>
  <si>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</si>
  <si>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</si>
  <si>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</si>
  <si>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</si>
  <si>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</si>
  <si>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</si>
  <si>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</si>
  <si>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</si>
  <si>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</si>
  <si>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</si>
  <si>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</si>
  <si>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</si>
  <si>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</si>
  <si>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</si>
  <si>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</si>
  <si>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</si>
  <si>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</si>
  <si>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</si>
  <si>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</si>
  <si>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</si>
  <si>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</si>
  <si>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</si>
  <si>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</si>
  <si>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</si>
  <si>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</si>
  <si>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</si>
  <si>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</si>
  <si>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</si>
  <si>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</si>
  <si>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</si>
  <si>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</si>
  <si>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</si>
  <si>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</si>
  <si>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</si>
  <si>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</si>
  <si>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</si>
  <si>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</si>
  <si>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</si>
  <si>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</si>
  <si>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</si>
  <si>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</si>
  <si>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</si>
  <si>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</si>
  <si>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</si>
  <si>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</si>
  <si>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</si>
  <si>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</si>
  <si>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</si>
  <si>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</si>
  <si>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</si>
  <si>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</si>
  <si>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</si>
  <si>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</si>
  <si>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</si>
  <si>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</si>
  <si>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</si>
  <si>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</si>
  <si>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</si>
  <si>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</si>
  <si>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</si>
  <si>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</si>
  <si>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</si>
  <si>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</si>
  <si>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</si>
  <si>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</si>
  <si>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</si>
  <si>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</si>
  <si>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</si>
  <si>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</si>
  <si>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</si>
  <si>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</si>
  <si>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</si>
  <si>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</si>
  <si>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</si>
  <si>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</si>
  <si>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</si>
  <si>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</si>
  <si>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</si>
  <si>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</si>
  <si>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</si>
  <si>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</si>
  <si>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</si>
  <si>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</si>
  <si>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</si>
  <si>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</si>
  <si>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</si>
  <si>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</si>
  <si>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</si>
  <si>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</si>
  <si>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</si>
  <si>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</si>
  <si>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</si>
  <si>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</si>
  <si>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</si>
  <si>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</si>
  <si>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</si>
  <si>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</si>
  <si>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</si>
  <si>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</si>
  <si>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</si>
  <si>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</si>
  <si>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</si>
  <si>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</si>
  <si>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</si>
  <si>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</si>
  <si>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</si>
  <si>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</si>
  <si>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</si>
  <si>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</si>
  <si>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</si>
  <si>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</si>
  <si>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</si>
  <si>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</si>
  <si>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</si>
  <si>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</si>
  <si>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</si>
  <si>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</si>
  <si>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</si>
  <si>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</si>
  <si>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</si>
  <si>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</si>
  <si>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</si>
  <si>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</si>
  <si>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</si>
  <si>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</si>
  <si>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</si>
  <si>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</si>
  <si>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</si>
  <si>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</si>
  <si>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</si>
  <si>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</si>
  <si>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</si>
  <si>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</si>
  <si>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</si>
  <si>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</si>
  <si>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</si>
  <si>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</si>
  <si>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</si>
  <si>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</si>
  <si>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</si>
  <si>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</si>
  <si>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</si>
  <si>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</si>
  <si>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</si>
  <si>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</si>
  <si>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</si>
  <si>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</si>
  <si>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</si>
  <si>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</si>
  <si>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</si>
  <si>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</si>
  <si>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</si>
  <si>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</si>
  <si>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</si>
  <si>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</si>
  <si>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</si>
  <si>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</si>
  <si>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</si>
  <si>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</si>
  <si>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</si>
  <si>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</si>
  <si>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</si>
  <si>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</si>
  <si>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</si>
  <si>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</si>
  <si>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</si>
  <si>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</si>
  <si>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</si>
  <si>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</si>
  <si>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</si>
  <si>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</si>
  <si>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</si>
  <si>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</si>
  <si>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</si>
  <si>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</si>
  <si>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</si>
  <si>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</si>
  <si>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</si>
  <si>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</si>
  <si>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</si>
  <si>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</si>
  <si>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</si>
  <si>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</si>
  <si>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</si>
  <si>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</si>
  <si>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</si>
  <si>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</si>
  <si>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</si>
  <si>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</si>
  <si>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</si>
  <si>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</si>
  <si>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</si>
  <si>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</si>
  <si>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</si>
  <si>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</si>
  <si>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</si>
  <si>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</si>
  <si>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</si>
  <si>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</si>
  <si>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</si>
  <si>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</si>
  <si>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</si>
  <si>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</si>
  <si>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</si>
  <si>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</si>
  <si>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</si>
  <si>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</si>
  <si>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</si>
  <si>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</si>
  <si>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</si>
  <si>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</si>
  <si>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</si>
  <si>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</si>
  <si>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</si>
  <si>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</si>
  <si>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</si>
  <si>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</si>
  <si>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</si>
  <si>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</si>
  <si>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</si>
  <si>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</si>
  <si>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</si>
  <si>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</si>
  <si>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</si>
  <si>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</si>
  <si>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</si>
  <si>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</si>
  <si>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</si>
  <si>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</si>
  <si>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</si>
  <si>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</si>
  <si>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</si>
  <si>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</si>
  <si>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</si>
  <si>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</si>
  <si>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</si>
  <si>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</si>
  <si>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</si>
  <si>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</si>
  <si>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</si>
  <si>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</si>
  <si>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</si>
  <si>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</si>
  <si>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</si>
  <si>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</si>
  <si>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</si>
  <si>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</si>
  <si>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</si>
  <si>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</si>
  <si>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</si>
  <si>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</si>
  <si>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</si>
  <si>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</si>
  <si>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</si>
  <si>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</si>
  <si>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</si>
  <si>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</si>
  <si>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</si>
  <si>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</si>
  <si>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</si>
  <si>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</si>
  <si>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</si>
  <si>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</si>
  <si>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</si>
  <si>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</si>
  <si>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</si>
  <si>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</si>
  <si>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</si>
  <si>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</si>
  <si>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</si>
  <si>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</si>
  <si>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</si>
  <si>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</si>
  <si>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</si>
  <si>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</si>
  <si>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</si>
  <si>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</si>
  <si>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</si>
  <si>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</si>
  <si>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</si>
  <si>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</si>
  <si>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</si>
  <si>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</si>
  <si>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</si>
  <si>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</si>
  <si>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</si>
  <si>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</si>
  <si>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</si>
  <si>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</si>
  <si>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</si>
  <si>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</si>
  <si>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</si>
  <si>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</si>
  <si>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</si>
  <si>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</si>
  <si>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</si>
  <si>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</si>
  <si>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</si>
  <si>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</si>
  <si>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</si>
  <si>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</si>
  <si>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</si>
  <si>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</si>
  <si>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</si>
  <si>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</si>
  <si>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</si>
  <si>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</si>
  <si>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</si>
  <si>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</si>
  <si>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</si>
  <si>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</si>
  <si>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</si>
  <si>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</si>
  <si>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</si>
  <si>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</si>
  <si>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</si>
  <si>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</si>
  <si>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</si>
  <si>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</si>
  <si>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</si>
  <si>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</si>
  <si>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</si>
  <si>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</si>
  <si>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</si>
  <si>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</si>
  <si>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</si>
  <si>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</si>
  <si>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</si>
  <si>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</si>
  <si>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</si>
  <si>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</si>
  <si>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</si>
  <si>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</si>
  <si>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</si>
  <si>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</si>
  <si>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</si>
  <si>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</si>
  <si>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</si>
  <si>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</si>
  <si>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</si>
  <si>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</si>
  <si>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</si>
  <si>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</si>
  <si>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</si>
  <si>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</si>
  <si>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</si>
  <si>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</si>
  <si>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</si>
  <si>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</si>
  <si>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</si>
  <si>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</si>
  <si>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</si>
  <si>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</si>
  <si>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</si>
  <si>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</si>
  <si>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</si>
  <si>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</si>
  <si>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</si>
  <si>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</si>
  <si>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</si>
  <si>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</si>
  <si>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</si>
  <si>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</si>
  <si>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</si>
  <si>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</si>
  <si>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</si>
  <si>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</si>
  <si>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</si>
  <si>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</si>
  <si>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</si>
  <si>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</si>
  <si>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</si>
  <si>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</si>
  <si>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</si>
  <si>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</si>
  <si>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</si>
  <si>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</si>
  <si>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</si>
  <si>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</si>
  <si>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</si>
  <si>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</si>
  <si>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</si>
  <si>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</si>
  <si>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</si>
  <si>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</si>
  <si>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</si>
  <si>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</si>
  <si>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</si>
  <si>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</si>
  <si>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</si>
  <si>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</si>
  <si>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</si>
  <si>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</si>
  <si>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</si>
  <si>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</si>
  <si>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</si>
  <si>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</si>
  <si>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</si>
  <si>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</si>
  <si>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</si>
  <si>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</si>
  <si>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</si>
  <si>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</si>
  <si>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</si>
  <si>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</si>
  <si>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</si>
  <si>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</si>
  <si>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</si>
  <si>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</si>
  <si>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</si>
  <si>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</si>
  <si>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</si>
  <si>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</si>
  <si>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</si>
  <si>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</si>
  <si>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</si>
  <si>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</si>
  <si>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</si>
  <si>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</si>
  <si>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</si>
  <si>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</si>
  <si>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</si>
  <si>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</si>
  <si>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</si>
  <si>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</si>
  <si>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</si>
  <si>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</si>
  <si>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</si>
  <si>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</si>
  <si>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</si>
  <si>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</si>
  <si>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</si>
  <si>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</si>
  <si>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</si>
  <si>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</si>
  <si>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</si>
  <si>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</si>
  <si>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</si>
  <si>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</si>
  <si>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</si>
  <si>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</si>
  <si>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</si>
  <si>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</si>
  <si>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</si>
  <si>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</si>
  <si>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</si>
  <si>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</si>
  <si>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</si>
  <si>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</si>
  <si>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</si>
  <si>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</si>
  <si>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</si>
  <si>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</si>
  <si>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</si>
  <si>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</si>
  <si>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</si>
  <si>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</si>
  <si>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</si>
  <si>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</si>
  <si>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</si>
  <si>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</si>
  <si>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</si>
  <si>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</si>
  <si>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</si>
  <si>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</si>
  <si>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</si>
  <si>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</si>
  <si>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</si>
  <si>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</si>
  <si>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</si>
  <si>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</si>
  <si>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</si>
  <si>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</si>
  <si>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</si>
  <si>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</si>
  <si>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</si>
  <si>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</si>
  <si>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</si>
  <si>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</si>
  <si>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</si>
  <si>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</si>
  <si>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</si>
  <si>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</si>
  <si>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</si>
  <si>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</si>
  <si>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</si>
  <si>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</si>
  <si>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</si>
  <si>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</si>
  <si>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</si>
  <si>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</si>
  <si>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</si>
  <si>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</si>
  <si>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</si>
  <si>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</si>
  <si>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</si>
  <si>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</si>
  <si>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</si>
  <si>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</si>
  <si>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</si>
  <si>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</si>
  <si>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</si>
  <si>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</si>
  <si>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</si>
  <si>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</si>
  <si>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</si>
  <si>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</si>
  <si>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</si>
  <si>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</si>
  <si>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</si>
  <si>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</si>
  <si>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</si>
  <si>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</si>
  <si>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</si>
  <si>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</si>
  <si>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</si>
  <si>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</si>
  <si>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</si>
  <si>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</si>
  <si>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</si>
  <si>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</si>
  <si>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</si>
  <si>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</si>
  <si>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</si>
  <si>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</si>
  <si>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</si>
  <si>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</si>
  <si>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</si>
  <si>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</si>
  <si>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</si>
  <si>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</si>
  <si>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</si>
  <si>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</si>
  <si>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</si>
  <si>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</si>
  <si>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</si>
  <si>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</si>
  <si>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</si>
  <si>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</si>
  <si>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</si>
  <si>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</si>
  <si>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</si>
  <si>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</si>
  <si>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</si>
  <si>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</si>
  <si>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</si>
  <si>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</si>
  <si>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</si>
  <si>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</si>
  <si>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</si>
  <si>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</si>
  <si>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</si>
  <si>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</si>
  <si>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</si>
  <si>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</si>
  <si>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</si>
  <si>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</si>
  <si>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</si>
  <si>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</si>
  <si>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</si>
  <si>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</si>
  <si>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</si>
  <si>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</si>
  <si>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</si>
  <si>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</si>
  <si>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</si>
  <si>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</si>
  <si>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</si>
  <si>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</si>
  <si>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</si>
  <si>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</si>
  <si>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</si>
  <si>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</si>
  <si>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</si>
  <si>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</si>
  <si>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</si>
  <si>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</si>
  <si>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</si>
  <si>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</si>
  <si>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</si>
  <si>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</si>
  <si>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</si>
  <si>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</si>
  <si>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</si>
  <si>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</si>
  <si>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</si>
  <si>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</si>
  <si>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</si>
  <si>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</si>
  <si>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</si>
  <si>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</si>
  <si>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</si>
  <si>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</si>
  <si>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</si>
  <si>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</si>
  <si>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</si>
  <si>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</si>
  <si>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</si>
  <si>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</si>
  <si>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</si>
  <si>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</si>
  <si>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</si>
  <si>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</si>
  <si>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</si>
  <si>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</si>
  <si>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</si>
  <si>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</si>
  <si>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</si>
  <si>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</si>
  <si>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</si>
  <si>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</si>
  <si>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</si>
  <si>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</si>
  <si>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</si>
  <si>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</si>
  <si>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</si>
  <si>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</si>
  <si>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</si>
  <si>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</si>
  <si>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</si>
  <si>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</si>
  <si>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</si>
  <si>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</si>
  <si>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</si>
  <si>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</si>
  <si>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</si>
  <si>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</si>
  <si>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</si>
  <si>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</si>
  <si>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</si>
  <si>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</si>
  <si>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</si>
  <si>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</si>
  <si>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</si>
  <si>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</si>
  <si>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</si>
  <si>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</si>
  <si>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</si>
  <si>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</si>
  <si>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</si>
  <si>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</si>
  <si>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</si>
  <si>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</si>
  <si>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</si>
  <si>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</si>
  <si>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</si>
  <si>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</si>
  <si>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</si>
  <si>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</si>
  <si>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</si>
  <si>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</si>
  <si>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</si>
  <si>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</si>
  <si>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</si>
  <si>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</si>
  <si>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</si>
  <si>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</si>
  <si>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</si>
  <si>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</si>
  <si>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</si>
  <si>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</si>
  <si>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</si>
  <si>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</si>
  <si>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</si>
  <si>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</si>
  <si>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</si>
  <si>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</si>
  <si>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</si>
  <si>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</si>
  <si>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</si>
  <si>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</si>
  <si>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</si>
  <si>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</si>
  <si>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</si>
  <si>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</si>
  <si>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</si>
  <si>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</si>
  <si>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</si>
  <si>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</si>
  <si>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</si>
  <si>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</si>
  <si>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</si>
  <si>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</si>
  <si>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</si>
  <si>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</si>
  <si>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</si>
  <si>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</si>
  <si>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</si>
  <si>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</si>
  <si>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</si>
  <si>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</si>
  <si>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</si>
  <si>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</si>
  <si>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</si>
  <si>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</si>
  <si>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</si>
  <si>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</si>
  <si>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</si>
  <si>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</si>
  <si>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</si>
  <si>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</si>
  <si>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</si>
  <si>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</si>
  <si>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</si>
  <si>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</si>
  <si>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</si>
  <si>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</si>
  <si>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</si>
  <si>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</si>
  <si>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</si>
  <si>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</si>
  <si>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</si>
  <si>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</si>
  <si>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</si>
  <si>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</si>
  <si>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</si>
  <si>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</si>
  <si>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</si>
  <si>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</si>
  <si>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</si>
  <si>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</si>
  <si>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</si>
  <si>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</si>
  <si>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</si>
  <si>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</si>
  <si>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</si>
  <si>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</si>
  <si>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</si>
  <si>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</si>
  <si>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</si>
  <si>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</si>
  <si>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</si>
  <si>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</si>
  <si>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</si>
  <si>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</si>
  <si>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</si>
  <si>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</si>
  <si>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</si>
  <si>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</si>
  <si>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</si>
  <si>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</si>
  <si>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</si>
  <si>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</si>
  <si>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</si>
  <si>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</si>
  <si>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</si>
  <si>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</si>
  <si>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</si>
  <si>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</si>
  <si>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</si>
  <si>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</si>
  <si>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</si>
  <si>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</si>
  <si>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</si>
  <si>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</si>
  <si>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</si>
  <si>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</si>
  <si>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</si>
  <si>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</si>
  <si>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</si>
  <si>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</si>
  <si>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</si>
  <si>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</si>
  <si>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</si>
  <si>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</si>
  <si>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</si>
  <si>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</si>
  <si>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</si>
  <si>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</si>
  <si>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</si>
  <si>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</si>
  <si>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</si>
  <si>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</si>
  <si>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</si>
  <si>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</si>
  <si>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</si>
  <si>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</si>
  <si>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</si>
  <si>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</si>
  <si>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</si>
  <si>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</si>
  <si>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</si>
  <si>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</si>
  <si>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</si>
  <si>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</si>
  <si>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</si>
  <si>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</si>
  <si>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</si>
  <si>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</si>
  <si>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</si>
  <si>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</si>
  <si>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</si>
  <si>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</si>
  <si>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</si>
  <si>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</si>
  <si>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</si>
  <si>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</si>
  <si>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</si>
  <si>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</si>
  <si>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</si>
  <si>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</si>
  <si>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</si>
  <si>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</si>
  <si>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</si>
  <si>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</si>
  <si>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</si>
  <si>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</si>
  <si>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</si>
  <si>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</si>
  <si>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</si>
  <si>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</si>
  <si>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</si>
  <si>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</si>
  <si>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</si>
  <si>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</si>
  <si>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</si>
  <si>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</si>
  <si>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</si>
  <si>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</si>
  <si>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</si>
  <si>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</si>
  <si>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</si>
  <si>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</si>
  <si>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</si>
  <si>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</si>
  <si>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</si>
  <si>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</si>
  <si>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</si>
  <si>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</si>
  <si>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</si>
  <si>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</si>
  <si>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</si>
  <si>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</si>
  <si>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</si>
  <si>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</si>
  <si>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</si>
  <si>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</si>
  <si>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</si>
  <si>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</si>
  <si>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</si>
  <si>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</si>
  <si>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</si>
  <si>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</si>
  <si>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</si>
  <si>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</si>
  <si>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</si>
  <si>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</si>
  <si>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</si>
  <si>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</si>
  <si>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</si>
  <si>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</si>
  <si>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</si>
  <si>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</si>
  <si>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</si>
  <si>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</si>
  <si>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</si>
  <si>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</si>
  <si>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</si>
  <si>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</si>
  <si>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</si>
  <si>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</si>
  <si>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</si>
  <si>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</si>
  <si>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</si>
  <si>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</si>
  <si>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</si>
  <si>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</si>
  <si>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</si>
  <si>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</si>
  <si>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</si>
  <si>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</si>
  <si>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</si>
  <si>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</si>
  <si>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</si>
  <si>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</si>
  <si>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</si>
  <si>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</si>
  <si>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</si>
  <si>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</si>
  <si>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</si>
  <si>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</si>
  <si>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</si>
  <si>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</si>
  <si>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</si>
  <si>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</si>
  <si>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</si>
  <si>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</si>
  <si>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</si>
  <si>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</si>
  <si>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</si>
  <si>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</si>
  <si>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</si>
  <si>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</si>
  <si>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</si>
  <si>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</si>
  <si>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</si>
  <si>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</si>
  <si>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</si>
  <si>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</si>
  <si>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</si>
  <si>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</si>
  <si>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</si>
  <si>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</si>
  <si>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</si>
  <si>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</si>
  <si>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</si>
  <si>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</si>
  <si>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</si>
  <si>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</si>
  <si>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</si>
  <si>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</si>
  <si>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</si>
  <si>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</si>
  <si>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</si>
  <si>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</si>
  <si>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</si>
  <si>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</si>
  <si>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</si>
  <si>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</si>
  <si>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</si>
  <si>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</si>
  <si>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</si>
  <si>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</si>
  <si>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</si>
  <si>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</si>
  <si>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</si>
  <si>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</si>
  <si>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</si>
  <si>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</si>
  <si>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</si>
  <si>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</si>
  <si>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</si>
  <si>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</si>
  <si>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</si>
  <si>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</si>
  <si>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</si>
  <si>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</si>
  <si>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</si>
  <si>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</si>
  <si>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</si>
  <si>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</si>
  <si>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</si>
  <si>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</si>
  <si>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</si>
  <si>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</si>
  <si>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</si>
  <si>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</si>
  <si>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</si>
  <si>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</si>
  <si>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</si>
  <si>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</si>
  <si>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</si>
  <si>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</si>
  <si>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</si>
  <si>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</si>
  <si>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</si>
  <si>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</si>
  <si>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</si>
  <si>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</si>
  <si>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</si>
  <si>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</si>
  <si>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</si>
  <si>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</si>
  <si>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</si>
  <si>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</si>
  <si>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</si>
  <si>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</si>
  <si>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</si>
  <si>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</si>
  <si>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</si>
  <si>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</si>
  <si>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</si>
  <si>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</si>
  <si>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</si>
  <si>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</si>
  <si>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</si>
  <si>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</si>
  <si>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</si>
  <si>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</si>
  <si>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</si>
  <si>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</si>
  <si>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</si>
  <si>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</si>
  <si>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</si>
  <si>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</si>
  <si>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</si>
  <si>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</si>
  <si>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</si>
  <si>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</si>
  <si>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</si>
  <si>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</si>
  <si>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</si>
  <si>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</si>
  <si>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</si>
  <si>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</si>
  <si>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</si>
  <si>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</si>
  <si>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</si>
  <si>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</si>
  <si>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</si>
  <si>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</si>
  <si>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</si>
  <si>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</si>
  <si>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</si>
  <si>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</si>
  <si>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</si>
  <si>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</si>
  <si>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</si>
  <si>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</si>
  <si>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</si>
  <si>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</si>
  <si>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</si>
  <si>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</si>
  <si>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</si>
  <si>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</si>
  <si>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</si>
  <si>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</si>
  <si>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</si>
  <si>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</si>
  <si>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</si>
  <si>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</si>
  <si>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</si>
  <si>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</si>
  <si>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</si>
  <si>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</si>
  <si>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</si>
  <si>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</si>
  <si>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</si>
  <si>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</si>
  <si>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</si>
  <si>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</si>
  <si>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</si>
  <si>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</si>
  <si>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</si>
  <si>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</si>
  <si>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</si>
  <si>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</si>
  <si>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</si>
  <si>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</si>
  <si>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</si>
  <si>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</si>
  <si>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</si>
  <si>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</si>
  <si>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</si>
  <si>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</si>
  <si>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</si>
  <si>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</si>
  <si>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</si>
  <si>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</si>
  <si>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</si>
  <si>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</si>
  <si>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</si>
  <si>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</si>
  <si>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</si>
  <si>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</si>
  <si>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</si>
  <si>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</si>
  <si>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</si>
  <si>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</si>
  <si>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</si>
  <si>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</si>
  <si>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</si>
  <si>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</si>
  <si>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</si>
  <si>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</si>
  <si>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</si>
  <si>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</si>
  <si>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</si>
  <si>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</si>
  <si>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</si>
  <si>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</si>
  <si>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</si>
  <si>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</si>
  <si>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</si>
  <si>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</si>
  <si>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</si>
  <si>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</si>
  <si>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</si>
  <si>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</si>
  <si>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</si>
  <si>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</si>
  <si>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</si>
  <si>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</si>
  <si>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</si>
  <si>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</si>
  <si>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</si>
  <si>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</si>
  <si>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</si>
  <si>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</si>
  <si>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</si>
  <si>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</si>
  <si>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</si>
  <si>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</si>
  <si>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</si>
  <si>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</si>
  <si>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</si>
  <si>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</si>
  <si>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</si>
  <si>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</si>
  <si>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</si>
  <si>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</si>
  <si>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</si>
  <si>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</si>
  <si>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</si>
  <si>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</si>
  <si>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</si>
  <si>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</si>
  <si>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</si>
  <si>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</si>
  <si>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</si>
  <si>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</si>
  <si>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</si>
  <si>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</si>
  <si>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</si>
  <si>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</si>
  <si>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</si>
  <si>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</si>
  <si>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</si>
  <si>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</si>
  <si>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</si>
  <si>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</si>
  <si>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</si>
  <si>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</si>
  <si>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</si>
  <si>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</si>
  <si>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</si>
  <si>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</si>
  <si>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</si>
  <si>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</si>
  <si>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</si>
  <si>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</si>
  <si>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</si>
  <si>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</si>
  <si>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</si>
  <si>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</si>
  <si>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</si>
  <si>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</si>
  <si>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</si>
  <si>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</si>
  <si>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</si>
  <si>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</si>
  <si>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</si>
  <si>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</si>
  <si>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</si>
  <si>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</si>
  <si>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</si>
  <si>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</si>
  <si>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</si>
  <si>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</si>
  <si>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</si>
  <si>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</si>
  <si>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</si>
  <si>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</si>
  <si>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</si>
  <si>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</si>
  <si>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</si>
  <si>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</si>
  <si>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</si>
  <si>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</si>
  <si>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</si>
  <si>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</si>
  <si>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</si>
  <si>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</si>
  <si>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</si>
  <si>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</si>
  <si>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</si>
  <si>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</si>
  <si>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</si>
  <si>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</si>
  <si>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</si>
  <si>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</si>
  <si>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</si>
  <si>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</si>
  <si>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</si>
  <si>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</si>
  <si>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</si>
  <si>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</si>
  <si>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</si>
  <si>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</si>
  <si>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</si>
  <si>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</si>
  <si>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</si>
  <si>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</si>
  <si>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</si>
  <si>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</si>
  <si>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</si>
  <si>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</si>
  <si>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</si>
  <si>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</si>
  <si>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</si>
  <si>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</si>
  <si>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</si>
  <si>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</si>
  <si>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</si>
  <si>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</si>
  <si>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</si>
  <si>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</si>
  <si>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</si>
  <si>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</si>
  <si>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</si>
  <si>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</si>
  <si>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</si>
  <si>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</si>
  <si>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</si>
  <si>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</si>
  <si>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</si>
  <si>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</si>
  <si>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</si>
  <si>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</si>
  <si>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</si>
  <si>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</si>
  <si>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</si>
  <si>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</si>
  <si>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</si>
  <si>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</si>
  <si>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</si>
  <si>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</si>
  <si>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</si>
  <si>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</si>
  <si>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</si>
  <si>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</si>
  <si>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</si>
  <si>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</si>
  <si>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</si>
  <si>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</si>
  <si>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</si>
  <si>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</si>
  <si>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</si>
  <si>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</si>
  <si>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</si>
  <si>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</si>
  <si>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</si>
  <si>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</si>
  <si>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</si>
  <si>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</si>
  <si>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</si>
  <si>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</si>
  <si>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</si>
  <si>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</si>
  <si>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</si>
  <si>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</si>
  <si>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</si>
  <si>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</si>
  <si>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</si>
  <si>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</si>
  <si>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</si>
  <si>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</si>
  <si>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</si>
  <si>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</si>
  <si>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</si>
  <si>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</si>
  <si>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</si>
  <si>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</si>
  <si>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</si>
  <si>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</si>
  <si>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</si>
  <si>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</si>
  <si>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</si>
  <si>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</si>
  <si>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</si>
  <si>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</si>
  <si>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</si>
  <si>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</si>
  <si>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</si>
  <si>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</si>
  <si>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</si>
  <si>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</si>
  <si>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</si>
  <si>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</si>
  <si>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</si>
  <si>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</si>
  <si>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</si>
  <si>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</si>
  <si>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</si>
  <si>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</si>
  <si>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</si>
  <si>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</si>
  <si>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</si>
  <si>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</si>
  <si>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</si>
  <si>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</si>
  <si>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</si>
  <si>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</si>
  <si>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</si>
  <si>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</si>
  <si>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</si>
  <si>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</si>
  <si>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</si>
  <si>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</si>
  <si>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</si>
  <si>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</si>
  <si>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</si>
  <si>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</si>
  <si>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</si>
  <si>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</si>
  <si>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</si>
  <si>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</si>
  <si>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</si>
  <si>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</si>
  <si>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</si>
  <si>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</si>
  <si>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</si>
  <si>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</si>
  <si>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</si>
  <si>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</si>
  <si>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</si>
  <si>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</si>
  <si>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</si>
  <si>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</si>
  <si>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</si>
  <si>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</si>
  <si>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</si>
  <si>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</si>
  <si>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</si>
  <si>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</si>
  <si>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</si>
  <si>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</si>
  <si>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</si>
  <si>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</si>
  <si>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</si>
  <si>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</si>
  <si>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</si>
  <si>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</si>
  <si>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</si>
  <si>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</si>
  <si>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</si>
  <si>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</si>
  <si>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</si>
  <si>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</si>
  <si>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</si>
  <si>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</si>
  <si>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</si>
  <si>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</si>
  <si>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</si>
  <si>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</si>
  <si>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</si>
  <si>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</si>
  <si>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</si>
  <si>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</si>
  <si>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</si>
  <si>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</si>
  <si>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</si>
  <si>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</si>
  <si>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</si>
  <si>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</si>
  <si>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</si>
  <si>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</si>
  <si>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</si>
  <si>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</si>
  <si>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</si>
  <si>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</si>
  <si>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</si>
  <si>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</si>
  <si>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</si>
  <si>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</si>
  <si>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</si>
  <si>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</si>
  <si>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</si>
  <si>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</si>
  <si>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</si>
  <si>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</si>
  <si>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</si>
  <si>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</si>
  <si>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</si>
  <si>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</si>
  <si>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</si>
  <si>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</si>
  <si>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</si>
  <si>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</si>
  <si>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</si>
  <si>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</si>
  <si>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</si>
  <si>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</si>
  <si>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</si>
  <si>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</si>
  <si>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</si>
  <si>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</si>
  <si>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</si>
  <si>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</si>
  <si>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</si>
  <si>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</si>
  <si>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</si>
  <si>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</si>
  <si>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</si>
  <si>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</si>
  <si>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</si>
  <si>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</si>
  <si>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</si>
  <si>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</si>
  <si>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</si>
  <si>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</si>
  <si>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</si>
  <si>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</si>
  <si>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</si>
  <si>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</si>
  <si>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</si>
  <si>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</si>
  <si>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</si>
  <si>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</si>
  <si>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</si>
  <si>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</si>
  <si>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</si>
  <si>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</si>
  <si>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</si>
  <si>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</si>
  <si>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</si>
  <si>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</si>
  <si>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</si>
  <si>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</si>
  <si>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</si>
  <si>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</si>
  <si>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</si>
  <si>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</si>
  <si>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</si>
  <si>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</si>
  <si>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</si>
  <si>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</si>
  <si>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</si>
  <si>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</si>
  <si>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</si>
  <si>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</si>
  <si>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</si>
  <si>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</si>
  <si>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</si>
  <si>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</si>
  <si>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</si>
  <si>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</si>
  <si>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</si>
  <si>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</si>
  <si>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</si>
  <si>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</si>
  <si>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</si>
  <si>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</si>
  <si>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</si>
  <si>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</si>
  <si>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</si>
  <si>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</si>
  <si>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</si>
  <si>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</si>
  <si>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</si>
  <si>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</si>
  <si>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</si>
  <si>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</si>
  <si>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</si>
  <si>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</si>
  <si>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</si>
  <si>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</si>
  <si>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</si>
  <si>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</si>
  <si>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</si>
  <si>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</si>
  <si>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</si>
  <si>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</si>
  <si>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</si>
  <si>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</si>
  <si>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</si>
  <si>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</si>
  <si>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</si>
  <si>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</si>
  <si>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</si>
  <si>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</si>
  <si>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</si>
  <si>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</si>
  <si>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</si>
  <si>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</si>
  <si>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</si>
  <si>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</si>
  <si>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</si>
  <si>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</si>
  <si>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</si>
  <si>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</si>
  <si>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</si>
  <si>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</si>
  <si>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</si>
  <si>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</si>
  <si>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</si>
  <si>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</si>
  <si>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</si>
  <si>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</si>
  <si>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</si>
  <si>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</si>
  <si>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</si>
  <si>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</si>
  <si>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</si>
  <si>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</si>
  <si>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</si>
  <si>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</si>
  <si>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</si>
  <si>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</si>
  <si>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</si>
  <si>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</si>
  <si>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</si>
  <si>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</si>
  <si>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</si>
  <si>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</si>
  <si>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</si>
  <si>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</si>
  <si>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</si>
  <si>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</si>
  <si>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</si>
  <si>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</si>
  <si>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</si>
  <si>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</si>
  <si>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</si>
  <si>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</si>
  <si>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</si>
  <si>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</si>
  <si>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</si>
  <si>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</si>
  <si>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</si>
  <si>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</si>
  <si>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</si>
  <si>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</si>
  <si>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</si>
  <si>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</si>
  <si>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</si>
  <si>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</si>
  <si>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</si>
  <si>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</si>
  <si>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</si>
  <si>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</si>
  <si>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</si>
  <si>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</si>
  <si>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</si>
  <si>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</si>
  <si>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</si>
  <si>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</si>
  <si>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</si>
  <si>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</si>
  <si>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</si>
  <si>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</si>
  <si>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</si>
  <si>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</si>
  <si>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</si>
  <si>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</si>
  <si>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</si>
  <si>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</si>
  <si>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</si>
  <si>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</si>
  <si>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</si>
  <si>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</si>
  <si>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</si>
  <si>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</si>
  <si>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</si>
  <si>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</si>
  <si>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</si>
  <si>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</si>
  <si>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</si>
  <si>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</si>
  <si>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</si>
  <si>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</si>
  <si>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</si>
  <si>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</si>
  <si>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</si>
  <si>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</si>
  <si>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</si>
  <si>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</si>
  <si>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</si>
  <si>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</si>
  <si>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</si>
  <si>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</si>
  <si>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</si>
  <si>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</si>
  <si>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</si>
  <si>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</si>
  <si>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</si>
  <si>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</si>
  <si>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</si>
  <si>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</si>
  <si>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</si>
  <si>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</si>
  <si>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</si>
  <si>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</si>
  <si>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</si>
  <si>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</si>
  <si>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</si>
  <si>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</si>
  <si>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</si>
  <si>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</si>
  <si>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</si>
  <si>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</si>
  <si>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</si>
  <si>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</si>
  <si>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</si>
  <si>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</si>
  <si>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</si>
  <si>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</si>
  <si>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</si>
  <si>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</si>
  <si>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</si>
  <si>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</si>
  <si>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</si>
  <si>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</si>
  <si>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</si>
  <si>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</si>
  <si>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</si>
  <si>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</si>
  <si>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</si>
  <si>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</si>
  <si>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</si>
  <si>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</si>
  <si>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</si>
  <si>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</si>
  <si>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</si>
  <si>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</si>
  <si>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</si>
  <si>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</si>
  <si>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</si>
  <si>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</si>
  <si>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</si>
  <si>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</si>
  <si>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</si>
  <si>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</si>
  <si>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</si>
  <si>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</si>
  <si>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</si>
  <si>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</si>
  <si>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</si>
  <si>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</si>
  <si>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</si>
  <si>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</si>
  <si>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</si>
  <si>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</si>
  <si>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</si>
  <si>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</si>
  <si>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</si>
  <si>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</si>
  <si>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</si>
  <si>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</si>
  <si>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</si>
  <si>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</si>
  <si>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</si>
  <si>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</si>
  <si>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</si>
  <si>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</si>
  <si>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</si>
  <si>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</si>
  <si>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</si>
  <si>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</si>
  <si>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</si>
  <si>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</si>
  <si>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</si>
  <si>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</si>
  <si>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</si>
  <si>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</si>
  <si>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</si>
  <si>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</si>
  <si>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</si>
  <si>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</si>
  <si>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</si>
  <si>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</si>
  <si>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</si>
  <si>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</si>
  <si>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</si>
  <si>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</si>
  <si>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</si>
  <si>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</si>
  <si>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</si>
  <si>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</si>
  <si>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</si>
  <si>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</si>
  <si>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</si>
  <si>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</si>
  <si>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</si>
  <si>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</si>
  <si>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</si>
  <si>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</si>
  <si>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</si>
  <si>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</si>
  <si>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</si>
  <si>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</si>
  <si>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</si>
  <si>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</si>
  <si>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</si>
  <si>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</si>
  <si>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</si>
  <si>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</si>
  <si>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</si>
  <si>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</si>
  <si>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</si>
  <si>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</si>
  <si>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</si>
  <si>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</si>
  <si>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</si>
  <si>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</si>
  <si>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</si>
  <si>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</si>
  <si>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</si>
  <si>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</si>
  <si>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</si>
  <si>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</si>
  <si>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</si>
  <si>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</si>
  <si>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</si>
  <si>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</si>
  <si>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</si>
  <si>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</si>
  <si>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</si>
  <si>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</si>
  <si>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</si>
  <si>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</si>
  <si>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</si>
  <si>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</si>
  <si>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</si>
  <si>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</si>
  <si>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</si>
  <si>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</si>
  <si>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</si>
  <si>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</si>
  <si>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</si>
  <si>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</si>
  <si>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</si>
  <si>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</si>
  <si>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</si>
  <si>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</si>
  <si>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</si>
  <si>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</si>
  <si>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</si>
  <si>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</si>
  <si>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</si>
  <si>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</si>
  <si>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</si>
  <si>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</si>
  <si>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</si>
  <si>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</si>
  <si>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</si>
  <si>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</si>
  <si>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</si>
  <si>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</si>
  <si>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</si>
  <si>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</si>
  <si>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</si>
  <si>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</si>
  <si>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</si>
  <si>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</si>
  <si>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</si>
  <si>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</si>
  <si>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</si>
  <si>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</si>
  <si>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</si>
  <si>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</si>
  <si>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</si>
  <si>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</si>
  <si>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</si>
  <si>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</si>
  <si>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</si>
  <si>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</si>
  <si>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</si>
  <si>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</si>
  <si>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</si>
  <si>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</si>
  <si>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</si>
  <si>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</si>
  <si>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</si>
  <si>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</si>
  <si>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</si>
  <si>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</si>
  <si>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</si>
  <si>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</si>
  <si>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</si>
  <si>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</si>
  <si>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</si>
  <si>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</si>
  <si>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</si>
  <si>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</si>
  <si>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</si>
  <si>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</si>
  <si>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</si>
  <si>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</si>
  <si>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</si>
  <si>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</si>
  <si>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</si>
  <si>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</si>
  <si>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</si>
  <si>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</si>
  <si>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</si>
  <si>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</si>
  <si>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</si>
  <si>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</si>
  <si>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</si>
  <si>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</si>
  <si>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</si>
  <si>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</si>
  <si>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</si>
  <si>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</si>
  <si>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</si>
  <si>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</si>
  <si>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</si>
  <si>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</si>
  <si>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</si>
  <si>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</si>
  <si>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</si>
  <si>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</si>
  <si>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</si>
  <si>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</si>
  <si>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</si>
  <si>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</si>
  <si>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</si>
  <si>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</si>
  <si>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</si>
  <si>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</si>
  <si>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</si>
  <si>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</si>
  <si>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</si>
  <si>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</si>
  <si>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</si>
  <si>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</si>
  <si>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</si>
  <si>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</si>
  <si>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</si>
  <si>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</si>
  <si>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</si>
  <si>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</si>
  <si>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</si>
  <si>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</si>
  <si>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</si>
  <si>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</si>
  <si>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</si>
  <si>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</si>
  <si>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</si>
  <si>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</si>
  <si>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</si>
  <si>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</si>
  <si>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</si>
  <si>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</si>
  <si>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</si>
  <si>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</si>
  <si>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</si>
  <si>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</si>
  <si>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</si>
  <si>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</si>
  <si>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</si>
  <si>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</si>
  <si>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</si>
  <si>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</si>
  <si>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</si>
  <si>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</si>
  <si>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</si>
  <si>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</si>
  <si>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</si>
  <si>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</si>
  <si>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</si>
  <si>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</si>
  <si>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</si>
  <si>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</si>
  <si>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</si>
  <si>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</si>
  <si>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</si>
  <si>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</si>
  <si>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</si>
  <si>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</si>
  <si>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</si>
  <si>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</si>
  <si>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</si>
  <si>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</si>
  <si>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</si>
  <si>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</si>
  <si>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</si>
  <si>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</si>
  <si>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</si>
  <si>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</si>
  <si>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</si>
  <si>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</si>
  <si>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</si>
  <si>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</si>
  <si>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</si>
  <si>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</si>
  <si>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</si>
  <si>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</si>
  <si>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</si>
  <si>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</si>
  <si>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</si>
  <si>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</si>
  <si>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</si>
  <si>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</si>
  <si>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</si>
  <si>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</si>
  <si>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</si>
  <si>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</si>
  <si>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</si>
  <si>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</si>
  <si>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</si>
  <si>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</si>
  <si>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</si>
  <si>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</si>
  <si>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</si>
  <si>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</si>
  <si>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</si>
  <si>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</si>
  <si>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</si>
  <si>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</si>
  <si>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</si>
  <si>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</si>
  <si>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</si>
  <si>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</si>
  <si>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</si>
  <si>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</si>
  <si>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</si>
  <si>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</si>
  <si>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</si>
  <si>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</si>
  <si>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</si>
  <si>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</si>
  <si>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</si>
  <si>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</si>
  <si>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</si>
  <si>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</si>
  <si>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</si>
  <si>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</si>
  <si>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</si>
  <si>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</si>
  <si>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</si>
  <si>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</si>
  <si>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</si>
  <si>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</si>
  <si>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</si>
  <si>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</si>
  <si>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</si>
  <si>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</si>
  <si>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</si>
  <si>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</si>
  <si>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</si>
  <si>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</si>
  <si>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</si>
  <si>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</si>
  <si>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</si>
  <si>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</si>
  <si>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</si>
  <si>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</si>
  <si>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</si>
  <si>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</si>
  <si>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</si>
  <si>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</si>
  <si>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</si>
  <si>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</si>
  <si>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</si>
  <si>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</si>
  <si>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</si>
  <si>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</si>
  <si>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</si>
  <si>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</si>
  <si>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</si>
  <si>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</si>
  <si>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</si>
  <si>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</si>
  <si>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</si>
  <si>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</si>
  <si>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</si>
  <si>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</si>
  <si>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</si>
  <si>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</si>
  <si>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</si>
  <si>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</si>
  <si>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</si>
  <si>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</si>
  <si>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</si>
  <si>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</si>
  <si>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</si>
  <si>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</si>
  <si>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</si>
  <si>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</si>
  <si>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</si>
  <si>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</si>
  <si>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</si>
  <si>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</si>
  <si>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</si>
  <si>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</si>
  <si>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</si>
  <si>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</si>
  <si>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</si>
  <si>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</si>
  <si>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</si>
  <si>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</si>
  <si>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</si>
  <si>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</si>
  <si>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</si>
  <si>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</si>
  <si>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</si>
  <si>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</si>
  <si>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</si>
  <si>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</si>
  <si>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</si>
  <si>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</si>
  <si>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</si>
  <si>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</si>
  <si>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</si>
  <si>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</si>
  <si>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</si>
  <si>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</si>
  <si>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</si>
  <si>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</si>
  <si>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</si>
  <si>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</si>
  <si>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</si>
  <si>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</si>
  <si>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</si>
  <si>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</si>
  <si>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</si>
  <si>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</si>
  <si>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</si>
  <si>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</si>
  <si>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</si>
  <si>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</si>
  <si>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</si>
  <si>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</si>
  <si>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</si>
  <si>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</si>
  <si>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</si>
  <si>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</si>
  <si>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</si>
  <si>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</si>
  <si>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</si>
  <si>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</si>
  <si>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</si>
  <si>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</si>
  <si>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</si>
  <si>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</si>
  <si>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</si>
  <si>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</si>
  <si>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</si>
  <si>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</si>
  <si>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</si>
  <si>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</si>
  <si>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</si>
  <si>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</si>
  <si>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</si>
  <si>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</si>
  <si>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</si>
  <si>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</si>
  <si>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</si>
  <si>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</si>
  <si>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</si>
  <si>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</si>
  <si>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</si>
  <si>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</si>
  <si>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</si>
  <si>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</si>
  <si>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</si>
  <si>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</si>
  <si>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</si>
  <si>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</si>
  <si>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</si>
  <si>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</si>
  <si>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</si>
  <si>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</si>
  <si>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</si>
  <si>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</si>
  <si>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</si>
  <si>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</si>
  <si>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</si>
  <si>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</si>
  <si>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</si>
  <si>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</si>
  <si>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</si>
  <si>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</si>
  <si>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</si>
  <si>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</si>
  <si>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</si>
  <si>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</si>
  <si>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</si>
  <si>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</si>
  <si>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</si>
  <si>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</si>
  <si>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</si>
  <si>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</si>
  <si>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</si>
  <si>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</si>
  <si>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</si>
  <si>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</si>
  <si>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</si>
  <si>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</si>
  <si>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</si>
  <si>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</si>
  <si>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</si>
  <si>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</si>
  <si>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</si>
  <si>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</si>
  <si>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</si>
  <si>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</si>
  <si>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</si>
  <si>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</si>
  <si>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</si>
  <si>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</si>
  <si>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</si>
  <si>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</si>
  <si>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</si>
  <si>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</si>
  <si>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</si>
  <si>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</si>
  <si>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</si>
  <si>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</si>
  <si>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</si>
  <si>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</si>
  <si>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</si>
  <si>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</si>
  <si>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</si>
  <si>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</si>
  <si>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</si>
  <si>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</si>
  <si>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</si>
  <si>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</si>
  <si>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</si>
  <si>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</si>
  <si>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</si>
  <si>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</si>
  <si>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</si>
  <si>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</si>
  <si>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</si>
  <si>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</si>
  <si>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</si>
  <si>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</si>
  <si>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</si>
  <si>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</si>
  <si>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</si>
  <si>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</si>
  <si>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</si>
  <si>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</si>
  <si>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</si>
  <si>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</si>
  <si>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</si>
  <si>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</si>
  <si>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</si>
  <si>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</si>
  <si>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</si>
  <si>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</si>
  <si>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</si>
  <si>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</si>
  <si>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</si>
  <si>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</si>
  <si>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</si>
  <si>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</si>
  <si>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</si>
  <si>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</si>
  <si>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</si>
  <si>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</si>
  <si>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</si>
  <si>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</si>
  <si>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</si>
  <si>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</si>
  <si>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</si>
  <si>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</si>
  <si>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</si>
  <si>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</si>
  <si>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</si>
  <si>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</si>
  <si>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</si>
  <si>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</si>
  <si>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</si>
  <si>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</si>
  <si>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</si>
  <si>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</si>
  <si>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</si>
  <si>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</si>
  <si>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</si>
  <si>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</si>
  <si>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</si>
  <si>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</si>
  <si>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</si>
  <si>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</si>
  <si>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</si>
  <si>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</si>
  <si>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</si>
  <si>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</si>
  <si>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</si>
  <si>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</si>
  <si>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</si>
  <si>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</si>
  <si>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</si>
  <si>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</si>
  <si>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</si>
  <si>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</si>
  <si>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</si>
  <si>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</si>
  <si>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</si>
  <si>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</si>
  <si>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</si>
  <si>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</si>
  <si>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</si>
  <si>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</si>
  <si>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</si>
  <si>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</si>
  <si>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</si>
  <si>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</si>
  <si>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</si>
  <si>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</si>
  <si>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</si>
  <si>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</si>
  <si>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</si>
  <si>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</si>
  <si>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</si>
  <si>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</si>
  <si>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</si>
  <si>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</si>
  <si>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</si>
  <si>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</si>
  <si>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</si>
  <si>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</si>
  <si>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</si>
  <si>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</si>
  <si>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</si>
  <si>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</si>
  <si>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</si>
  <si>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</si>
  <si>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</si>
  <si>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</si>
  <si>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</si>
  <si>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</si>
  <si>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</si>
  <si>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</si>
  <si>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</si>
  <si>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</si>
  <si>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</si>
  <si>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</si>
  <si>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</si>
  <si>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</si>
  <si>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</si>
  <si>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</si>
  <si>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</si>
  <si>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</si>
  <si>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</si>
  <si>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</si>
  <si>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</si>
  <si>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</si>
  <si>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</si>
  <si>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</si>
  <si>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</si>
  <si>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</si>
  <si>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</si>
  <si>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</si>
  <si>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</si>
  <si>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</si>
  <si>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</si>
  <si>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</si>
  <si>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</si>
  <si>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</si>
  <si>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</si>
  <si>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</si>
  <si>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</si>
  <si>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</si>
  <si>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</si>
  <si>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</si>
  <si>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</si>
  <si>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</si>
  <si>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</si>
  <si>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</si>
  <si>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</si>
  <si>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</si>
  <si>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</si>
  <si>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</si>
  <si>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</si>
  <si>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</si>
  <si>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</si>
  <si>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</si>
  <si>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</si>
  <si>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</si>
  <si>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</si>
  <si>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</si>
  <si>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</si>
  <si>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</si>
  <si>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</si>
  <si>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</si>
  <si>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</si>
  <si>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</si>
  <si>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</si>
  <si>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</si>
  <si>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</si>
  <si>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</si>
  <si>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</si>
  <si>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</si>
  <si>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</si>
  <si>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</si>
  <si>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</si>
  <si>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</si>
  <si>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</si>
  <si>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</si>
  <si>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</si>
  <si>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</si>
  <si>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</si>
  <si>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</si>
  <si>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</si>
  <si>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</si>
  <si>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</si>
  <si>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</si>
  <si>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</si>
  <si>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</si>
  <si>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</si>
  <si>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</si>
  <si>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</si>
  <si>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</si>
  <si>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</si>
  <si>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</si>
  <si>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</si>
  <si>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</si>
  <si>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</si>
  <si>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</si>
  <si>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</si>
  <si>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</si>
  <si>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</si>
  <si>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</si>
  <si>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</si>
  <si>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</si>
  <si>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</si>
  <si>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</si>
  <si>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</si>
  <si>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</si>
  <si>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</si>
  <si>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</si>
  <si>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</si>
  <si>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</si>
  <si>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</si>
  <si>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</si>
  <si>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</si>
  <si>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</si>
  <si>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</si>
  <si>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</si>
  <si>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</si>
  <si>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</si>
  <si>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</si>
  <si>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</si>
  <si>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</si>
  <si>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</si>
  <si>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</si>
  <si>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</si>
  <si>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</si>
  <si>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</si>
  <si>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</si>
  <si>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</si>
  <si>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</si>
  <si>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</si>
  <si>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</si>
  <si>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</si>
  <si>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</si>
  <si>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</si>
  <si>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</si>
  <si>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</si>
  <si>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</si>
  <si>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</si>
  <si>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</si>
  <si>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</si>
  <si>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</si>
  <si>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</si>
  <si>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</si>
  <si>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</si>
  <si>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</si>
  <si>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</si>
  <si>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</si>
  <si>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</si>
  <si>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</si>
  <si>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</si>
  <si>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</si>
  <si>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</si>
  <si>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</si>
  <si>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</si>
  <si>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</si>
  <si>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</si>
  <si>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</si>
  <si>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</si>
  <si>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</si>
  <si>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</si>
  <si>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</si>
  <si>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</si>
  <si>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</si>
  <si>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</si>
  <si>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</si>
  <si>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</si>
  <si>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</si>
  <si>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</si>
  <si>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</si>
  <si>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</si>
  <si>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</si>
  <si>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</si>
  <si>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</si>
  <si>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</si>
  <si>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</si>
  <si>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</si>
  <si>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</si>
  <si>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</si>
  <si>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</si>
  <si>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</si>
  <si>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</si>
  <si>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</si>
  <si>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</si>
  <si>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</si>
  <si>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</si>
  <si>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</si>
  <si>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</si>
  <si>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</si>
  <si>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</si>
  <si>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</si>
  <si>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</si>
  <si>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</si>
  <si>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</si>
  <si>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</si>
  <si>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</si>
  <si>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</si>
  <si>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</si>
  <si>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</si>
  <si>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</si>
  <si>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</si>
  <si>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</si>
  <si>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</si>
  <si>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</si>
  <si>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</si>
  <si>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</si>
  <si>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</si>
  <si>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</si>
  <si>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</si>
  <si>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</si>
  <si>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</si>
  <si>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</si>
  <si>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</si>
  <si>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</si>
  <si>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</si>
  <si>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</si>
  <si>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</si>
  <si>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</si>
  <si>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</si>
  <si>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</si>
  <si>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</si>
  <si>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</si>
  <si>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</si>
  <si>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</si>
  <si>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</si>
  <si>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</si>
  <si>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</si>
  <si>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</si>
  <si>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</si>
  <si>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</si>
  <si>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</si>
  <si>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</si>
  <si>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</si>
  <si>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</si>
  <si>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</si>
  <si>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</si>
  <si>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</si>
  <si>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</si>
  <si>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</si>
  <si>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</si>
  <si>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</si>
  <si>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</si>
  <si>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</si>
  <si>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</si>
  <si>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</si>
  <si>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</si>
  <si>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</si>
  <si>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</si>
  <si>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</si>
  <si>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</si>
  <si>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</si>
  <si>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</si>
  <si>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</si>
  <si>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</si>
  <si>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</si>
  <si>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</si>
  <si>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</si>
  <si>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</si>
  <si>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</si>
  <si>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</si>
  <si>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</si>
  <si>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</si>
  <si>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</si>
  <si>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</si>
  <si>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</si>
  <si>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</si>
  <si>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</si>
  <si>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</si>
  <si>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</si>
  <si>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</si>
  <si>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</si>
  <si>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</si>
  <si>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</si>
  <si>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</si>
  <si>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</si>
  <si>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</si>
  <si>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</si>
  <si>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</si>
  <si>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</si>
  <si>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</si>
  <si>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</si>
  <si>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</si>
  <si>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RFLB 7.4 06/14/17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</si>
  <si>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</si>
  <si>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</si>
  <si>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</si>
  <si>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</si>
  <si>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</si>
  <si>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</si>
  <si>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</si>
  <si>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RUB</t>
  </si>
  <si>
    <t>KMG LI Equity</t>
  </si>
  <si>
    <t>US48666V2043</t>
  </si>
  <si>
    <t>HGM LN Equity</t>
  </si>
  <si>
    <t>GB0032360173</t>
  </si>
  <si>
    <t>NKNCP RM Equity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</si>
  <si>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</si>
  <si>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</si>
  <si>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</si>
  <si>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</si>
  <si>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</si>
  <si>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</si>
  <si>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</si>
  <si>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</si>
  <si>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</si>
  <si>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</si>
  <si>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</si>
  <si>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</si>
  <si>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</si>
  <si>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</si>
  <si>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</si>
  <si>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</si>
  <si>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</si>
  <si>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</si>
  <si>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</si>
  <si>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</si>
  <si>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</si>
  <si>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</si>
  <si>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</si>
  <si>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RUR</t>
  </si>
  <si>
    <t>GBX</t>
  </si>
  <si>
    <t>24/06/2017</t>
  </si>
  <si>
    <t>29/09/2017</t>
  </si>
  <si>
    <t>18/10/2017</t>
  </si>
  <si>
    <t>28/03/2017</t>
  </si>
  <si>
    <t>08/11/2017</t>
  </si>
  <si>
    <t>30/06/2017</t>
  </si>
  <si>
    <t>22/03/2018</t>
  </si>
  <si>
    <t>19/07/2017</t>
  </si>
  <si>
    <t>19/04/2018</t>
  </si>
  <si>
    <t>03/05/2016</t>
  </si>
  <si>
    <t>05/03/2018</t>
  </si>
  <si>
    <t>29/09/2016</t>
  </si>
  <si>
    <t>20/04/2017</t>
  </si>
  <si>
    <t>04/05/2017</t>
  </si>
  <si>
    <t>23/08/2017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</si>
  <si>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</si>
  <si>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</si>
  <si>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</si>
  <si>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</si>
  <si>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</si>
  <si>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</si>
  <si>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</si>
  <si>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</si>
  <si>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</si>
  <si>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</si>
  <si>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</si>
  <si>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</si>
  <si>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</si>
  <si>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</si>
  <si>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</si>
  <si>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</si>
  <si>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</si>
  <si>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</si>
  <si>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</si>
  <si>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</si>
  <si>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</si>
  <si>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</si>
  <si>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</si>
  <si>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ALRS RX Equity</t>
  </si>
  <si>
    <t>AQUA RM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</si>
  <si>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</si>
  <si>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</si>
  <si>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</si>
  <si>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</si>
  <si>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</si>
  <si>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</si>
  <si>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</si>
  <si>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</si>
  <si>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</si>
  <si>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</si>
  <si>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</si>
  <si>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</si>
  <si>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</si>
  <si>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</si>
  <si>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</si>
  <si>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</si>
  <si>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</si>
  <si>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</si>
  <si>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</si>
  <si>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</si>
  <si>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</si>
  <si>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</si>
  <si>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</si>
  <si>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</si>
  <si>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</si>
  <si>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</si>
  <si>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</si>
  <si>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</si>
  <si>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</si>
  <si>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</si>
  <si>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</si>
  <si>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</si>
  <si>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</si>
  <si>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</si>
  <si>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</si>
  <si>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</si>
  <si>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</si>
  <si>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</si>
  <si>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</si>
  <si>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RU000A0JTM28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</si>
  <si>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</si>
  <si>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</si>
  <si>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</si>
  <si>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</si>
  <si>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</si>
  <si>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</si>
  <si>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</si>
  <si>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</si>
  <si>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</si>
  <si>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</si>
  <si>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</si>
  <si>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</si>
  <si>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</si>
  <si>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RU000A0JWG05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</si>
  <si>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</si>
  <si>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</si>
  <si>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</si>
  <si>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</si>
  <si>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</si>
  <si>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</si>
  <si>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SNGSP RM Equity</t>
  </si>
  <si>
    <t>EJ644860     Corp</t>
  </si>
  <si>
    <t>RU000A0JW1P8 Corp</t>
  </si>
  <si>
    <t>RU000A0JRJU8 Corp</t>
  </si>
  <si>
    <t>RU000A0JS3W6 Corp</t>
  </si>
  <si>
    <t>RU000A0JTYA5 Corp</t>
  </si>
  <si>
    <t>RU000A0GN9A7 Corp</t>
  </si>
  <si>
    <t>RU000A0JPLH5 Corp</t>
  </si>
  <si>
    <t>RU000A0JXJE0 Corp</t>
  </si>
  <si>
    <t>XS0848137708 Corp</t>
  </si>
  <si>
    <t>RU000A0JXMQ8 Corp</t>
  </si>
  <si>
    <t>MOEX RM Equity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</si>
  <si>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</si>
  <si>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</si>
  <si>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</si>
  <si>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</si>
  <si>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</si>
  <si>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</si>
  <si>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</si>
  <si>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</si>
  <si>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</si>
  <si>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</si>
  <si>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</si>
  <si>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</si>
  <si>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</si>
  <si>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</si>
  <si>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</si>
  <si>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</si>
  <si>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</si>
  <si>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</si>
  <si>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</si>
  <si>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</si>
  <si>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</si>
  <si>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</si>
  <si>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</si>
  <si>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</si>
  <si>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</si>
  <si>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</si>
  <si>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</si>
  <si>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</si>
  <si>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</si>
  <si>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</si>
  <si>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</si>
  <si>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</si>
  <si>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</si>
  <si>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</si>
  <si>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</si>
  <si>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</si>
  <si>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</si>
  <si>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</si>
  <si>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</si>
  <si>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</si>
  <si>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</si>
  <si>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</si>
  <si>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</si>
  <si>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</si>
  <si>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</si>
  <si>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</si>
  <si>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</si>
  <si>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</si>
  <si>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</si>
  <si>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</si>
  <si>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</si>
  <si>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</si>
  <si>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</si>
  <si>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</si>
  <si>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</si>
  <si>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</si>
  <si>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</si>
  <si>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</si>
  <si>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</si>
  <si>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</si>
  <si>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</si>
  <si>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</si>
  <si>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</si>
  <si>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</si>
  <si>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</si>
  <si>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</si>
  <si>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</si>
  <si>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</si>
  <si>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</si>
  <si>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</si>
  <si>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</si>
  <si>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</si>
  <si>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</si>
  <si>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</si>
  <si>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</si>
  <si>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</si>
  <si>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</si>
  <si>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</si>
  <si>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</si>
  <si>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</si>
  <si>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</si>
  <si>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</si>
  <si>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</si>
  <si>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</si>
  <si>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</si>
  <si>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</si>
  <si>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</si>
  <si>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</si>
  <si>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</si>
  <si>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</si>
  <si>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</si>
  <si>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</si>
  <si>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</si>
  <si>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</si>
  <si>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</si>
  <si>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</si>
  <si>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</si>
  <si>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</si>
  <si>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</si>
  <si>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</si>
  <si>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</si>
  <si>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</si>
  <si>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</si>
  <si>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HMS Group Plc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</si>
  <si>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</si>
  <si>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</si>
  <si>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</si>
  <si>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</si>
  <si>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</si>
  <si>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</si>
  <si>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</si>
  <si>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</si>
  <si>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</si>
  <si>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CA9600081009</t>
  </si>
  <si>
    <t>WesternZagros Resources Ltd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</si>
  <si>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</si>
  <si>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</si>
  <si>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</si>
  <si>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</si>
  <si>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</si>
  <si>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</si>
  <si>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</si>
  <si>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</si>
  <si>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</si>
  <si>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MHP SA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</si>
  <si>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</si>
  <si>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</si>
  <si>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</si>
  <si>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</si>
  <si>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</si>
  <si>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</si>
  <si>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</si>
  <si>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</si>
  <si>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</si>
  <si>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</si>
  <si>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</si>
  <si>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</si>
  <si>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</si>
  <si>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</si>
  <si>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</si>
  <si>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</si>
  <si>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</si>
  <si>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</si>
  <si>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</si>
  <si>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</si>
  <si>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</si>
  <si>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</si>
  <si>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</si>
  <si>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</si>
  <si>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</si>
  <si>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</si>
  <si>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</si>
  <si>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</si>
  <si>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</si>
  <si>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</si>
  <si>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</si>
  <si>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</si>
  <si>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</si>
  <si>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</si>
  <si>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</si>
  <si>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</si>
  <si>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</si>
  <si>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</si>
  <si>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</si>
  <si>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</si>
  <si>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</si>
  <si>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</si>
  <si>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</si>
  <si>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</si>
  <si>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</si>
  <si>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</si>
  <si>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</si>
  <si>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</si>
  <si>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</si>
  <si>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</si>
  <si>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</si>
  <si>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</si>
  <si>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</si>
  <si>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</si>
  <si>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</si>
  <si>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</si>
  <si>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</si>
  <si>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</si>
  <si>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</si>
  <si>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</si>
  <si>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</si>
  <si>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</si>
  <si>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</si>
  <si>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</si>
  <si>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</si>
  <si>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</si>
  <si>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</si>
  <si>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</si>
  <si>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</si>
  <si>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</si>
  <si>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</si>
  <si>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</si>
  <si>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</si>
  <si>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</si>
  <si>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</si>
  <si>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</si>
  <si>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</si>
  <si>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</si>
  <si>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</si>
  <si>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</si>
  <si>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</si>
  <si>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</si>
  <si>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</si>
  <si>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</si>
  <si>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</si>
  <si>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</si>
  <si>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</si>
  <si>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</si>
  <si>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</si>
  <si>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</si>
  <si>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</si>
  <si>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</si>
  <si>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</si>
  <si>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</si>
  <si>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</si>
  <si>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</si>
  <si>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</si>
  <si>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</si>
  <si>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</si>
  <si>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</si>
  <si>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</si>
  <si>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</si>
  <si>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</si>
  <si>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</si>
  <si>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</si>
  <si>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</si>
  <si>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</si>
  <si>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</si>
  <si>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</si>
  <si>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</si>
  <si>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</si>
  <si>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</si>
  <si>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</si>
  <si>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</si>
  <si>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</si>
  <si>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</si>
  <si>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</si>
  <si>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</si>
  <si>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</si>
  <si>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</si>
  <si>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</si>
  <si>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</si>
  <si>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</si>
  <si>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</si>
  <si>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</si>
  <si>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</si>
  <si>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</si>
  <si>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</si>
  <si>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</si>
  <si>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</si>
  <si>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</si>
  <si>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</si>
  <si>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</si>
  <si>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</si>
  <si>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</si>
  <si>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</si>
  <si>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</si>
  <si>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</si>
  <si>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</si>
  <si>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</si>
  <si>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</si>
  <si>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</si>
  <si>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</si>
  <si>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</si>
  <si>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</si>
  <si>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XS0299183250</t>
  </si>
  <si>
    <t>VTB 6.02 05/10/17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</si>
  <si>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</si>
  <si>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</si>
  <si>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</si>
  <si>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</si>
  <si>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</si>
  <si>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</si>
  <si>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</si>
  <si>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</si>
  <si>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</si>
  <si>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</si>
  <si>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</si>
  <si>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</si>
  <si>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</si>
  <si>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</si>
  <si>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</si>
  <si>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</si>
  <si>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</si>
  <si>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</si>
  <si>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</si>
  <si>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</si>
  <si>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</si>
  <si>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01/06/2017</t>
  </si>
  <si>
    <t>RUALR RM Equity</t>
  </si>
  <si>
    <t>10/07/2017</t>
  </si>
  <si>
    <t>AGRO EB Equity</t>
  </si>
  <si>
    <t>12/04/2017</t>
  </si>
  <si>
    <t>MVID RM Equity</t>
  </si>
  <si>
    <t>SIBN RM Equity</t>
  </si>
  <si>
    <t>23/06/2017</t>
  </si>
  <si>
    <t>15/08/2017</t>
  </si>
  <si>
    <t>LSRG RM Equity</t>
  </si>
  <si>
    <t>19/06/2017</t>
  </si>
  <si>
    <t>ALRS RM Equity</t>
  </si>
  <si>
    <t>MFON RM Equity</t>
  </si>
  <si>
    <t>NMTP RM Equity</t>
  </si>
  <si>
    <t>26/05/2017</t>
  </si>
  <si>
    <t>15/05/2017</t>
  </si>
  <si>
    <t>07/03/2018</t>
  </si>
  <si>
    <t>GAZP RM Equity</t>
  </si>
  <si>
    <t>09/04/2018</t>
  </si>
  <si>
    <t>LKOH RM Equity</t>
  </si>
  <si>
    <t>07/07/2017</t>
  </si>
  <si>
    <t>27/10/2017</t>
  </si>
  <si>
    <t>TT343269     Corp</t>
  </si>
  <si>
    <t>Bond</t>
  </si>
  <si>
    <t>XS1513280757 Corp</t>
  </si>
  <si>
    <t>XS1513280757</t>
  </si>
  <si>
    <t>14/07/2017</t>
  </si>
  <si>
    <t>02/08/2017</t>
  </si>
  <si>
    <t>14/09/2017</t>
  </si>
  <si>
    <t>22/11/2017</t>
  </si>
  <si>
    <t>24/07/2017</t>
  </si>
  <si>
    <t>20/01/2020</t>
  </si>
  <si>
    <t>28/06/2017</t>
  </si>
  <si>
    <t>14/06/2017</t>
  </si>
  <si>
    <t>EJ545131 Corp</t>
  </si>
  <si>
    <t>09/08/2017</t>
  </si>
  <si>
    <t>15/11/2017</t>
  </si>
  <si>
    <t>RU000A0JXFM1 Corp</t>
  </si>
  <si>
    <t>11/10/2017</t>
  </si>
  <si>
    <t>RU000A0JXQ85 Corp</t>
  </si>
  <si>
    <t>RU000A0JXQ85</t>
  </si>
  <si>
    <t>25/05/2017</t>
  </si>
  <si>
    <t>XS0583616239</t>
  </si>
  <si>
    <t>XS0583616239 Corp</t>
  </si>
  <si>
    <t>BELRUS 8.95 01/26/18</t>
  </si>
  <si>
    <t>CH0336352825</t>
  </si>
  <si>
    <t>YPFDAR 3 ¾ 09/30/19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</si>
  <si>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</si>
  <si>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</si>
  <si>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</si>
  <si>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</si>
  <si>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</si>
  <si>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</si>
  <si>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VANECK VECTORS GOLD MINERS E</t>
  </si>
  <si>
    <t>XS0923110232</t>
  </si>
  <si>
    <t>XS0923110232 Corp</t>
  </si>
  <si>
    <t>NMOSRM 7 ¼ 04/25/18</t>
  </si>
  <si>
    <t>XS1085735899</t>
  </si>
  <si>
    <t>XS1085735899 Corp</t>
  </si>
  <si>
    <t>PORTUG 5 ⅛ 10/15/24</t>
  </si>
  <si>
    <t>XS1223394914</t>
  </si>
  <si>
    <t>XS1223394914 Corp</t>
  </si>
  <si>
    <t>TCZIRA 4 ¾ 04/29/21</t>
  </si>
  <si>
    <t>US71647NAP42</t>
  </si>
  <si>
    <t>US71647NAP42 Corp</t>
  </si>
  <si>
    <t>PETBRA 8 ⅜ 05/23/21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</si>
</sst>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1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"/>
  <sheetViews>
    <sheetView showGridLines="0" zoomScaleNormal="100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R54" sqref="R54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3" width="12.28515625" style="23" customWidth="1"/>
    <col min="24" max="16384" width="9.140625" style="23"/>
  </cols>
  <sheetData>
    <row r="1" spans="1:23" x14ac:dyDescent="0.2">
      <c r="M1" s="42" t="s">
        <v>23</v>
      </c>
      <c r="N1" s="42"/>
    </row>
    <row r="2" spans="1:23" x14ac:dyDescent="0.2">
      <c r="B2" s="23" t="s">
        <v>13</v>
      </c>
      <c r="D2" s="60" t="s">
        <v>5100</v>
      </c>
      <c r="H2" s="40"/>
      <c r="L2" s="48" t="s">
        <v>24</v>
      </c>
      <c r="M2" s="49"/>
      <c r="N2" s="48" t="s">
        <v>25</v>
      </c>
      <c r="O2" s="49"/>
    </row>
    <row r="3" spans="1:23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M3/P55</f>
        <v>0.33891547014697598</v>
      </c>
      <c r="M3" s="53">
        <f>P32</f>
        <v>2344660.3257740242</v>
      </c>
      <c r="N3" s="52">
        <f>P53</f>
        <v>4573466.8543078583</v>
      </c>
      <c r="O3" s="51">
        <f>N3/P55</f>
        <v>0.66108452985302402</v>
      </c>
    </row>
    <row r="4" spans="1:23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3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5155339.6742259758</v>
      </c>
      <c r="N5" s="45">
        <f>D3*70%-N3</f>
        <v>12926533.145692142</v>
      </c>
    </row>
    <row r="6" spans="1:23" x14ac:dyDescent="0.2">
      <c r="D6" s="47"/>
      <c r="E6" s="47"/>
      <c r="M6" s="44"/>
      <c r="N6" s="44"/>
    </row>
    <row r="7" spans="1:23" s="5" customFormat="1" ht="76.5" x14ac:dyDescent="0.25">
      <c r="B7" s="1" t="s">
        <v>0</v>
      </c>
      <c r="C7" s="1" t="s">
        <v>27</v>
      </c>
      <c r="D7" s="2" t="s">
        <v>1</v>
      </c>
      <c r="E7" s="2" t="s">
        <v>4661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4674</v>
      </c>
      <c r="P7" s="2" t="s">
        <v>4675</v>
      </c>
      <c r="Q7" s="2" t="s">
        <v>4676</v>
      </c>
      <c r="R7" s="2" t="s">
        <v>4677</v>
      </c>
      <c r="S7" s="2" t="s">
        <v>10</v>
      </c>
      <c r="T7" s="2" t="s">
        <v>11</v>
      </c>
      <c r="U7" s="2" t="s">
        <v>12</v>
      </c>
      <c r="V7" s="2" t="s">
        <v>4679</v>
      </c>
      <c r="W7" s="2" t="s">
        <v>4678</v>
      </c>
    </row>
    <row r="8" spans="1:23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</row>
    <row r="9" spans="1:23" s="12" customFormat="1" ht="15" x14ac:dyDescent="0.25">
      <c r="B9" s="39" t="str">
        <f>IF(LEFT(C9,2) = "RU", VLOOKUP(C9,MICEX!$A:$D,4,FALSE),VLOOKUP(C9,BloombergSecs!$A:$C,3,FALSE))</f>
        <v>VEON Ltd</v>
      </c>
      <c r="C9" s="39" t="s">
        <v>4666</v>
      </c>
      <c r="D9" s="7">
        <f t="shared" ref="D9:D18" si="0">R9/$R$55</f>
        <v>1.9360789804087713E-2</v>
      </c>
      <c r="E9" s="36">
        <f>VLOOKUP(C9,Data!$B:$P,4,FALSE)</f>
        <v>35950</v>
      </c>
      <c r="F9" s="36">
        <f>$J$5-P9</f>
        <v>2362354.4367009881</v>
      </c>
      <c r="G9" s="57">
        <f>VLOOKUP(C9,Data!$B:$P,3,FALSE)</f>
        <v>3.8288056550490075</v>
      </c>
      <c r="H9" s="56">
        <f>VLOOKUP(C9,Data!$B:$P,2,FALSE)</f>
        <v>3.8700000386999998</v>
      </c>
      <c r="I9" s="9">
        <f>VLOOKUP(C9,Data!$B:$P,12,FALSE)</f>
        <v>5.315333366394043</v>
      </c>
      <c r="J9" s="10">
        <f>IF(I9&gt;0,I9/H9-1,0)</f>
        <v>0.37347114037227658</v>
      </c>
      <c r="K9" s="9">
        <f>VLOOKUP(C9,Data!$B:$P,11,FALSE)</f>
        <v>4.5789475440979004</v>
      </c>
      <c r="L9" s="11" t="str">
        <f>VLOOKUP(C9,Data!$B:$P,10,FALSE)</f>
        <v>USD</v>
      </c>
      <c r="M9" s="7">
        <f t="shared" ref="M9:M10" si="1">IF(O9&gt;0,Q9/O9-1,0)</f>
        <v>1.9033343700742167E-2</v>
      </c>
      <c r="N9" s="7">
        <f t="shared" ref="N9:N10" si="2">IF(P9&gt;0,R9/P9-1,0)</f>
        <v>1.0759068848707587E-2</v>
      </c>
      <c r="O9" s="36">
        <f>VLOOKUP(C9,Data!$B:$P,8,FALSE)</f>
        <v>7803963.1322999997</v>
      </c>
      <c r="P9" s="36">
        <f>VLOOKUP(C9,Data!$B:$P,7,FALSE)</f>
        <v>137645.56329901182</v>
      </c>
      <c r="Q9" s="36">
        <f>VLOOKUP(C9,Data!$B:$P,6,FALSE)</f>
        <v>7952498.6448249863</v>
      </c>
      <c r="R9" s="36">
        <f>VLOOKUP(C9,Data!$B:$P,5,FALSE)</f>
        <v>139126.50139126502</v>
      </c>
      <c r="S9" s="36">
        <f>Q9-O9</f>
        <v>148535.51252498664</v>
      </c>
      <c r="T9" s="36">
        <f t="shared" ref="T9:T13" si="3">R9-P9</f>
        <v>1480.9380922532</v>
      </c>
      <c r="U9" s="37">
        <f>VLOOKUP(C9,Data!$B:$P,14,FALSE)</f>
        <v>5.9431524547803622</v>
      </c>
      <c r="V9" s="58" t="str">
        <f>IF(VLOOKUP(C9,Data!$B:$P,15,FALSE)=0,"",VLOOKUP(C9,Data!$B:$P,15,FALSE))</f>
        <v>28/03/2017</v>
      </c>
      <c r="W9" s="58" t="str">
        <f>IF(VLOOKUP(C9,Data!$B:$P,15,FALSE)=0,"",VLOOKUP(C9,Data!$B:$P,15,FALSE))</f>
        <v>28/03/2017</v>
      </c>
    </row>
    <row r="10" spans="1:23" s="12" customFormat="1" ht="15" x14ac:dyDescent="0.25">
      <c r="B10" s="39" t="str">
        <f>IF(LEFT(C10,2) = "RU", VLOOKUP(C10,MICEX!$A:$D,4,FALSE),VLOOKUP(C10,BloombergSecs!$A:$C,3,FALSE))</f>
        <v>Ros Agro PLC</v>
      </c>
      <c r="C10" s="39" t="s">
        <v>48</v>
      </c>
      <c r="D10" s="7">
        <f t="shared" si="0"/>
        <v>1.7828433732974644E-2</v>
      </c>
      <c r="E10" s="36">
        <f>VLOOKUP(C10,Data!$B:$P,4,FALSE)</f>
        <v>10950</v>
      </c>
      <c r="F10" s="36">
        <f t="shared" ref="F10" si="4">$J$5-P10</f>
        <v>2365112.1407935233</v>
      </c>
      <c r="G10" s="57">
        <f>VLOOKUP(C10,Data!$B:$P,3,FALSE)</f>
        <v>12.318525954929372</v>
      </c>
      <c r="H10" s="56">
        <f>VLOOKUP(C10,Data!$B:$P,2,FALSE)</f>
        <v>11.700000116999998</v>
      </c>
      <c r="I10" s="9">
        <f>VLOOKUP(C10,Data!$B:$P,12,FALSE)</f>
        <v>15.971428871154785</v>
      </c>
      <c r="J10" s="10">
        <f t="shared" ref="J10" si="5">IF(I10&gt;0,I10/H10-1,0)</f>
        <v>0.36507937704619664</v>
      </c>
      <c r="K10" s="9">
        <f>VLOOKUP(C10,Data!$B:$P,11,FALSE)</f>
        <v>4</v>
      </c>
      <c r="L10" s="11" t="str">
        <f>VLOOKUP(C10,Data!$B:$P,10,FALSE)</f>
        <v>USD</v>
      </c>
      <c r="M10" s="7">
        <f t="shared" si="1"/>
        <v>-4.2261871705961074E-2</v>
      </c>
      <c r="N10" s="7">
        <f t="shared" si="2"/>
        <v>-5.0211026886854304E-2</v>
      </c>
      <c r="O10" s="36">
        <f>VLOOKUP(C10,Data!$B:$P,8,FALSE)</f>
        <v>7646222.7825000007</v>
      </c>
      <c r="P10" s="36">
        <f>VLOOKUP(C10,Data!$B:$P,7,FALSE)</f>
        <v>134887.8592064766</v>
      </c>
      <c r="Q10" s="36">
        <f>VLOOKUP(C10,Data!$B:$P,6,FALSE)</f>
        <v>7323079.0962307891</v>
      </c>
      <c r="R10" s="36">
        <f>VLOOKUP(C10,Data!$B:$P,5,FALSE)</f>
        <v>128115.00128114998</v>
      </c>
      <c r="S10" s="36">
        <f t="shared" ref="S10:S13" si="6">Q10-O10</f>
        <v>-323143.68626921158</v>
      </c>
      <c r="T10" s="36">
        <f t="shared" si="3"/>
        <v>-6772.8579253266216</v>
      </c>
      <c r="U10" s="37">
        <f>VLOOKUP(C10,Data!$B:$P,14,FALSE)</f>
        <v>9.9145296292427272</v>
      </c>
      <c r="V10" s="58" t="str">
        <f>IF(VLOOKUP(C10,Data!$B:$P,15,FALSE)=0,"",VLOOKUP(C10,Data!$B:$P,15,FALSE))</f>
        <v>12/04/2017</v>
      </c>
      <c r="W10" s="58" t="str">
        <f>IF(VLOOKUP(C10,Data!$B:$P,15,FALSE)=0,"",VLOOKUP(C10,Data!$B:$P,15,FALSE))</f>
        <v>12/04/2017</v>
      </c>
    </row>
    <row r="11" spans="1:23" s="12" customFormat="1" ht="15" x14ac:dyDescent="0.25">
      <c r="B11" s="39" t="str">
        <f>IF(LEFT(C11,2) = "RU", VLOOKUP(C11,MICEX!$A:$D,4,FALSE),VLOOKUP(C11,BloombergSecs!$A:$C,3,FALSE))</f>
        <v>Yandex NV</v>
      </c>
      <c r="C11" s="39" t="s">
        <v>57</v>
      </c>
      <c r="D11" s="7">
        <f t="shared" si="0"/>
        <v>1.5847496651533018E-2</v>
      </c>
      <c r="E11" s="36">
        <f>VLOOKUP(C11,Data!$B:$P,4,FALSE)</f>
        <v>4000</v>
      </c>
      <c r="F11" s="36">
        <f t="shared" ref="F11" si="7">$J$5-P11</f>
        <v>2410651.4226080491</v>
      </c>
      <c r="G11" s="57">
        <f>VLOOKUP(C11,Data!$B:$P,3,FALSE)</f>
        <v>22.337144347987682</v>
      </c>
      <c r="H11" s="56">
        <f>VLOOKUP(C11,Data!$B:$P,2,FALSE)</f>
        <v>28.470000284699996</v>
      </c>
      <c r="I11" s="9">
        <f>VLOOKUP(C11,Data!$B:$P,12,FALSE)</f>
        <v>27.668838500976563</v>
      </c>
      <c r="J11" s="10">
        <f t="shared" ref="J11" si="8">IF(I11&gt;0,I11/H11-1,0)</f>
        <v>-2.8140561141967502E-2</v>
      </c>
      <c r="K11" s="9">
        <f>VLOOKUP(C11,Data!$B:$P,11,FALSE)</f>
        <v>4.0555553436279297</v>
      </c>
      <c r="L11" s="11" t="str">
        <f>VLOOKUP(C11,Data!$B:$P,10,FALSE)</f>
        <v>USD</v>
      </c>
      <c r="M11" s="7">
        <f t="shared" ref="M11" si="9">IF(O11&gt;0,Q11/O11-1,0)</f>
        <v>0.30188072821880718</v>
      </c>
      <c r="N11" s="7">
        <f t="shared" ref="N11" si="10">IF(P11&gt;0,R11/P11-1,0)</f>
        <v>0.2745586383455858</v>
      </c>
      <c r="O11" s="36">
        <f>VLOOKUP(C11,Data!$B:$P,8,FALSE)</f>
        <v>5000000</v>
      </c>
      <c r="P11" s="36">
        <f>VLOOKUP(C11,Data!$B:$P,7,FALSE)</f>
        <v>89348.577391950777</v>
      </c>
      <c r="Q11" s="36">
        <f>VLOOKUP(C11,Data!$B:$P,6,FALSE)</f>
        <v>6509403.6410940355</v>
      </c>
      <c r="R11" s="36">
        <f>VLOOKUP(C11,Data!$B:$P,5,FALSE)</f>
        <v>113880.00113879998</v>
      </c>
      <c r="S11" s="36">
        <f t="shared" si="6"/>
        <v>1509403.6410940355</v>
      </c>
      <c r="T11" s="36">
        <f t="shared" si="3"/>
        <v>24531.423746849207</v>
      </c>
      <c r="U11" s="37">
        <f>VLOOKUP(C11,Data!$B:$P,14,FALSE)</f>
        <v>0</v>
      </c>
      <c r="V11" s="58" t="str">
        <f>IF(VLOOKUP(C11,Data!$B:$P,15,FALSE)=0,"",VLOOKUP(C11,Data!$B:$P,15,FALSE))</f>
        <v/>
      </c>
      <c r="W11" s="58" t="str">
        <f>IF(VLOOKUP(C11,Data!$B:$P,15,FALSE)=0,"",VLOOKUP(C11,Data!$B:$P,15,FALSE))</f>
        <v/>
      </c>
    </row>
    <row r="12" spans="1:23" s="12" customFormat="1" ht="15" x14ac:dyDescent="0.25">
      <c r="B12" s="39" t="str">
        <f>IF(LEFT(C12,2) = "RU", VLOOKUP(C12,MICEX!$A:$D,4,FALSE),VLOOKUP(C12,BloombergSecs!$A:$C,3,FALSE))</f>
        <v>KazMunaiGas Exploration Produc</v>
      </c>
      <c r="C12" s="39" t="s">
        <v>4669</v>
      </c>
      <c r="D12" s="7">
        <f t="shared" si="0"/>
        <v>1.181743427861068E-2</v>
      </c>
      <c r="E12" s="36">
        <f>VLOOKUP(C12,Data!$B:$P,4,FALSE)</f>
        <v>8800</v>
      </c>
      <c r="F12" s="36">
        <f t="shared" ref="F12:F13" si="11">$J$5-P12</f>
        <v>2411050.2525829733</v>
      </c>
      <c r="G12" s="57">
        <f>VLOOKUP(C12,Data!$B:$P,3,FALSE)</f>
        <v>10.107925842843956</v>
      </c>
      <c r="H12" s="56">
        <f>VLOOKUP(C12,Data!$B:$P,2,FALSE)</f>
        <v>9.6500000964999995</v>
      </c>
      <c r="I12" s="9">
        <f>VLOOKUP(C12,Data!$B:$P,12,FALSE)</f>
        <v>12.428571701049805</v>
      </c>
      <c r="J12" s="10">
        <f t="shared" ref="J12:J13" si="12">IF(I12&gt;0,I12/H12-1,0)</f>
        <v>0.28793487842114929</v>
      </c>
      <c r="K12" s="9">
        <f>VLOOKUP(C12,Data!$B:$P,11,FALSE)</f>
        <v>4.1111111640930176</v>
      </c>
      <c r="L12" s="11" t="str">
        <f>VLOOKUP(C12,Data!$B:$P,10,FALSE)</f>
        <v>USD</v>
      </c>
      <c r="M12" s="7">
        <f t="shared" ref="M12:M13" si="13">IF(O12&gt;0,Q12/O12-1,0)</f>
        <v>-3.3068163384006977E-2</v>
      </c>
      <c r="N12" s="7">
        <f t="shared" ref="N12:N13" si="14">IF(P12&gt;0,R12/P12-1,0)</f>
        <v>-4.5303631374397968E-2</v>
      </c>
      <c r="O12" s="36">
        <f>VLOOKUP(C12,Data!$B:$P,8,FALSE)</f>
        <v>5020048</v>
      </c>
      <c r="P12" s="36">
        <f>VLOOKUP(C12,Data!$B:$P,7,FALSE)</f>
        <v>88949.747417026796</v>
      </c>
      <c r="Q12" s="36">
        <f>VLOOKUP(C12,Data!$B:$P,6,FALSE)</f>
        <v>4854044.2325404426</v>
      </c>
      <c r="R12" s="36">
        <f>VLOOKUP(C12,Data!$B:$P,5,FALSE)</f>
        <v>84920.000849200005</v>
      </c>
      <c r="S12" s="36">
        <f t="shared" si="6"/>
        <v>-166003.76745955739</v>
      </c>
      <c r="T12" s="36">
        <f t="shared" si="3"/>
        <v>-4029.7465678267909</v>
      </c>
      <c r="U12" s="37">
        <f>VLOOKUP(C12,Data!$B:$P,14,FALSE)</f>
        <v>1.5931503142717587</v>
      </c>
      <c r="V12" s="58" t="str">
        <f>IF(VLOOKUP(C12,Data!$B:$P,15,FALSE)=0,"",VLOOKUP(C12,Data!$B:$P,15,FALSE))</f>
        <v>01/06/2017</v>
      </c>
      <c r="W12" s="58" t="str">
        <f>IF(VLOOKUP(C12,Data!$B:$P,15,FALSE)=0,"",VLOOKUP(C12,Data!$B:$P,15,FALSE))</f>
        <v>01/06/2017</v>
      </c>
    </row>
    <row r="13" spans="1:23" s="12" customFormat="1" ht="15" x14ac:dyDescent="0.25">
      <c r="B13" s="39" t="str">
        <f>IF(LEFT(C13,2) = "RU", VLOOKUP(C13,MICEX!$A:$D,4,FALSE),VLOOKUP(C13,BloombergSecs!$A:$C,3,FALSE))</f>
        <v>М.видео</v>
      </c>
      <c r="C13" s="39" t="s">
        <v>399</v>
      </c>
      <c r="D13" s="7">
        <f t="shared" si="0"/>
        <v>0.12227787700929059</v>
      </c>
      <c r="E13" s="36">
        <f>VLOOKUP(C13,Data!$B:$P,4,FALSE)</f>
        <v>129850</v>
      </c>
      <c r="F13" s="36">
        <f t="shared" si="11"/>
        <v>1621976.5683467104</v>
      </c>
      <c r="G13" s="57">
        <f>VLOOKUP(C13,Data!$B:$P,3,FALSE)</f>
        <v>383.37481709664996</v>
      </c>
      <c r="H13" s="56">
        <f>VLOOKUP(C13,Data!$B:$P,2,FALSE)</f>
        <v>386.80000386799998</v>
      </c>
      <c r="I13" s="9">
        <f>VLOOKUP(C13,Data!$B:$P,12,FALSE)</f>
        <v>412.79998779296875</v>
      </c>
      <c r="J13" s="10">
        <f t="shared" si="12"/>
        <v>6.7218158389268146E-2</v>
      </c>
      <c r="K13" s="9">
        <f>VLOOKUP(C13,Data!$B:$P,11,FALSE)</f>
        <v>3.4000000953674316</v>
      </c>
      <c r="L13" s="11" t="str">
        <f>VLOOKUP(C13,Data!$B:$P,10,FALSE)</f>
        <v>RUB</v>
      </c>
      <c r="M13" s="7">
        <f t="shared" si="13"/>
        <v>8.9343029813211405E-3</v>
      </c>
      <c r="N13" s="7">
        <f t="shared" si="14"/>
        <v>7.568651487914746E-4</v>
      </c>
      <c r="O13" s="36">
        <f>VLOOKUP(C13,Data!$B:$P,8,FALSE)</f>
        <v>49781220</v>
      </c>
      <c r="P13" s="36">
        <f>VLOOKUP(C13,Data!$B:$P,7,FALSE)</f>
        <v>878023.43165328971</v>
      </c>
      <c r="Q13" s="36">
        <f>VLOOKUP(C13,Data!$B:$P,6,FALSE)</f>
        <v>50225980.502259798</v>
      </c>
      <c r="R13" s="36">
        <f>VLOOKUP(C13,Data!$B:$P,5,FALSE)</f>
        <v>878687.97698853037</v>
      </c>
      <c r="S13" s="36">
        <f t="shared" si="6"/>
        <v>444760.50225979835</v>
      </c>
      <c r="T13" s="36">
        <f t="shared" si="3"/>
        <v>664.5453352406621</v>
      </c>
      <c r="U13" s="37">
        <f>VLOOKUP(C13,Data!$B:$P,14,FALSE)</f>
        <v>0</v>
      </c>
      <c r="V13" s="58" t="str">
        <f>IF(VLOOKUP(C13,Data!$B:$P,15,FALSE)=0,"",VLOOKUP(C13,Data!$B:$P,15,FALSE))</f>
        <v>30/06/2017</v>
      </c>
      <c r="W13" s="58" t="str">
        <f>IF(VLOOKUP(C13,Data!$B:$P,15,FALSE)=0,"",VLOOKUP(C13,Data!$B:$P,15,FALSE))</f>
        <v>30/06/2017</v>
      </c>
    </row>
    <row r="14" spans="1:23" s="12" customFormat="1" ht="15" x14ac:dyDescent="0.25">
      <c r="B14" s="39" t="str">
        <f>IF(LEFT(C14,2) = "RU", VLOOKUP(C14,MICEX!$A:$D,4,FALSE),VLOOKUP(C14,BloombergSecs!$A:$C,3,FALSE))</f>
        <v>Газпрнефть</v>
      </c>
      <c r="C14" s="39" t="s">
        <v>235</v>
      </c>
      <c r="D14" s="7">
        <f t="shared" si="0"/>
        <v>2.3014772066524958E-2</v>
      </c>
      <c r="E14" s="36">
        <f>VLOOKUP(C14,Data!$B:$P,4,FALSE)</f>
        <v>46985</v>
      </c>
      <c r="F14" s="36">
        <f t="shared" ref="F14" si="15">$J$5-P14</f>
        <v>2336772.1033477802</v>
      </c>
      <c r="G14" s="57">
        <f>VLOOKUP(C14,Data!$B:$P,3,FALSE)</f>
        <v>196.90520038310098</v>
      </c>
      <c r="H14" s="56">
        <f>VLOOKUP(C14,Data!$B:$P,2,FALSE)</f>
        <v>201.20000201199997</v>
      </c>
      <c r="I14" s="9">
        <f>VLOOKUP(C14,Data!$B:$P,12,FALSE)</f>
        <v>218.6844482421875</v>
      </c>
      <c r="J14" s="10">
        <f t="shared" ref="J14" si="16">IF(I14&gt;0,I14/H14-1,0)</f>
        <v>8.6900825324766728E-2</v>
      </c>
      <c r="K14" s="9">
        <f>VLOOKUP(C14,Data!$B:$P,11,FALSE)</f>
        <v>4.0909090042114258</v>
      </c>
      <c r="L14" s="11" t="str">
        <f>VLOOKUP(C14,Data!$B:$P,10,FALSE)</f>
        <v>RUB</v>
      </c>
      <c r="M14" s="7">
        <f t="shared" ref="M14" si="17">IF(O14&gt;0,Q14/O14-1,0)</f>
        <v>2.1811519556329317E-2</v>
      </c>
      <c r="N14" s="7">
        <f t="shared" ref="N14" si="18">IF(P14&gt;0,R14/P14-1,0)</f>
        <v>1.3209114401307342E-2</v>
      </c>
      <c r="O14" s="36">
        <f>VLOOKUP(C14,Data!$B:$P,8,FALSE)</f>
        <v>9251590.8399999999</v>
      </c>
      <c r="P14" s="36">
        <f>VLOOKUP(C14,Data!$B:$P,7,FALSE)</f>
        <v>163227.89665221993</v>
      </c>
      <c r="Q14" s="36">
        <f>VLOOKUP(C14,Data!$B:$P,6,FALSE)</f>
        <v>9453382.0945338178</v>
      </c>
      <c r="R14" s="36">
        <f>VLOOKUP(C14,Data!$B:$P,5,FALSE)</f>
        <v>165383.99261258388</v>
      </c>
      <c r="S14" s="36">
        <f t="shared" ref="S14" si="19">Q14-O14</f>
        <v>201791.25453381799</v>
      </c>
      <c r="T14" s="36">
        <f t="shared" ref="T14" si="20">R14-P14</f>
        <v>2156.0959603639494</v>
      </c>
      <c r="U14" s="37">
        <f>VLOOKUP(C14,Data!$B:$P,14,FALSE)</f>
        <v>11.474024359930398</v>
      </c>
      <c r="V14" s="58" t="str">
        <f>IF(VLOOKUP(C14,Data!$B:$P,15,FALSE)=0,"",VLOOKUP(C14,Data!$B:$P,15,FALSE))</f>
        <v>23/06/2017</v>
      </c>
      <c r="W14" s="58" t="str">
        <f>IF(VLOOKUP(C14,Data!$B:$P,15,FALSE)=0,"",VLOOKUP(C14,Data!$B:$P,15,FALSE))</f>
        <v>23/06/2017</v>
      </c>
    </row>
    <row r="15" spans="1:23" s="12" customFormat="1" ht="15" x14ac:dyDescent="0.25">
      <c r="B15" s="39" t="str">
        <f>IF(LEFT(C15,2) = "RU", VLOOKUP(C15,MICEX!$A:$D,4,FALSE),VLOOKUP(C15,BloombergSecs!$A:$C,3,FALSE))</f>
        <v>ЛСР ао</v>
      </c>
      <c r="C15" s="39" t="s">
        <v>375</v>
      </c>
      <c r="D15" s="7">
        <f t="shared" si="0"/>
        <v>2.1778610064377736E-2</v>
      </c>
      <c r="E15" s="36">
        <f>VLOOKUP(C15,Data!$B:$P,4,FALSE)</f>
        <v>9750</v>
      </c>
      <c r="F15" s="36">
        <f t="shared" ref="F15:F18" si="21">$J$5-P15</f>
        <v>2344635.9449447584</v>
      </c>
      <c r="G15" s="57">
        <f>VLOOKUP(C15,Data!$B:$P,3,FALSE)</f>
        <v>893.47466666666662</v>
      </c>
      <c r="H15" s="56">
        <f>VLOOKUP(C15,Data!$B:$P,2,FALSE)</f>
        <v>917.50000917499995</v>
      </c>
      <c r="I15" s="9">
        <f>VLOOKUP(C15,Data!$B:$P,12,FALSE)</f>
        <v>1150</v>
      </c>
      <c r="J15" s="10">
        <f t="shared" ref="J15:J18" si="22">IF(I15&gt;0,I15/H15-1,0)</f>
        <v>0.25340598201634901</v>
      </c>
      <c r="K15" s="9">
        <f>VLOOKUP(C15,Data!$B:$P,11,FALSE)</f>
        <v>5</v>
      </c>
      <c r="L15" s="11" t="str">
        <f>VLOOKUP(C15,Data!$B:$P,10,FALSE)</f>
        <v>RUB</v>
      </c>
      <c r="M15" s="7">
        <f t="shared" ref="M15:M18" si="23">IF(O15&gt;0,Q15/O15-1,0)</f>
        <v>2.688978591633262E-2</v>
      </c>
      <c r="N15" s="7">
        <f t="shared" ref="N15:N18" si="24">IF(P15&gt;0,R15/P15-1,0)</f>
        <v>7.3175611581204336E-3</v>
      </c>
      <c r="O15" s="36">
        <f>VLOOKUP(C15,Data!$B:$P,8,FALSE)</f>
        <v>8711378</v>
      </c>
      <c r="P15" s="36">
        <f>VLOOKUP(C15,Data!$B:$P,7,FALSE)</f>
        <v>155364.05505524145</v>
      </c>
      <c r="Q15" s="36">
        <f>VLOOKUP(C15,Data!$B:$P,6,FALSE)</f>
        <v>8945625.089456249</v>
      </c>
      <c r="R15" s="36">
        <f>VLOOKUP(C15,Data!$B:$P,5,FALSE)</f>
        <v>156500.94102988177</v>
      </c>
      <c r="S15" s="36">
        <f t="shared" ref="S15:S18" si="25">Q15-O15</f>
        <v>234247.08945624903</v>
      </c>
      <c r="T15" s="36">
        <f t="shared" ref="T15:T18" si="26">R15-P15</f>
        <v>1136.8859746403177</v>
      </c>
      <c r="U15" s="37">
        <f>VLOOKUP(C15,Data!$B:$P,14,FALSE)</f>
        <v>8.5013623978201647</v>
      </c>
      <c r="V15" s="58" t="str">
        <f>IF(VLOOKUP(C15,Data!$B:$P,15,FALSE)=0,"",VLOOKUP(C15,Data!$B:$P,15,FALSE))</f>
        <v>19/06/2017</v>
      </c>
      <c r="W15" s="58" t="str">
        <f>IF(VLOOKUP(C15,Data!$B:$P,15,FALSE)=0,"",VLOOKUP(C15,Data!$B:$P,15,FALSE))</f>
        <v>19/06/2017</v>
      </c>
    </row>
    <row r="16" spans="1:23" s="12" customFormat="1" ht="15" x14ac:dyDescent="0.25">
      <c r="B16" s="39" t="str">
        <f>IF(LEFT(C16,2) = "RU", VLOOKUP(C16,MICEX!$A:$D,4,FALSE),VLOOKUP(C16,BloombergSecs!$A:$C,3,FALSE))</f>
        <v>АЛРОСА ао</v>
      </c>
      <c r="C16" s="39" t="s">
        <v>108</v>
      </c>
      <c r="D16" s="7">
        <f t="shared" si="0"/>
        <v>1.9187404337671098E-2</v>
      </c>
      <c r="E16" s="36">
        <f>VLOOKUP(C16,Data!$B:$P,4,FALSE)</f>
        <v>88000</v>
      </c>
      <c r="F16" s="36">
        <f t="shared" si="21"/>
        <v>2364560.0672832895</v>
      </c>
      <c r="G16" s="57">
        <f>VLOOKUP(C16,Data!$B:$P,3,FALSE)</f>
        <v>87.734329545454543</v>
      </c>
      <c r="H16" s="56">
        <f>VLOOKUP(C16,Data!$B:$P,2,FALSE)</f>
        <v>89.560000895599998</v>
      </c>
      <c r="I16" s="9">
        <f>VLOOKUP(C16,Data!$B:$P,12,FALSE)</f>
        <v>103.30160522460937</v>
      </c>
      <c r="J16" s="10">
        <f t="shared" si="22"/>
        <v>0.15343461580608908</v>
      </c>
      <c r="K16" s="9">
        <f>VLOOKUP(C16,Data!$B:$P,11,FALSE)</f>
        <v>4.125</v>
      </c>
      <c r="L16" s="11" t="str">
        <f>VLOOKUP(C16,Data!$B:$P,10,FALSE)</f>
        <v>RUB</v>
      </c>
      <c r="M16" s="7">
        <f t="shared" si="23"/>
        <v>2.0809087612615462E-2</v>
      </c>
      <c r="N16" s="7">
        <f t="shared" si="24"/>
        <v>1.8019958111525902E-2</v>
      </c>
      <c r="O16" s="36">
        <f>VLOOKUP(C16,Data!$B:$P,8,FALSE)</f>
        <v>7720621</v>
      </c>
      <c r="P16" s="36">
        <f>VLOOKUP(C16,Data!$B:$P,7,FALSE)</f>
        <v>135439.93271671049</v>
      </c>
      <c r="Q16" s="36">
        <f>VLOOKUP(C16,Data!$B:$P,6,FALSE)</f>
        <v>7881280.0788127994</v>
      </c>
      <c r="R16" s="36">
        <f>VLOOKUP(C16,Data!$B:$P,5,FALSE)</f>
        <v>137880.55463089352</v>
      </c>
      <c r="S16" s="36">
        <f t="shared" si="25"/>
        <v>160659.07881279942</v>
      </c>
      <c r="T16" s="36">
        <f t="shared" si="26"/>
        <v>2440.6219141830225</v>
      </c>
      <c r="U16" s="37">
        <f>VLOOKUP(C16,Data!$B:$P,14,FALSE)</f>
        <v>9.9709691826708351</v>
      </c>
      <c r="V16" s="58" t="str">
        <f>IF(VLOOKUP(C16,Data!$B:$P,15,FALSE)=0,"",VLOOKUP(C16,Data!$B:$P,15,FALSE))</f>
        <v>19/07/2017</v>
      </c>
      <c r="W16" s="58" t="str">
        <f>IF(VLOOKUP(C16,Data!$B:$P,15,FALSE)=0,"",VLOOKUP(C16,Data!$B:$P,15,FALSE))</f>
        <v>19/07/2017</v>
      </c>
    </row>
    <row r="17" spans="2:23" s="12" customFormat="1" ht="15" x14ac:dyDescent="0.25">
      <c r="B17" s="39" t="str">
        <f>IF(LEFT(C17,2) = "RU", VLOOKUP(C17,MICEX!$A:$D,4,FALSE),VLOOKUP(C17,BloombergSecs!$A:$C,3,FALSE))</f>
        <v>МегаФон ао</v>
      </c>
      <c r="C17" s="39" t="s">
        <v>36</v>
      </c>
      <c r="D17" s="7">
        <f t="shared" si="0"/>
        <v>1.7939585689399289E-2</v>
      </c>
      <c r="E17" s="36">
        <f>VLOOKUP(C17,Data!$B:$P,4,FALSE)</f>
        <v>12070</v>
      </c>
      <c r="F17" s="36">
        <f t="shared" si="21"/>
        <v>2372272.8696516012</v>
      </c>
      <c r="G17" s="57">
        <f>VLOOKUP(C17,Data!$B:$P,3,FALSE)</f>
        <v>598.46097763048886</v>
      </c>
      <c r="H17" s="56">
        <f>VLOOKUP(C17,Data!$B:$P,2,FALSE)</f>
        <v>610.50000610500001</v>
      </c>
      <c r="I17" s="9">
        <f>VLOOKUP(C17,Data!$B:$P,12,FALSE)</f>
        <v>707.4000244140625</v>
      </c>
      <c r="J17" s="10">
        <f t="shared" si="22"/>
        <v>0.15872238712540909</v>
      </c>
      <c r="K17" s="9">
        <f>VLOOKUP(C17,Data!$B:$P,11,FALSE)</f>
        <v>4.1999998092651367</v>
      </c>
      <c r="L17" s="11" t="str">
        <f>VLOOKUP(C17,Data!$B:$P,10,FALSE)</f>
        <v>RUB</v>
      </c>
      <c r="M17" s="7">
        <f t="shared" si="23"/>
        <v>2.0116647408119581E-2</v>
      </c>
      <c r="N17" s="7">
        <f t="shared" si="24"/>
        <v>9.2901807021550376E-3</v>
      </c>
      <c r="O17" s="36">
        <f>VLOOKUP(C17,Data!$B:$P,8,FALSE)</f>
        <v>7223424.0000000009</v>
      </c>
      <c r="P17" s="36">
        <f>VLOOKUP(C17,Data!$B:$P,7,FALSE)</f>
        <v>127727.13034839868</v>
      </c>
      <c r="Q17" s="36">
        <f>VLOOKUP(C17,Data!$B:$P,6,FALSE)</f>
        <v>7368735.0736873504</v>
      </c>
      <c r="R17" s="36">
        <f>VLOOKUP(C17,Data!$B:$P,5,FALSE)</f>
        <v>128913.73846990301</v>
      </c>
      <c r="S17" s="36">
        <f t="shared" si="25"/>
        <v>145311.07368734945</v>
      </c>
      <c r="T17" s="36">
        <f t="shared" si="26"/>
        <v>1186.6081215043232</v>
      </c>
      <c r="U17" s="37">
        <f>VLOOKUP(C17,Data!$B:$P,14,FALSE)</f>
        <v>10.565110565110565</v>
      </c>
      <c r="V17" s="58" t="str">
        <f>IF(VLOOKUP(C17,Data!$B:$P,15,FALSE)=0,"",VLOOKUP(C17,Data!$B:$P,15,FALSE))</f>
        <v>10/07/2017</v>
      </c>
      <c r="W17" s="58" t="str">
        <f>IF(VLOOKUP(C17,Data!$B:$P,15,FALSE)=0,"",VLOOKUP(C17,Data!$B:$P,15,FALSE))</f>
        <v>10/07/2017</v>
      </c>
    </row>
    <row r="18" spans="2:23" s="12" customFormat="1" ht="15" x14ac:dyDescent="0.25">
      <c r="B18" s="39" t="str">
        <f>IF(LEFT(C18,2) = "RU", VLOOKUP(C18,MICEX!$A:$D,4,FALSE),VLOOKUP(C18,BloombergSecs!$A:$C,3,FALSE))</f>
        <v>НМТП ао</v>
      </c>
      <c r="C18" s="39" t="s">
        <v>35</v>
      </c>
      <c r="D18" s="7">
        <f t="shared" si="0"/>
        <v>1.4490467362892624E-2</v>
      </c>
      <c r="E18" s="36">
        <f>VLOOKUP(C18,Data!$B:$P,4,FALSE)</f>
        <v>800000</v>
      </c>
      <c r="F18" s="36">
        <f t="shared" si="21"/>
        <v>2414949.7964533661</v>
      </c>
      <c r="G18" s="57">
        <f>VLOOKUP(C18,Data!$B:$P,3,FALSE)</f>
        <v>6.0270812500000002</v>
      </c>
      <c r="H18" s="56">
        <f>VLOOKUP(C18,Data!$B:$P,2,FALSE)</f>
        <v>7.4400000744000003</v>
      </c>
      <c r="I18" s="9">
        <f>VLOOKUP(C18,Data!$B:$P,12,FALSE)</f>
        <v>0</v>
      </c>
      <c r="J18" s="10">
        <f t="shared" si="22"/>
        <v>0</v>
      </c>
      <c r="K18" s="9">
        <f>VLOOKUP(C18,Data!$B:$P,11,FALSE)</f>
        <v>0</v>
      </c>
      <c r="L18" s="11" t="str">
        <f>VLOOKUP(C18,Data!$B:$P,10,FALSE)</f>
        <v>RUB</v>
      </c>
      <c r="M18" s="7">
        <f t="shared" si="23"/>
        <v>0.23442836852415105</v>
      </c>
      <c r="N18" s="7">
        <f t="shared" si="24"/>
        <v>0.22431685910887156</v>
      </c>
      <c r="O18" s="36">
        <f>VLOOKUP(C18,Data!$B:$P,8,FALSE)</f>
        <v>4821665</v>
      </c>
      <c r="P18" s="36">
        <f>VLOOKUP(C18,Data!$B:$P,7,FALSE)</f>
        <v>85050.203546633813</v>
      </c>
      <c r="Q18" s="36">
        <f>VLOOKUP(C18,Data!$B:$P,6,FALSE)</f>
        <v>5952000.0595200006</v>
      </c>
      <c r="R18" s="36">
        <f>VLOOKUP(C18,Data!$B:$P,5,FALSE)</f>
        <v>104128.39807278491</v>
      </c>
      <c r="S18" s="36">
        <f t="shared" si="25"/>
        <v>1130335.0595200006</v>
      </c>
      <c r="T18" s="36">
        <f t="shared" si="26"/>
        <v>19078.194526151099</v>
      </c>
      <c r="U18" s="37">
        <f>VLOOKUP(C18,Data!$B:$P,14,FALSE)</f>
        <v>10.489207726937753</v>
      </c>
      <c r="V18" s="58" t="str">
        <f>IF(VLOOKUP(C18,Data!$B:$P,15,FALSE)=0,"",VLOOKUP(C18,Data!$B:$P,15,FALSE))</f>
        <v>26/05/2017</v>
      </c>
      <c r="W18" s="58" t="str">
        <f>IF(VLOOKUP(C18,Data!$B:$P,15,FALSE)=0,"",VLOOKUP(C18,Data!$B:$P,15,FALSE))</f>
        <v>26/05/2017</v>
      </c>
    </row>
    <row r="19" spans="2:23" s="12" customFormat="1" ht="15" x14ac:dyDescent="0.25">
      <c r="B19" s="39" t="str">
        <f>IF(LEFT(C19,2) = "RU", VLOOKUP(C19,MICEX!$A:$D,4,FALSE),VLOOKUP(C19,BloombergSecs!$A:$C,3,FALSE))</f>
        <v>МосБиржа</v>
      </c>
      <c r="C19" s="39" t="s">
        <v>482</v>
      </c>
      <c r="D19" s="7">
        <f t="shared" ref="D19:D23" si="27">R19/$R$55</f>
        <v>1.1875171721106035E-2</v>
      </c>
      <c r="E19" s="36">
        <f>VLOOKUP(C19,Data!$B:$P,4,FALSE)</f>
        <v>48000</v>
      </c>
      <c r="F19" s="36">
        <f t="shared" ref="F19:F23" si="28">$J$5-P19</f>
        <v>2411642.8561395626</v>
      </c>
      <c r="G19" s="57">
        <f>VLOOKUP(C19,Data!$B:$P,3,FALSE)</f>
        <v>104.84164166666669</v>
      </c>
      <c r="H19" s="56">
        <f>VLOOKUP(C19,Data!$B:$P,2,FALSE)</f>
        <v>101.62000101619999</v>
      </c>
      <c r="I19" s="9">
        <f>VLOOKUP(C19,Data!$B:$P,12,FALSE)</f>
        <v>137.27499389648437</v>
      </c>
      <c r="J19" s="10">
        <f t="shared" ref="J19:J23" si="29">IF(I19&gt;0,I19/H19-1,0)</f>
        <v>0.35086589769469056</v>
      </c>
      <c r="K19" s="9">
        <f>VLOOKUP(C19,Data!$B:$P,11,FALSE)</f>
        <v>3.7999999523162842</v>
      </c>
      <c r="L19" s="11" t="str">
        <f>VLOOKUP(C19,Data!$B:$P,10,FALSE)</f>
        <v>RUB</v>
      </c>
      <c r="M19" s="7">
        <f t="shared" ref="M19:M23" si="30">IF(O19&gt;0,Q19/O19-1,0)</f>
        <v>-3.0728636057698933E-2</v>
      </c>
      <c r="N19" s="7">
        <f t="shared" ref="N19:N23" si="31">IF(P19&gt;0,R19/P19-1,0)</f>
        <v>-3.4204842047323658E-2</v>
      </c>
      <c r="O19" s="36">
        <f>VLOOKUP(C19,Data!$B:$P,8,FALSE)</f>
        <v>5032398.8000000007</v>
      </c>
      <c r="P19" s="36">
        <f>VLOOKUP(C19,Data!$B:$P,7,FALSE)</f>
        <v>88357.143860437645</v>
      </c>
      <c r="Q19" s="36">
        <f>VLOOKUP(C19,Data!$B:$P,6,FALSE)</f>
        <v>4877760.0487775998</v>
      </c>
      <c r="R19" s="36">
        <f>VLOOKUP(C19,Data!$B:$P,5,FALSE)</f>
        <v>85334.90171093872</v>
      </c>
      <c r="S19" s="36">
        <f t="shared" ref="S19:S23" si="32">Q19-O19</f>
        <v>-154638.75122240093</v>
      </c>
      <c r="T19" s="36">
        <f t="shared" ref="T19:T23" si="33">R19-P19</f>
        <v>-3022.2421494989248</v>
      </c>
      <c r="U19" s="37">
        <f>VLOOKUP(C19,Data!$B:$P,14,FALSE)</f>
        <v>7.675654398740404</v>
      </c>
      <c r="V19" s="58" t="str">
        <f>IF(VLOOKUP(C19,Data!$B:$P,15,FALSE)=0,"",VLOOKUP(C19,Data!$B:$P,15,FALSE))</f>
        <v>15/05/2017</v>
      </c>
      <c r="W19" s="58" t="str">
        <f>IF(VLOOKUP(C19,Data!$B:$P,15,FALSE)=0,"",VLOOKUP(C19,Data!$B:$P,15,FALSE))</f>
        <v>15/05/2017</v>
      </c>
    </row>
    <row r="20" spans="2:23" s="12" customFormat="1" ht="15" x14ac:dyDescent="0.25">
      <c r="B20" s="39" t="str">
        <f>IF(LEFT(C20,2) = "RU", VLOOKUP(C20,MICEX!$A:$D,4,FALSE),VLOOKUP(C20,BloombergSecs!$A:$C,3,FALSE))</f>
        <v>ГАЗПРОМ ао</v>
      </c>
      <c r="C20" s="39" t="s">
        <v>37</v>
      </c>
      <c r="D20" s="7">
        <f t="shared" si="27"/>
        <v>1.1835829323158395E-2</v>
      </c>
      <c r="E20" s="36">
        <f>VLOOKUP(C20,Data!$B:$P,4,FALSE)</f>
        <v>40000</v>
      </c>
      <c r="F20" s="36">
        <f t="shared" si="28"/>
        <v>2409546.0802864796</v>
      </c>
      <c r="G20" s="57">
        <f>VLOOKUP(C20,Data!$B:$P,3,FALSE)</f>
        <v>128.94952499999999</v>
      </c>
      <c r="H20" s="56">
        <f>VLOOKUP(C20,Data!$B:$P,2,FALSE)</f>
        <v>121.5400012154</v>
      </c>
      <c r="I20" s="9">
        <f>VLOOKUP(C20,Data!$B:$P,12,FALSE)</f>
        <v>143.60252380371094</v>
      </c>
      <c r="J20" s="10">
        <f t="shared" si="29"/>
        <v>0.18152478499000924</v>
      </c>
      <c r="K20" s="9">
        <f>VLOOKUP(C20,Data!$B:$P,11,FALSE)</f>
        <v>3.615384578704834</v>
      </c>
      <c r="L20" s="11" t="str">
        <f>VLOOKUP(C20,Data!$B:$P,10,FALSE)</f>
        <v>RUB</v>
      </c>
      <c r="M20" s="7">
        <f t="shared" si="30"/>
        <v>-5.7460652023340275E-2</v>
      </c>
      <c r="N20" s="7">
        <f t="shared" si="31"/>
        <v>-5.9718055544286885E-2</v>
      </c>
      <c r="O20" s="36">
        <f>VLOOKUP(C20,Data!$B:$P,8,FALSE)</f>
        <v>5157981</v>
      </c>
      <c r="P20" s="36">
        <f>VLOOKUP(C20,Data!$B:$P,7,FALSE)</f>
        <v>90453.91971352062</v>
      </c>
      <c r="Q20" s="36">
        <f>VLOOKUP(C20,Data!$B:$P,6,FALSE)</f>
        <v>4861600.0486159995</v>
      </c>
      <c r="R20" s="36">
        <f>VLOOKUP(C20,Data!$B:$P,5,FALSE)</f>
        <v>85052.187511870128</v>
      </c>
      <c r="S20" s="36">
        <f t="shared" si="32"/>
        <v>-296380.95138400048</v>
      </c>
      <c r="T20" s="36">
        <f t="shared" si="33"/>
        <v>-5401.7322016504913</v>
      </c>
      <c r="U20" s="37">
        <f>VLOOKUP(C20,Data!$B:$P,14,FALSE)</f>
        <v>6.6148593055784106</v>
      </c>
      <c r="V20" s="58" t="str">
        <f>IF(VLOOKUP(C20,Data!$B:$P,15,FALSE)=0,"",VLOOKUP(C20,Data!$B:$P,15,FALSE))</f>
        <v>19/07/2017</v>
      </c>
      <c r="W20" s="58" t="str">
        <f>IF(VLOOKUP(C20,Data!$B:$P,15,FALSE)=0,"",VLOOKUP(C20,Data!$B:$P,15,FALSE))</f>
        <v>19/07/2017</v>
      </c>
    </row>
    <row r="21" spans="2:23" s="12" customFormat="1" ht="15" x14ac:dyDescent="0.25">
      <c r="B21" s="39" t="str">
        <f>IF(LEFT(C21,2) = "RU", VLOOKUP(C21,MICEX!$A:$D,4,FALSE),VLOOKUP(C21,BloombergSecs!$A:$C,3,FALSE))</f>
        <v>ЛУКОЙЛ</v>
      </c>
      <c r="C21" s="39" t="s">
        <v>378</v>
      </c>
      <c r="D21" s="7">
        <f t="shared" si="27"/>
        <v>1.1800187447789989E-2</v>
      </c>
      <c r="E21" s="36">
        <f>VLOOKUP(C21,Data!$B:$P,4,FALSE)</f>
        <v>1720</v>
      </c>
      <c r="F21" s="36">
        <f t="shared" si="28"/>
        <v>2412119.6851059631</v>
      </c>
      <c r="G21" s="57">
        <f>VLOOKUP(C21,Data!$B:$P,3,FALSE)</f>
        <v>2899.8255813953488</v>
      </c>
      <c r="H21" s="56">
        <f>VLOOKUP(C21,Data!$B:$P,2,FALSE)</f>
        <v>2818.0000281799998</v>
      </c>
      <c r="I21" s="9">
        <f>VLOOKUP(C21,Data!$B:$P,12,FALSE)</f>
        <v>3515.028564453125</v>
      </c>
      <c r="J21" s="10">
        <f t="shared" si="29"/>
        <v>0.24734866192435767</v>
      </c>
      <c r="K21" s="9">
        <f>VLOOKUP(C21,Data!$B:$P,11,FALSE)</f>
        <v>4.4545454978942871</v>
      </c>
      <c r="L21" s="11" t="str">
        <f>VLOOKUP(C21,Data!$B:$P,10,FALSE)</f>
        <v>RUB</v>
      </c>
      <c r="M21" s="7">
        <f t="shared" si="30"/>
        <v>-2.8217405122681893E-2</v>
      </c>
      <c r="N21" s="7">
        <f t="shared" si="31"/>
        <v>-3.5096024124843472E-2</v>
      </c>
      <c r="O21" s="36">
        <f>VLOOKUP(C21,Data!$B:$P,8,FALSE)</f>
        <v>4987700</v>
      </c>
      <c r="P21" s="36">
        <f>VLOOKUP(C21,Data!$B:$P,7,FALSE)</f>
        <v>87880.31489403687</v>
      </c>
      <c r="Q21" s="36">
        <f>VLOOKUP(C21,Data!$B:$P,6,FALSE)</f>
        <v>4846960.0484695993</v>
      </c>
      <c r="R21" s="36">
        <f>VLOOKUP(C21,Data!$B:$P,5,FALSE)</f>
        <v>84796.065242416909</v>
      </c>
      <c r="S21" s="36">
        <f t="shared" si="32"/>
        <v>-140739.95153040066</v>
      </c>
      <c r="T21" s="36">
        <f t="shared" si="33"/>
        <v>-3084.2496516199608</v>
      </c>
      <c r="U21" s="37">
        <f>VLOOKUP(C21,Data!$B:$P,14,FALSE)</f>
        <v>7.0972320794889994</v>
      </c>
      <c r="V21" s="58" t="str">
        <f>IF(VLOOKUP(C21,Data!$B:$P,15,FALSE)=0,"",VLOOKUP(C21,Data!$B:$P,15,FALSE))</f>
        <v>07/07/2017</v>
      </c>
      <c r="W21" s="58" t="str">
        <f>IF(VLOOKUP(C21,Data!$B:$P,15,FALSE)=0,"",VLOOKUP(C21,Data!$B:$P,15,FALSE))</f>
        <v>07/07/2017</v>
      </c>
    </row>
    <row r="22" spans="2:23" s="12" customFormat="1" ht="15" x14ac:dyDescent="0.25">
      <c r="B22" s="39" t="str">
        <f>IF(LEFT(C22,2) = "RU", VLOOKUP(C22,MICEX!$A:$D,4,FALSE),VLOOKUP(C22,BloombergSecs!$A:$C,3,FALSE))</f>
        <v>Русал рдр</v>
      </c>
      <c r="C22" s="39" t="s">
        <v>634</v>
      </c>
      <c r="D22" s="7">
        <f t="shared" si="27"/>
        <v>8.9893484023428633E-3</v>
      </c>
      <c r="E22" s="36">
        <f>VLOOKUP(C22,Data!$B:$P,4,FALSE)</f>
        <v>13600</v>
      </c>
      <c r="F22" s="36">
        <f t="shared" si="28"/>
        <v>2435878.7464004676</v>
      </c>
      <c r="G22" s="57">
        <f>VLOOKUP(C22,Data!$B:$P,3,FALSE)</f>
        <v>269.49880000000002</v>
      </c>
      <c r="H22" s="56">
        <f>VLOOKUP(C22,Data!$B:$P,2,FALSE)</f>
        <v>271.50000271499999</v>
      </c>
      <c r="I22" s="9">
        <f>VLOOKUP(C22,Data!$B:$P,12,FALSE)</f>
        <v>376.77935001286096</v>
      </c>
      <c r="J22" s="10">
        <f t="shared" si="29"/>
        <v>0.38776923110522099</v>
      </c>
      <c r="K22" s="9">
        <f>VLOOKUP(C22,Data!$B:$P,11,FALSE)</f>
        <v>4.5</v>
      </c>
      <c r="L22" s="11" t="str">
        <f>VLOOKUP(C22,Data!$B:$P,10,FALSE)</f>
        <v>RUB</v>
      </c>
      <c r="M22" s="7">
        <f t="shared" si="30"/>
        <v>7.4256461067729873E-3</v>
      </c>
      <c r="N22" s="7">
        <f t="shared" si="31"/>
        <v>7.4256461067727653E-3</v>
      </c>
      <c r="O22" s="36">
        <f>VLOOKUP(C22,Data!$B:$P,8,FALSE)</f>
        <v>3665183.68</v>
      </c>
      <c r="P22" s="36">
        <f>VLOOKUP(C22,Data!$B:$P,7,FALSE)</f>
        <v>64121.253599532545</v>
      </c>
      <c r="Q22" s="36">
        <f>VLOOKUP(C22,Data!$B:$P,6,FALSE)</f>
        <v>3692400.0369239999</v>
      </c>
      <c r="R22" s="36">
        <f>VLOOKUP(C22,Data!$B:$P,5,FALSE)</f>
        <v>64597.395336685309</v>
      </c>
      <c r="S22" s="36">
        <f t="shared" si="32"/>
        <v>27216.35692399973</v>
      </c>
      <c r="T22" s="36">
        <f t="shared" si="33"/>
        <v>476.14173715276411</v>
      </c>
      <c r="U22" s="37">
        <f>VLOOKUP(C22,Data!$B:$P,14,FALSE)</f>
        <v>3.6243094484669944</v>
      </c>
      <c r="V22" s="58" t="str">
        <f>IF(VLOOKUP(C22,Data!$B:$P,15,FALSE)=0,"",VLOOKUP(C22,Data!$B:$P,15,FALSE))</f>
        <v>29/09/2016</v>
      </c>
      <c r="W22" s="58" t="str">
        <f>IF(VLOOKUP(C22,Data!$B:$P,15,FALSE)=0,"",VLOOKUP(C22,Data!$B:$P,15,FALSE))</f>
        <v>29/09/2016</v>
      </c>
    </row>
    <row r="23" spans="2:23" s="12" customFormat="1" ht="15" x14ac:dyDescent="0.25">
      <c r="B23" s="39" t="str">
        <f>IF(LEFT(C23,2) = "RU", VLOOKUP(C23,MICEX!$A:$D,4,FALSE),VLOOKUP(C23,BloombergSecs!$A:$C,3,FALSE))</f>
        <v>НКНХ ап</v>
      </c>
      <c r="C23" s="39" t="s">
        <v>503</v>
      </c>
      <c r="D23" s="7">
        <f t="shared" si="27"/>
        <v>2.5666678536302671E-3</v>
      </c>
      <c r="E23" s="36">
        <f>VLOOKUP(C23,Data!$B:$P,4,FALSE)</f>
        <v>43800</v>
      </c>
      <c r="F23" s="36">
        <f t="shared" si="28"/>
        <v>2481816.7035804633</v>
      </c>
      <c r="G23" s="57">
        <f>VLOOKUP(C23,Data!$B:$P,3,FALSE)</f>
        <v>23.729700000000001</v>
      </c>
      <c r="H23" s="56">
        <f>VLOOKUP(C23,Data!$B:$P,2,FALSE)</f>
        <v>24.070000240699997</v>
      </c>
      <c r="I23" s="9">
        <f>VLOOKUP(C23,Data!$B:$P,12,FALSE)</f>
        <v>0</v>
      </c>
      <c r="J23" s="10">
        <f t="shared" si="29"/>
        <v>0</v>
      </c>
      <c r="K23" s="9">
        <f>VLOOKUP(C23,Data!$B:$P,11,FALSE)</f>
        <v>5</v>
      </c>
      <c r="L23" s="11" t="str">
        <f>VLOOKUP(C23,Data!$B:$P,10,FALSE)</f>
        <v>RUB</v>
      </c>
      <c r="M23" s="7">
        <f t="shared" si="30"/>
        <v>1.4340688702343174E-2</v>
      </c>
      <c r="N23" s="7">
        <f t="shared" si="31"/>
        <v>1.4340688702343174E-2</v>
      </c>
      <c r="O23" s="36">
        <f>VLOOKUP(C23,Data!$B:$P,8,FALSE)</f>
        <v>1039360.8600000001</v>
      </c>
      <c r="P23" s="36">
        <f>VLOOKUP(C23,Data!$B:$P,7,FALSE)</f>
        <v>18183.296419536669</v>
      </c>
      <c r="Q23" s="36">
        <f>VLOOKUP(C23,Data!$B:$P,6,FALSE)</f>
        <v>1054266.0105426598</v>
      </c>
      <c r="R23" s="36">
        <f>VLOOKUP(C23,Data!$B:$P,5,FALSE)</f>
        <v>18444.057413071678</v>
      </c>
      <c r="S23" s="36">
        <f t="shared" si="32"/>
        <v>14905.150542659685</v>
      </c>
      <c r="T23" s="36">
        <f t="shared" si="33"/>
        <v>260.76099353500831</v>
      </c>
      <c r="U23" s="37">
        <f>VLOOKUP(C23,Data!$B:$P,14,FALSE)</f>
        <v>0</v>
      </c>
      <c r="V23" s="58" t="str">
        <f>IF(VLOOKUP(C23,Data!$B:$P,15,FALSE)=0,"",VLOOKUP(C23,Data!$B:$P,15,FALSE))</f>
        <v>03/05/2016</v>
      </c>
      <c r="W23" s="58" t="str">
        <f>IF(VLOOKUP(C23,Data!$B:$P,15,FALSE)=0,"",VLOOKUP(C23,Data!$B:$P,15,FALSE))</f>
        <v>03/05/2016</v>
      </c>
    </row>
    <row r="24" spans="2:23" s="12" customFormat="1" ht="15" hidden="1" x14ac:dyDescent="0.25">
      <c r="B24" s="39"/>
      <c r="C24" s="39" t="s">
        <v>4671</v>
      </c>
      <c r="D24" s="7"/>
      <c r="E24" s="36"/>
      <c r="F24" s="36"/>
      <c r="G24" s="57"/>
      <c r="H24" s="56"/>
      <c r="I24" s="9"/>
      <c r="J24" s="10"/>
      <c r="K24" s="9" t="e">
        <f>IF(C24="RU000A0JR5Z5",_xll.BDP("486 HK EQUITY","EQY_REC_CONS"),IF(OR(_xll.BDP(#REF!,"EQY_REC_CONS")="#N/A Field Not Applicable",_xll.BDP(#REF!,"EQY_REC_CONS")="#N/A N/A"),0,_xll.BDP(#REF!,"EQY_REC_CONS")))</f>
        <v>#REF!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59"/>
      <c r="W24" s="58" t="e">
        <f>VLOOKUP(C24,Data!$A$2:$P$100,16,FALSE)</f>
        <v>#N/A</v>
      </c>
    </row>
    <row r="25" spans="2:23" s="12" customFormat="1" ht="15" hidden="1" x14ac:dyDescent="0.25">
      <c r="B25" s="39"/>
      <c r="C25" s="39" t="s">
        <v>51</v>
      </c>
      <c r="D25" s="7"/>
      <c r="E25" s="7"/>
      <c r="F25" s="36"/>
      <c r="G25" s="57"/>
      <c r="H25" s="8"/>
      <c r="I25" s="9"/>
      <c r="J25" s="10"/>
      <c r="K25" s="9" t="e">
        <f>IF(C25="RU000A0JR5Z5",_xll.BDP("486 HK EQUITY","EQY_REC_CONS"),IF(OR(_xll.BDP(#REF!,"EQY_REC_CONS")="#N/A Field Not Applicable",_xll.BDP(#REF!,"EQY_REC_CONS")="#N/A N/A"),0,_xll.BDP(#REF!,"EQY_REC_CONS")))</f>
        <v>#REF!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59"/>
      <c r="W25" s="58" t="e">
        <f>VLOOKUP(C25,Data!$A$2:$P$100,16,FALSE)</f>
        <v>#N/A</v>
      </c>
    </row>
    <row r="26" spans="2:23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>IF(C26="RU000A0JR5Z5",_xll.BDP("486 HK EQUITY","EQY_REC_CONS"),IF(OR(_xll.BDP(#REF!,"EQY_REC_CONS")="#N/A Field Not Applicable",_xll.BDP(#REF!,"EQY_REC_CONS")="#N/A N/A"),0,_xll.BDP(#REF!,"EQY_REC_CONS")))</f>
        <v>#REF!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59"/>
      <c r="W26" s="58" t="e">
        <f>VLOOKUP(C26,Data!$A$2:$P$100,16,FALSE)</f>
        <v>#N/A</v>
      </c>
    </row>
    <row r="27" spans="2:23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>IF(C27="RU000A0JR5Z5",_xll.BDP("486 HK EQUITY","EQY_REC_CONS"),IF(OR(_xll.BDP(#REF!,"EQY_REC_CONS")="#N/A Field Not Applicable",_xll.BDP(#REF!,"EQY_REC_CONS")="#N/A N/A"),0,_xll.BDP(#REF!,"EQY_REC_CONS")))</f>
        <v>#REF!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59"/>
      <c r="W27" s="58" t="e">
        <f>VLOOKUP(C27,Data!$A$2:$P$100,16,FALSE)</f>
        <v>#N/A</v>
      </c>
    </row>
    <row r="28" spans="2:23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>IF(C28="RU000A0JR5Z5",_xll.BDP("486 HK EQUITY","EQY_REC_CONS"),IF(OR(_xll.BDP(#REF!,"EQY_REC_CONS")="#N/A Field Not Applicable",_xll.BDP(#REF!,"EQY_REC_CONS")="#N/A N/A"),0,_xll.BDP(#REF!,"EQY_REC_CONS")))</f>
        <v>#REF!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59"/>
      <c r="W28" s="58" t="e">
        <f>VLOOKUP(C28,Data!$A$2:$P$100,16,FALSE)</f>
        <v>#N/A</v>
      </c>
    </row>
    <row r="29" spans="2:23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>IF(C29="RU000A0JR5Z5",_xll.BDP("486 HK EQUITY","EQY_REC_CONS"),IF(OR(_xll.BDP(#REF!,"EQY_REC_CONS")="#N/A Field Not Applicable",_xll.BDP(#REF!,"EQY_REC_CONS")="#N/A N/A"),0,_xll.BDP(#REF!,"EQY_REC_CONS")))</f>
        <v>#REF!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59"/>
      <c r="W29" s="58" t="e">
        <f>VLOOKUP(C29,Data!$A$2:$P$100,16,FALSE)</f>
        <v>#N/A</v>
      </c>
    </row>
    <row r="30" spans="2:23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>IF(C30="RU000A0JR5Z5",_xll.BDP("486 HK EQUITY","EQY_REC_CONS"),IF(OR(_xll.BDP(#REF!,"EQY_REC_CONS")="#N/A Field Not Applicable",_xll.BDP(#REF!,"EQY_REC_CONS")="#N/A N/A"),0,_xll.BDP(#REF!,"EQY_REC_CONS")))</f>
        <v>#REF!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59"/>
      <c r="W30" s="58" t="e">
        <f>VLOOKUP(C30,Data!$A$2:$P$100,16,FALSE)</f>
        <v>#N/A</v>
      </c>
    </row>
    <row r="31" spans="2:23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>IF(C31="RU000A0JR5Z5",_xll.BDP("486 HK EQUITY","EQY_REC_CONS"),IF(OR(_xll.BDP(#REF!,"EQY_REC_CONS")="#N/A Field Not Applicable",_xll.BDP(#REF!,"EQY_REC_CONS")="#N/A N/A"),0,_xll.BDP(#REF!,"EQY_REC_CONS")))</f>
        <v>#REF!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59"/>
      <c r="W31" s="58" t="e">
        <f>VLOOKUP(C31,Data!$A$2:$P$100,16,FALSE)</f>
        <v>#N/A</v>
      </c>
    </row>
    <row r="32" spans="2:23" s="12" customFormat="1" ht="15" x14ac:dyDescent="0.25">
      <c r="B32" s="39"/>
      <c r="C32" s="39"/>
      <c r="D32" s="54">
        <f>SUM(D9:D31)</f>
        <v>0.33061007574538992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9.0711073396879307E-3</v>
      </c>
      <c r="N32" s="7">
        <f>SUMPRODUCT($D$9:$D$23,N9:N23)</f>
        <v>6.024026548688239E-3</v>
      </c>
      <c r="O32" s="36"/>
      <c r="P32" s="41">
        <f>SUM(P9:P31)</f>
        <v>2344660.3257740242</v>
      </c>
      <c r="Q32" s="41">
        <f>SUM(Q9:Q31)</f>
        <v>135799014.70629013</v>
      </c>
      <c r="R32" s="41">
        <f>SUM(R9:R31)</f>
        <v>2375761.7136799754</v>
      </c>
      <c r="S32" s="41">
        <f>SUM(S9:S31)</f>
        <v>2936257.6114901253</v>
      </c>
      <c r="T32" s="41">
        <f>SUM(T9:T31)</f>
        <v>31101.387905950764</v>
      </c>
      <c r="U32" s="37"/>
      <c r="V32" s="59"/>
      <c r="W32" s="59"/>
    </row>
    <row r="33" spans="1:23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59"/>
      <c r="W33" s="59"/>
    </row>
    <row r="34" spans="1:23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>R34/$R$55</f>
        <v>0.28445964254315886</v>
      </c>
      <c r="E34" s="36">
        <f>VLOOKUP(C34,Data!$B:$P,4,FALSE)</f>
        <v>1150000</v>
      </c>
      <c r="F34" s="36">
        <f t="shared" ref="F34:F38" si="34">$J$5-P34</f>
        <v>486620</v>
      </c>
      <c r="G34" s="57">
        <f>VLOOKUP(C34,Data!$B:$P,3,FALSE)</f>
        <v>175.07652173913044</v>
      </c>
      <c r="H34" s="56">
        <f>VLOOKUP(C34,Data!$B:$P,2,FALSE)</f>
        <v>177.75000177749999</v>
      </c>
      <c r="I34" s="9">
        <f>VLOOKUP(C34,Data!$B:$P,13,FALSE)</f>
        <v>7.2285878416895297</v>
      </c>
      <c r="J34" s="7">
        <f>VLOOKUP(C34,Data!$B:$P,14,FALSE)/100</f>
        <v>3.9611146E-2</v>
      </c>
      <c r="K34" s="9"/>
      <c r="L34" s="11" t="str">
        <f>VLOOKUP(C34,Data!$B:$P,10,FALSE)</f>
        <v>USD</v>
      </c>
      <c r="M34" s="7">
        <f t="shared" ref="M34:N38" si="35">IF(O34&gt;0,Q34/O34-1,0)</f>
        <v>-1.1090508060901505E-2</v>
      </c>
      <c r="N34" s="7">
        <f t="shared" si="35"/>
        <v>1.5270351568630769E-2</v>
      </c>
      <c r="O34" s="36">
        <f>VLOOKUP(C34,Data!$B:$P,8,FALSE)</f>
        <v>118152971.47599998</v>
      </c>
      <c r="P34" s="36">
        <f>VLOOKUP(C34,Data!$B:$P,7,FALSE)</f>
        <v>2013380</v>
      </c>
      <c r="Q34" s="36">
        <f>VLOOKUP(C34,Data!$B:$P,6,FALSE)</f>
        <v>116842594.99342594</v>
      </c>
      <c r="R34" s="36">
        <f>VLOOKUP(C34,Data!$B:$P,5,FALSE)</f>
        <v>2044125.0204412499</v>
      </c>
      <c r="S34" s="36">
        <f t="shared" ref="S34:S38" si="36">Q34-O34</f>
        <v>-1310376.4825740457</v>
      </c>
      <c r="T34" s="36">
        <f t="shared" ref="T34:T38" si="37">R34-P34</f>
        <v>30745.020441249944</v>
      </c>
      <c r="U34" s="37">
        <f>VLOOKUP(C34,Data!$B:$P,14,FALSE)</f>
        <v>3.9611146000000002</v>
      </c>
      <c r="V34" s="58" t="str">
        <f>VLOOKUP(C34,Data!$B:$P,15,FALSE)</f>
        <v>24/06/2017</v>
      </c>
      <c r="W34" s="59"/>
    </row>
    <row r="35" spans="1:23" s="12" customFormat="1" ht="15" x14ac:dyDescent="0.25">
      <c r="B35" s="39" t="str">
        <f>IF(LEFT(C35,2) = "RU", VLOOKUP(C35,MICEX!$A:$D,4,FALSE),VLOOKUP(C35,BloombergSecs!$A:$C,3,FALSE))</f>
        <v>АльфаБО-18</v>
      </c>
      <c r="C35" s="39" t="s">
        <v>34</v>
      </c>
      <c r="D35" s="7">
        <f>R35/$R$55</f>
        <v>6.2087221761117119E-2</v>
      </c>
      <c r="E35" s="36">
        <f>VLOOKUP(C35,Data!$B:$P,4,FALSE)</f>
        <v>25000</v>
      </c>
      <c r="F35" s="36">
        <f t="shared" si="34"/>
        <v>2058589.3279247549</v>
      </c>
      <c r="G35" s="57">
        <f>VLOOKUP(C35,Data!$B:$P,3,FALSE)</f>
        <v>100.56</v>
      </c>
      <c r="H35" s="56">
        <f>VLOOKUP(C35,Data!$B:$P,2,FALSE)</f>
        <v>102.01000102009999</v>
      </c>
      <c r="I35" s="9">
        <f>VLOOKUP(C35,Data!$B:$P,13,FALSE)</f>
        <v>2.3426088900231807</v>
      </c>
      <c r="J35" s="7">
        <f>VLOOKUP(C35,Data!$B:$P,14,FALSE)/100</f>
        <v>9.1999999999999998E-2</v>
      </c>
      <c r="K35" s="9"/>
      <c r="L35" s="11" t="str">
        <f>VLOOKUP(C35,Data!$B:$P,10,FALSE)</f>
        <v>RUB</v>
      </c>
      <c r="M35" s="7">
        <f t="shared" si="35"/>
        <v>1.4419262331941018E-2</v>
      </c>
      <c r="N35" s="7">
        <f t="shared" si="35"/>
        <v>1.0755683154513251E-2</v>
      </c>
      <c r="O35" s="36">
        <f>VLOOKUP(C35,Data!$B:$P,8,FALSE)</f>
        <v>25140000</v>
      </c>
      <c r="P35" s="36">
        <f>VLOOKUP(C35,Data!$B:$P,7,FALSE)</f>
        <v>441410.67207524495</v>
      </c>
      <c r="Q35" s="36">
        <f>VLOOKUP(C35,Data!$B:$P,6,FALSE)</f>
        <v>25502500.255024999</v>
      </c>
      <c r="R35" s="36">
        <f>VLOOKUP(C35,Data!$B:$P,5,FALSE)</f>
        <v>446158.34540510701</v>
      </c>
      <c r="S35" s="36">
        <f t="shared" si="36"/>
        <v>362500.25502499938</v>
      </c>
      <c r="T35" s="36">
        <f t="shared" si="37"/>
        <v>4747.6733298620675</v>
      </c>
      <c r="U35" s="37">
        <f>VLOOKUP(C35,Data!$B:$P,14,FALSE)</f>
        <v>9.1999999999999993</v>
      </c>
      <c r="V35" s="58" t="str">
        <f>VLOOKUP(C35,Data!$B:$P,15,FALSE)</f>
        <v>24/07/2017</v>
      </c>
      <c r="W35" s="59"/>
    </row>
    <row r="36" spans="1:23" s="12" customFormat="1" ht="15" x14ac:dyDescent="0.25">
      <c r="B36" s="39" t="str">
        <f>IF(LEFT(C36,2) = "RU", VLOOKUP(C36,MICEX!$A:$D,4,FALSE),VLOOKUP(C36,BloombergSecs!$A:$C,3,FALSE))</f>
        <v>ОФЗ 29011</v>
      </c>
      <c r="C36" s="39" t="s">
        <v>31</v>
      </c>
      <c r="D36" s="7">
        <f>R36/$R$55</f>
        <v>6.3389708326834118E-2</v>
      </c>
      <c r="E36" s="36">
        <f>VLOOKUP(C36,Data!$B:$P,4,FALSE)</f>
        <v>25000</v>
      </c>
      <c r="F36" s="36">
        <f t="shared" si="34"/>
        <v>2045728.6498619514</v>
      </c>
      <c r="G36" s="57">
        <f>VLOOKUP(C36,Data!$B:$P,3,FALSE)</f>
        <v>103.45830119999999</v>
      </c>
      <c r="H36" s="56">
        <f>VLOOKUP(C36,Data!$B:$P,2,FALSE)</f>
        <v>104.1500010415</v>
      </c>
      <c r="I36" s="9">
        <f>VLOOKUP(C36,Data!$B:$P,13,FALSE)</f>
        <v>0.20376948425799851</v>
      </c>
      <c r="J36" s="7">
        <f>VLOOKUP(C36,Data!$B:$P,14,FALSE)/100</f>
        <v>9.2699999999999991E-2</v>
      </c>
      <c r="K36" s="9"/>
      <c r="L36" s="11" t="str">
        <f>VLOOKUP(C36,Data!$B:$P,10,FALSE)</f>
        <v>RUR</v>
      </c>
      <c r="M36" s="7">
        <f t="shared" si="35"/>
        <v>6.6857838711547046E-3</v>
      </c>
      <c r="N36" s="7">
        <f t="shared" si="35"/>
        <v>2.744295240422634E-3</v>
      </c>
      <c r="O36" s="36">
        <f>VLOOKUP(C36,Data!$B:$P,8,FALSE)</f>
        <v>25864575.299999997</v>
      </c>
      <c r="P36" s="36">
        <f>VLOOKUP(C36,Data!$B:$P,7,FALSE)</f>
        <v>454271.35013804876</v>
      </c>
      <c r="Q36" s="36">
        <f>VLOOKUP(C36,Data!$B:$P,6,FALSE)</f>
        <v>26037500.260375001</v>
      </c>
      <c r="R36" s="36">
        <f>VLOOKUP(C36,Data!$B:$P,5,FALSE)</f>
        <v>455518.00484209292</v>
      </c>
      <c r="S36" s="36">
        <f t="shared" si="36"/>
        <v>172924.96037500352</v>
      </c>
      <c r="T36" s="36">
        <f t="shared" si="37"/>
        <v>1246.6547040441656</v>
      </c>
      <c r="U36" s="37">
        <f>VLOOKUP(C36,Data!$B:$P,14,FALSE)</f>
        <v>9.27</v>
      </c>
      <c r="V36" s="58" t="str">
        <f>VLOOKUP(C36,Data!$B:$P,15,FALSE)</f>
        <v>02/08/2017</v>
      </c>
      <c r="W36" s="59"/>
    </row>
    <row r="37" spans="1:23" s="12" customFormat="1" ht="15" x14ac:dyDescent="0.25">
      <c r="B37" s="39" t="str">
        <f>IF(LEFT(C37,2) = "RU", VLOOKUP(C37,MICEX!$A:$D,4,FALSE),VLOOKUP(C37,BloombergSecs!$A:$C,3,FALSE))</f>
        <v>Россельхозбанк, БО-01Р</v>
      </c>
      <c r="C37" s="39" t="s">
        <v>4660</v>
      </c>
      <c r="D37" s="7">
        <f>R37/$R$55</f>
        <v>0.12385795145953665</v>
      </c>
      <c r="E37" s="36">
        <f>VLOOKUP(C37,Data!$B:$P,4,FALSE)</f>
        <v>50000</v>
      </c>
      <c r="F37" s="36">
        <f t="shared" si="34"/>
        <v>1613127.6617256054</v>
      </c>
      <c r="G37" s="57">
        <f>VLOOKUP(C37,Data!$B:$P,3,FALSE)</f>
        <v>100</v>
      </c>
      <c r="H37" s="56">
        <f>VLOOKUP(C37,Data!$B:$P,2,FALSE)</f>
        <v>101.7500010175</v>
      </c>
      <c r="I37" s="9">
        <f>VLOOKUP(C37,Data!$B:$P,13,FALSE)</f>
        <v>2.9046339467610651</v>
      </c>
      <c r="J37" s="7">
        <f>VLOOKUP(C37,Data!$B:$P,14,FALSE)/100</f>
        <v>9.11E-2</v>
      </c>
      <c r="K37" s="9"/>
      <c r="L37" s="11" t="str">
        <f>VLOOKUP(C37,Data!$B:$P,10,FALSE)</f>
        <v>RUB</v>
      </c>
      <c r="M37" s="7">
        <f t="shared" si="35"/>
        <v>1.7500010175000025E-2</v>
      </c>
      <c r="N37" s="7">
        <f t="shared" si="35"/>
        <v>3.5744070812406825E-3</v>
      </c>
      <c r="O37" s="36">
        <f>VLOOKUP(C37,Data!$B:$P,8,FALSE)</f>
        <v>50000000</v>
      </c>
      <c r="P37" s="36">
        <f>VLOOKUP(C37,Data!$B:$P,7,FALSE)</f>
        <v>886872.33827439474</v>
      </c>
      <c r="Q37" s="36">
        <f>VLOOKUP(C37,Data!$B:$P,6,FALSE)</f>
        <v>50875000.508749999</v>
      </c>
      <c r="R37" s="36">
        <f>VLOOKUP(C37,Data!$B:$P,5,FALSE)</f>
        <v>890042.38104047917</v>
      </c>
      <c r="S37" s="36">
        <f t="shared" si="36"/>
        <v>875000.50874999911</v>
      </c>
      <c r="T37" s="36">
        <f t="shared" si="37"/>
        <v>3170.0427660844289</v>
      </c>
      <c r="U37" s="37">
        <f>VLOOKUP(C37,Data!$B:$P,14,FALSE)</f>
        <v>9.11</v>
      </c>
      <c r="V37" s="58" t="str">
        <f>VLOOKUP(C37,Data!$B:$P,15,FALSE)</f>
        <v>29/09/2017</v>
      </c>
      <c r="W37" s="59"/>
    </row>
    <row r="38" spans="1:23" s="12" customFormat="1" ht="15" x14ac:dyDescent="0.25">
      <c r="B38" s="39" t="str">
        <f>IF(LEFT(C38,2) = "RU", VLOOKUP(C38,MICEX!$A:$D,4,FALSE),VLOOKUP(C38,BloombergSecs!$A:$C,3,FALSE))</f>
        <v>ОФЗ 26204</v>
      </c>
      <c r="C38" s="39" t="s">
        <v>33</v>
      </c>
      <c r="D38" s="7">
        <f>R38/$R$55</f>
        <v>0.10776347797734936</v>
      </c>
      <c r="E38" s="36">
        <f>VLOOKUP(C38,Data!$B:$P,4,FALSE)</f>
        <v>44500</v>
      </c>
      <c r="F38" s="36">
        <f t="shared" si="34"/>
        <v>1722467.5061798301</v>
      </c>
      <c r="G38" s="57">
        <f>VLOOKUP(C38,Data!$B:$P,3,FALSE)</f>
        <v>98.867944494382002</v>
      </c>
      <c r="H38" s="56">
        <f>VLOOKUP(C38,Data!$B:$P,2,FALSE)</f>
        <v>99.470000994699987</v>
      </c>
      <c r="I38" s="9">
        <f>VLOOKUP(C38,Data!$B:$P,13,FALSE)</f>
        <v>0.7847127715139941</v>
      </c>
      <c r="J38" s="7">
        <f>VLOOKUP(C38,Data!$B:$P,14,FALSE)/100</f>
        <v>8.2799999999999999E-2</v>
      </c>
      <c r="K38" s="9"/>
      <c r="L38" s="11" t="str">
        <f>VLOOKUP(C38,Data!$B:$P,10,FALSE)</f>
        <v>RUB</v>
      </c>
      <c r="M38" s="7">
        <f t="shared" si="35"/>
        <v>6.089501540635478E-3</v>
      </c>
      <c r="N38" s="7">
        <f t="shared" si="35"/>
        <v>-4.044702616794793E-3</v>
      </c>
      <c r="O38" s="36">
        <f>VLOOKUP(C38,Data!$B:$P,8,FALSE)</f>
        <v>43996235.29999999</v>
      </c>
      <c r="P38" s="36">
        <f>VLOOKUP(C38,Data!$B:$P,7,FALSE)</f>
        <v>777532.49382016982</v>
      </c>
      <c r="Q38" s="36">
        <f>VLOOKUP(C38,Data!$B:$P,6,FALSE)</f>
        <v>44264150.442641497</v>
      </c>
      <c r="R38" s="36">
        <f>VLOOKUP(C38,Data!$B:$P,5,FALSE)</f>
        <v>774387.60610777244</v>
      </c>
      <c r="S38" s="36">
        <f t="shared" si="36"/>
        <v>267915.14264150709</v>
      </c>
      <c r="T38" s="36">
        <f t="shared" si="37"/>
        <v>-3144.8877123973798</v>
      </c>
      <c r="U38" s="37">
        <f>VLOOKUP(C38,Data!$B:$P,14,FALSE)</f>
        <v>8.2799999999999994</v>
      </c>
      <c r="V38" s="58" t="str">
        <f>VLOOKUP(C38,Data!$B:$P,15,FALSE)</f>
        <v>14/09/2017</v>
      </c>
      <c r="W38" s="59"/>
    </row>
    <row r="39" spans="1:23" s="12" customFormat="1" ht="15" hidden="1" x14ac:dyDescent="0.25">
      <c r="B39" s="39"/>
      <c r="C39" s="39"/>
      <c r="D39" s="7"/>
      <c r="E39" s="36"/>
      <c r="F39" s="36"/>
      <c r="G39" s="57"/>
      <c r="H39" s="56"/>
      <c r="I39" s="9"/>
      <c r="J39" s="7"/>
      <c r="K39" s="9"/>
      <c r="L39" s="11"/>
      <c r="M39" s="7"/>
      <c r="N39" s="7"/>
      <c r="O39" s="36"/>
      <c r="P39" s="36"/>
      <c r="Q39" s="36"/>
      <c r="R39" s="36"/>
      <c r="S39" s="36"/>
      <c r="T39" s="36"/>
      <c r="U39" s="37"/>
    </row>
    <row r="40" spans="1:23" s="12" customFormat="1" ht="15" hidden="1" x14ac:dyDescent="0.25">
      <c r="B40" s="39"/>
      <c r="C40" s="39"/>
      <c r="D40" s="7"/>
      <c r="E40" s="36"/>
      <c r="F40" s="36"/>
      <c r="G40" s="57"/>
      <c r="H40" s="56"/>
      <c r="I40" s="9"/>
      <c r="J40" s="7"/>
      <c r="K40" s="9"/>
      <c r="L40" s="11"/>
      <c r="M40" s="7"/>
      <c r="N40" s="7"/>
      <c r="O40" s="36"/>
      <c r="P40" s="36"/>
      <c r="Q40" s="36"/>
      <c r="R40" s="36"/>
      <c r="S40" s="36"/>
      <c r="T40" s="36"/>
      <c r="U40" s="37"/>
    </row>
    <row r="41" spans="1:23" s="12" customFormat="1" ht="15" hidden="1" x14ac:dyDescent="0.25">
      <c r="B41" s="39"/>
      <c r="C41" s="39"/>
      <c r="D41" s="7"/>
      <c r="E41" s="36"/>
      <c r="F41" s="36"/>
      <c r="G41" s="57"/>
      <c r="H41" s="56"/>
      <c r="I41" s="9"/>
      <c r="J41" s="7"/>
      <c r="K41" s="9"/>
      <c r="L41" s="11"/>
      <c r="M41" s="7"/>
      <c r="N41" s="7"/>
      <c r="O41" s="36"/>
      <c r="P41" s="36"/>
      <c r="Q41" s="36"/>
      <c r="R41" s="36"/>
      <c r="S41" s="36"/>
      <c r="T41" s="36"/>
      <c r="U41" s="37"/>
    </row>
    <row r="42" spans="1:23" s="12" customFormat="1" ht="15" hidden="1" x14ac:dyDescent="0.25">
      <c r="B42" s="39"/>
      <c r="C42" s="39"/>
      <c r="D42" s="7"/>
      <c r="E42" s="36"/>
      <c r="F42" s="36"/>
      <c r="G42" s="57"/>
      <c r="H42" s="56"/>
      <c r="I42" s="9"/>
      <c r="J42" s="7"/>
      <c r="K42" s="9"/>
      <c r="L42" s="11"/>
      <c r="M42" s="7"/>
      <c r="N42" s="7"/>
      <c r="O42" s="36"/>
      <c r="P42" s="36"/>
      <c r="Q42" s="36"/>
      <c r="R42" s="36"/>
      <c r="S42" s="36"/>
      <c r="T42" s="36"/>
      <c r="U42" s="37"/>
    </row>
    <row r="43" spans="1:23" s="12" customFormat="1" ht="15" hidden="1" x14ac:dyDescent="0.25">
      <c r="B43" s="39"/>
      <c r="C43" s="39"/>
      <c r="D43" s="7"/>
      <c r="E43" s="36"/>
      <c r="F43" s="36"/>
      <c r="G43" s="57"/>
      <c r="H43" s="56"/>
      <c r="I43" s="9"/>
      <c r="J43" s="7"/>
      <c r="K43" s="9"/>
      <c r="L43" s="11"/>
      <c r="M43" s="7"/>
      <c r="N43" s="7"/>
      <c r="O43" s="36"/>
      <c r="P43" s="36"/>
      <c r="Q43" s="36"/>
      <c r="R43" s="36"/>
      <c r="S43" s="36"/>
      <c r="T43" s="36"/>
      <c r="U43" s="37"/>
    </row>
    <row r="44" spans="1:23" s="12" customFormat="1" ht="15" hidden="1" x14ac:dyDescent="0.25">
      <c r="B44" s="39"/>
      <c r="C44" s="39"/>
      <c r="D44" s="7"/>
      <c r="E44" s="36"/>
      <c r="F44" s="36"/>
      <c r="G44" s="57"/>
      <c r="H44" s="56"/>
      <c r="I44" s="9"/>
      <c r="J44" s="7"/>
      <c r="K44" s="9"/>
      <c r="L44" s="11"/>
      <c r="M44" s="7"/>
      <c r="N44" s="7"/>
      <c r="O44" s="36"/>
      <c r="P44" s="36"/>
      <c r="Q44" s="36"/>
      <c r="R44" s="36"/>
      <c r="S44" s="36"/>
      <c r="T44" s="36"/>
      <c r="U44" s="37"/>
    </row>
    <row r="45" spans="1:23" s="12" customFormat="1" ht="15" hidden="1" x14ac:dyDescent="0.25">
      <c r="B45" s="39"/>
      <c r="C45" s="39"/>
      <c r="D45" s="7"/>
      <c r="E45" s="36"/>
      <c r="F45" s="36"/>
      <c r="G45" s="57"/>
      <c r="H45" s="56"/>
      <c r="I45" s="9"/>
      <c r="J45" s="7"/>
      <c r="K45" s="9"/>
      <c r="L45" s="11"/>
      <c r="M45" s="7"/>
      <c r="N45" s="7"/>
      <c r="O45" s="36"/>
      <c r="P45" s="36"/>
      <c r="Q45" s="36"/>
      <c r="R45" s="36"/>
      <c r="S45" s="36"/>
      <c r="T45" s="36"/>
      <c r="U45" s="37"/>
    </row>
    <row r="46" spans="1:23" s="12" customFormat="1" ht="15" hidden="1" x14ac:dyDescent="0.25">
      <c r="B46" s="39"/>
      <c r="C46" s="39"/>
      <c r="D46" s="7"/>
      <c r="E46" s="36"/>
      <c r="F46" s="36"/>
      <c r="G46" s="57"/>
      <c r="H46" s="56"/>
      <c r="I46" s="9"/>
      <c r="J46" s="7"/>
      <c r="K46" s="9"/>
      <c r="L46" s="11"/>
      <c r="M46" s="7"/>
      <c r="N46" s="7"/>
      <c r="O46" s="36"/>
      <c r="P46" s="36"/>
      <c r="Q46" s="36"/>
      <c r="R46" s="36"/>
      <c r="S46" s="36"/>
      <c r="T46" s="36"/>
      <c r="U46" s="37"/>
    </row>
    <row r="47" spans="1:23" s="12" customFormat="1" ht="15" hidden="1" x14ac:dyDescent="0.25">
      <c r="B47" s="39"/>
      <c r="C47" s="39"/>
      <c r="D47" s="7"/>
      <c r="E47" s="36"/>
      <c r="F47" s="36"/>
      <c r="G47" s="57"/>
      <c r="H47" s="56"/>
      <c r="I47" s="9"/>
      <c r="J47" s="7"/>
      <c r="K47" s="9"/>
      <c r="L47" s="11"/>
      <c r="M47" s="7"/>
      <c r="N47" s="7"/>
      <c r="O47" s="36"/>
      <c r="P47" s="36"/>
      <c r="Q47" s="36"/>
      <c r="R47" s="36"/>
      <c r="S47" s="36"/>
      <c r="T47" s="36"/>
      <c r="U47" s="37"/>
    </row>
    <row r="48" spans="1:23" s="12" customFormat="1" ht="15" hidden="1" x14ac:dyDescent="0.25">
      <c r="B48" s="39"/>
      <c r="C48" s="39"/>
      <c r="D48" s="7"/>
      <c r="E48" s="36"/>
      <c r="F48" s="36"/>
      <c r="G48" s="57"/>
      <c r="H48" s="56"/>
      <c r="I48" s="9"/>
      <c r="J48" s="7"/>
      <c r="K48" s="9"/>
      <c r="L48" s="11"/>
      <c r="M48" s="7"/>
      <c r="N48" s="7"/>
      <c r="O48" s="36"/>
      <c r="P48" s="36"/>
      <c r="Q48" s="36"/>
      <c r="R48" s="36"/>
      <c r="S48" s="36"/>
      <c r="T48" s="36"/>
      <c r="U48" s="37"/>
    </row>
    <row r="49" spans="2:23" s="12" customFormat="1" ht="15" hidden="1" x14ac:dyDescent="0.25">
      <c r="B49" s="39"/>
      <c r="C49" s="39"/>
      <c r="D49" s="7"/>
      <c r="E49" s="36"/>
      <c r="F49" s="36"/>
      <c r="G49" s="57"/>
      <c r="H49" s="56"/>
      <c r="I49" s="9"/>
      <c r="J49" s="7"/>
      <c r="K49" s="9"/>
      <c r="L49" s="11"/>
      <c r="M49" s="7"/>
      <c r="N49" s="7"/>
      <c r="O49" s="36"/>
      <c r="P49" s="36"/>
      <c r="Q49" s="36"/>
      <c r="R49" s="36"/>
      <c r="S49" s="36"/>
      <c r="T49" s="36"/>
      <c r="U49" s="37"/>
    </row>
    <row r="50" spans="2:23" s="12" customFormat="1" ht="15" hidden="1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</row>
    <row r="51" spans="2:23" s="12" customFormat="1" ht="15" hidden="1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</row>
    <row r="52" spans="2:23" s="12" customFormat="1" ht="15" hidden="1" x14ac:dyDescent="0.25">
      <c r="B52" s="39"/>
      <c r="C52" s="39"/>
      <c r="D52" s="7"/>
      <c r="E52" s="36"/>
      <c r="F52" s="36"/>
      <c r="G52" s="57"/>
      <c r="H52" s="56"/>
      <c r="I52" s="9"/>
      <c r="J52" s="7"/>
      <c r="K52" s="9"/>
      <c r="L52" s="11"/>
      <c r="M52" s="7"/>
      <c r="N52" s="7"/>
      <c r="O52" s="36"/>
      <c r="P52" s="36"/>
      <c r="Q52" s="36"/>
      <c r="R52" s="36"/>
      <c r="S52" s="36"/>
      <c r="T52" s="36"/>
      <c r="U52" s="37"/>
    </row>
    <row r="53" spans="2:23" s="12" customFormat="1" ht="15" x14ac:dyDescent="0.25">
      <c r="B53" s="6"/>
      <c r="C53" s="6"/>
      <c r="D53" s="54">
        <f>SUM(D34:D52)</f>
        <v>0.64155800206799607</v>
      </c>
      <c r="E53" s="54"/>
      <c r="F53" s="36"/>
      <c r="G53"/>
      <c r="H53" s="8"/>
      <c r="I53" s="9"/>
      <c r="J53" s="10"/>
      <c r="K53" s="9"/>
      <c r="L53" s="11"/>
      <c r="M53" s="7">
        <f>SUMPRODUCT($D$34:$D$38,M34:M38)</f>
        <v>9.880011449014865E-4</v>
      </c>
      <c r="N53" s="7">
        <f>SUMPRODUCT($D$34:$D$38,N34:N38)</f>
        <v>5.1923968261757998E-3</v>
      </c>
      <c r="O53" s="36"/>
      <c r="P53" s="41">
        <f>SUM(P34:P52)</f>
        <v>4573466.8543078583</v>
      </c>
      <c r="Q53" s="41">
        <f>SUM(Q34:Q52)</f>
        <v>263521746.46021742</v>
      </c>
      <c r="R53" s="41">
        <f>SUM(R34:R52)</f>
        <v>4610231.357836701</v>
      </c>
      <c r="S53" s="41">
        <f>SUM(S34:S52)</f>
        <v>367964.38421746343</v>
      </c>
      <c r="T53" s="41">
        <f>SUM(T34:T52)</f>
        <v>36764.503528843226</v>
      </c>
      <c r="U53" s="37"/>
    </row>
    <row r="54" spans="2:23" x14ac:dyDescent="0.2">
      <c r="B54" s="13" t="s">
        <v>22</v>
      </c>
      <c r="C54" s="13"/>
      <c r="D54" s="14">
        <f>R54/R55</f>
        <v>2.7831922186614077E-2</v>
      </c>
      <c r="E54" s="14"/>
      <c r="F54" s="15"/>
      <c r="G54" s="16"/>
      <c r="H54" s="17"/>
      <c r="I54" s="18"/>
      <c r="J54" s="18"/>
      <c r="K54" s="18"/>
      <c r="L54" s="18"/>
      <c r="M54" s="19"/>
      <c r="N54" s="19"/>
      <c r="O54" s="15"/>
      <c r="P54" s="15"/>
      <c r="Q54" s="15">
        <f>R54*Data!G2/Data!F2</f>
        <v>11432040</v>
      </c>
      <c r="R54" s="20">
        <v>200000</v>
      </c>
      <c r="S54" s="21"/>
      <c r="T54" s="22"/>
      <c r="U54" s="18"/>
      <c r="V54" s="18"/>
      <c r="W54" s="18"/>
    </row>
    <row r="55" spans="2:23" ht="13.5" customHeight="1" thickBot="1" x14ac:dyDescent="0.25">
      <c r="B55" s="24"/>
      <c r="C55" s="24"/>
      <c r="D55" s="25">
        <f>D32+D53+D54</f>
        <v>1</v>
      </c>
      <c r="E55" s="25"/>
      <c r="F55" s="24"/>
      <c r="G55" s="24"/>
      <c r="H55" s="24"/>
      <c r="I55" s="26"/>
      <c r="J55" s="27"/>
      <c r="K55" s="26"/>
      <c r="L55" s="26"/>
      <c r="M55" s="28">
        <f>M32+M53</f>
        <v>1.0059108484589418E-2</v>
      </c>
      <c r="N55" s="28">
        <f>N32+N53</f>
        <v>1.1216423374864039E-2</v>
      </c>
      <c r="O55" s="29">
        <f>SUM(O9:O54)</f>
        <v>396016539.17080003</v>
      </c>
      <c r="P55" s="29">
        <f>P32+P53+P54</f>
        <v>6918127.1800818825</v>
      </c>
      <c r="Q55" s="29">
        <f>Q32+Q53+Q54</f>
        <v>410752801.16650754</v>
      </c>
      <c r="R55" s="29">
        <f>R32+R53+R54</f>
        <v>7185993.0715166759</v>
      </c>
      <c r="S55" s="29">
        <f>S32+S53+S54</f>
        <v>3304221.9957075887</v>
      </c>
      <c r="T55" s="29">
        <f>T32+T53+T54</f>
        <v>67865.891434793986</v>
      </c>
      <c r="U55" s="28">
        <f>SUMPRODUCT($D$9:$D$52,U9:U52)/100</f>
        <v>5.8847164910310459E-2</v>
      </c>
      <c r="V55" s="28"/>
      <c r="W55" s="28"/>
    </row>
    <row r="56" spans="2:23" ht="13.5" customHeight="1" x14ac:dyDescent="0.2">
      <c r="B56" s="30"/>
      <c r="C56" s="30"/>
      <c r="D56" s="31"/>
      <c r="E56" s="31"/>
      <c r="F56" s="30"/>
      <c r="G56" s="30"/>
      <c r="H56" s="30"/>
      <c r="P56" s="32"/>
      <c r="Q56" s="33"/>
      <c r="R56" s="34"/>
      <c r="S56" s="35"/>
      <c r="T56" s="35"/>
      <c r="U56" s="35"/>
      <c r="V56" s="35"/>
      <c r="W56" s="35"/>
    </row>
  </sheetData>
  <conditionalFormatting sqref="J31:J32 J53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3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3:N53 M31:N33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3:N53 M31:N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3:J55 J31:J3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3:M55 M31:M3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3:N55 N31:N3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3:U54 U31:U3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3:N55 M7:N7 M31:N3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5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1:U52 U39:U4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1:N52 M39:N4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1:N52 M39:N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1:M52 M39:M4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1:N52 N39:N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1:U52 U39:U4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1:N5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18 U24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18 M24:N2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18 M24:N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18 M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18 N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18 U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18 M24:N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18 J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18 J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3:U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3:N5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3:N5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3:M5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3:N5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3:U5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3:N5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V54:W5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V55:W5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V55:W5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V55:W5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34:U38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3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3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M34:M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{5897E286-3993-40D0-AF00-964107CCC553}</x14:id>
        </ext>
      </extLst>
    </cfRule>
  </conditionalFormatting>
  <conditionalFormatting sqref="M34:M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{5BDD0AA4-6DE9-4ADD-BEB7-675899B052FD}</x14:id>
        </ext>
      </extLst>
    </cfRule>
  </conditionalFormatting>
  <conditionalFormatting sqref="N34:N3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3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conditionalFormatting sqref="N34:N3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{97590315-91AF-4DC4-A5C5-489B8F434FA1}</x14:id>
        </ext>
      </extLst>
    </cfRule>
  </conditionalFormatting>
  <conditionalFormatting sqref="N34:N3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{B4C6371D-DF78-4395-95BB-08F7695351B7}</x14:id>
        </ext>
      </extLst>
    </cfRule>
  </conditionalFormatting>
  <conditionalFormatting sqref="U19:U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9:U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9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9:N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9:N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9:M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9:N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9:U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9:N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9:J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9:J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J53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U53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J53:J55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M53:M55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N53:N55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U53:U54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M53:N55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M51:M52 M39:M42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N51:N52 N39:N42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M14:M18 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 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M43:M50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N43:N50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V54:W54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897E286-3993-40D0-AF00-964107CC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BDD0AA4-6DE9-4ADD-BEB7-675899B05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97590315-91AF-4DC4-A5C5-489B8F434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B4C6371D-DF78-4395-95BB-08F769535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K53 K32:K33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K51:K52 K34:K42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K43:K50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K19:K23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" sqref="G2"/>
    </sheetView>
  </sheetViews>
  <sheetFormatPr defaultRowHeight="15" x14ac:dyDescent="0.25"/>
  <cols>
    <col min="1" max="1" width="19.42578125" customWidth="1"/>
    <col min="6" max="6" width="9.28515625" bestFit="1" customWidth="1"/>
    <col min="7" max="7" width="11.140625" bestFit="1" customWidth="1"/>
    <col min="15" max="15" width="31.42578125" customWidth="1"/>
    <col min="16" max="16" width="35.85546875" customWidth="1"/>
  </cols>
  <sheetData>
    <row r="1" spans="1:17" x14ac:dyDescent="0.25">
      <c r="A1" t="s">
        <v>4680</v>
      </c>
      <c r="B1" t="s">
        <v>5101</v>
      </c>
      <c r="C1" t="s">
        <v>4681</v>
      </c>
      <c r="D1" t="s">
        <v>4682</v>
      </c>
      <c r="E1" t="s">
        <v>4683</v>
      </c>
      <c r="F1" t="s">
        <v>4684</v>
      </c>
      <c r="G1" t="s">
        <v>4685</v>
      </c>
      <c r="H1" t="s">
        <v>4686</v>
      </c>
      <c r="I1" t="s">
        <v>4687</v>
      </c>
      <c r="J1" t="s">
        <v>4688</v>
      </c>
      <c r="K1" t="s">
        <v>4689</v>
      </c>
      <c r="L1" t="s">
        <v>4690</v>
      </c>
      <c r="M1" t="s">
        <v>4691</v>
      </c>
      <c r="N1" t="s">
        <v>4692</v>
      </c>
      <c r="O1" t="s">
        <v>4693</v>
      </c>
      <c r="P1" t="s">
        <v>4694</v>
      </c>
      <c r="Q1" t="s">
        <v>4695</v>
      </c>
    </row>
    <row r="2" spans="1:17" x14ac:dyDescent="0.25">
      <c r="A2" t="s">
        <v>4665</v>
      </c>
      <c r="B2" t="s">
        <v>4666</v>
      </c>
      <c r="C2">
        <v>3.8700000386999998</v>
      </c>
      <c r="D2">
        <v>3.8288056550490075</v>
      </c>
      <c r="E2">
        <v>35950</v>
      </c>
      <c r="F2" s="36">
        <v>139126.50139126502</v>
      </c>
      <c r="G2" s="36">
        <v>7952498.6448249863</v>
      </c>
      <c r="H2">
        <v>137645.56329901182</v>
      </c>
      <c r="I2">
        <v>7803963.1322999997</v>
      </c>
      <c r="J2" t="s">
        <v>5102</v>
      </c>
      <c r="K2" t="s">
        <v>15</v>
      </c>
      <c r="L2">
        <v>4.5789475440979004</v>
      </c>
      <c r="M2">
        <v>5.315333366394043</v>
      </c>
      <c r="N2">
        <v>0</v>
      </c>
      <c r="O2">
        <v>5.9431524547803622</v>
      </c>
      <c r="P2" t="s">
        <v>4701</v>
      </c>
      <c r="Q2" t="s">
        <v>4702</v>
      </c>
    </row>
    <row r="3" spans="1:17" x14ac:dyDescent="0.25">
      <c r="A3" t="s">
        <v>5106</v>
      </c>
      <c r="B3" t="s">
        <v>48</v>
      </c>
      <c r="C3">
        <v>11.700000116999998</v>
      </c>
      <c r="D3">
        <v>12.318525954929372</v>
      </c>
      <c r="E3">
        <v>10950</v>
      </c>
      <c r="F3" s="36">
        <v>128115.00128114998</v>
      </c>
      <c r="G3" s="36">
        <v>7323079.0962307891</v>
      </c>
      <c r="H3">
        <v>134887.8592064766</v>
      </c>
      <c r="I3">
        <v>7646222.7825000007</v>
      </c>
      <c r="J3" t="s">
        <v>5102</v>
      </c>
      <c r="K3" t="s">
        <v>15</v>
      </c>
      <c r="L3">
        <v>4</v>
      </c>
      <c r="M3">
        <v>15.971428871154785</v>
      </c>
      <c r="N3">
        <v>0</v>
      </c>
      <c r="O3">
        <v>9.9145296292427272</v>
      </c>
      <c r="P3" t="s">
        <v>5107</v>
      </c>
    </row>
    <row r="4" spans="1:17" x14ac:dyDescent="0.25">
      <c r="A4" t="s">
        <v>4664</v>
      </c>
      <c r="B4" t="s">
        <v>57</v>
      </c>
      <c r="C4">
        <v>28.470000284699996</v>
      </c>
      <c r="D4">
        <v>22.337144347987682</v>
      </c>
      <c r="E4">
        <v>4000</v>
      </c>
      <c r="F4" s="36">
        <v>113880.00113879998</v>
      </c>
      <c r="G4" s="36">
        <v>6509403.6410940355</v>
      </c>
      <c r="H4">
        <v>89348.577391950777</v>
      </c>
      <c r="I4">
        <v>5000000</v>
      </c>
      <c r="J4" t="s">
        <v>5102</v>
      </c>
      <c r="K4" t="s">
        <v>15</v>
      </c>
      <c r="L4">
        <v>4.0555553436279297</v>
      </c>
      <c r="M4">
        <v>27.668838500976563</v>
      </c>
      <c r="N4">
        <v>0</v>
      </c>
      <c r="O4">
        <v>0</v>
      </c>
    </row>
    <row r="5" spans="1:17" x14ac:dyDescent="0.25">
      <c r="A5" t="s">
        <v>4668</v>
      </c>
      <c r="B5" t="s">
        <v>4669</v>
      </c>
      <c r="C5">
        <v>9.6500000964999995</v>
      </c>
      <c r="D5">
        <v>10.107925842843956</v>
      </c>
      <c r="E5">
        <v>8800</v>
      </c>
      <c r="F5" s="36">
        <v>84920.000849200005</v>
      </c>
      <c r="G5" s="36">
        <v>4854044.2325404426</v>
      </c>
      <c r="H5">
        <v>88949.747417026796</v>
      </c>
      <c r="I5">
        <v>5020048</v>
      </c>
      <c r="J5" t="s">
        <v>5102</v>
      </c>
      <c r="K5" t="s">
        <v>15</v>
      </c>
      <c r="L5">
        <v>4.1111111640930176</v>
      </c>
      <c r="M5">
        <v>12.428571701049805</v>
      </c>
      <c r="N5">
        <v>0</v>
      </c>
      <c r="O5">
        <v>1.5931503142717587</v>
      </c>
      <c r="P5" t="s">
        <v>5103</v>
      </c>
    </row>
    <row r="6" spans="1:17" x14ac:dyDescent="0.25">
      <c r="A6" t="s">
        <v>5108</v>
      </c>
      <c r="B6" t="s">
        <v>399</v>
      </c>
      <c r="C6">
        <v>386.80000386799998</v>
      </c>
      <c r="D6">
        <v>383.37481709664996</v>
      </c>
      <c r="E6">
        <v>129850</v>
      </c>
      <c r="F6" s="36">
        <v>878687.97698853037</v>
      </c>
      <c r="G6" s="36">
        <v>50225980.502259798</v>
      </c>
      <c r="H6">
        <v>878023.43165328971</v>
      </c>
      <c r="I6">
        <v>49781220</v>
      </c>
      <c r="J6" t="s">
        <v>5102</v>
      </c>
      <c r="K6" t="s">
        <v>4667</v>
      </c>
      <c r="L6">
        <v>3.4000000953674316</v>
      </c>
      <c r="M6">
        <v>412.79998779296875</v>
      </c>
      <c r="N6">
        <v>0</v>
      </c>
      <c r="O6">
        <v>0</v>
      </c>
      <c r="P6" t="s">
        <v>4703</v>
      </c>
      <c r="Q6" t="s">
        <v>4704</v>
      </c>
    </row>
    <row r="7" spans="1:17" x14ac:dyDescent="0.25">
      <c r="A7" t="s">
        <v>5109</v>
      </c>
      <c r="B7" t="s">
        <v>235</v>
      </c>
      <c r="C7">
        <v>201.20000201199997</v>
      </c>
      <c r="D7">
        <v>196.90520038310098</v>
      </c>
      <c r="E7">
        <v>46985</v>
      </c>
      <c r="F7" s="36">
        <v>165383.99261258388</v>
      </c>
      <c r="G7" s="36">
        <v>9453382.0945338178</v>
      </c>
      <c r="H7">
        <v>163227.89665221993</v>
      </c>
      <c r="I7">
        <v>9251590.8399999999</v>
      </c>
      <c r="J7" t="s">
        <v>5102</v>
      </c>
      <c r="K7" t="s">
        <v>4667</v>
      </c>
      <c r="L7">
        <v>4.0909090042114258</v>
      </c>
      <c r="M7">
        <v>218.6844482421875</v>
      </c>
      <c r="N7">
        <v>0</v>
      </c>
      <c r="O7">
        <v>11.474024359930398</v>
      </c>
      <c r="P7" t="s">
        <v>5110</v>
      </c>
      <c r="Q7" t="s">
        <v>5111</v>
      </c>
    </row>
    <row r="8" spans="1:17" x14ac:dyDescent="0.25">
      <c r="A8" t="s">
        <v>5112</v>
      </c>
      <c r="B8" t="s">
        <v>375</v>
      </c>
      <c r="C8">
        <v>917.50000917499995</v>
      </c>
      <c r="D8">
        <v>893.47466666666662</v>
      </c>
      <c r="E8">
        <v>9750</v>
      </c>
      <c r="F8" s="36">
        <v>156500.94102988177</v>
      </c>
      <c r="G8" s="36">
        <v>8945625.089456249</v>
      </c>
      <c r="H8">
        <v>155364.05505524145</v>
      </c>
      <c r="I8">
        <v>8711378</v>
      </c>
      <c r="J8" t="s">
        <v>5102</v>
      </c>
      <c r="K8" t="s">
        <v>4667</v>
      </c>
      <c r="L8">
        <v>5</v>
      </c>
      <c r="M8">
        <v>1150</v>
      </c>
      <c r="N8">
        <v>0</v>
      </c>
      <c r="O8">
        <v>8.5013623978201647</v>
      </c>
      <c r="P8" t="s">
        <v>5113</v>
      </c>
      <c r="Q8" t="s">
        <v>4708</v>
      </c>
    </row>
    <row r="9" spans="1:17" x14ac:dyDescent="0.25">
      <c r="A9" t="s">
        <v>5114</v>
      </c>
      <c r="B9" t="s">
        <v>108</v>
      </c>
      <c r="C9">
        <v>89.560000895599998</v>
      </c>
      <c r="D9">
        <v>87.734329545454543</v>
      </c>
      <c r="E9">
        <v>88000</v>
      </c>
      <c r="F9" s="36">
        <v>137880.55463089352</v>
      </c>
      <c r="G9" s="36">
        <v>7881280.0788127994</v>
      </c>
      <c r="H9">
        <v>135439.93271671049</v>
      </c>
      <c r="I9">
        <v>7720621</v>
      </c>
      <c r="J9" t="s">
        <v>5102</v>
      </c>
      <c r="K9" t="s">
        <v>4667</v>
      </c>
      <c r="L9">
        <v>4.125</v>
      </c>
      <c r="M9">
        <v>103.30160522460937</v>
      </c>
      <c r="N9">
        <v>0</v>
      </c>
      <c r="O9">
        <v>9.9709691826708351</v>
      </c>
      <c r="P9" t="s">
        <v>4705</v>
      </c>
      <c r="Q9" t="s">
        <v>4706</v>
      </c>
    </row>
    <row r="10" spans="1:17" x14ac:dyDescent="0.25">
      <c r="A10" t="s">
        <v>5115</v>
      </c>
      <c r="B10" t="s">
        <v>36</v>
      </c>
      <c r="C10">
        <v>610.50000610500001</v>
      </c>
      <c r="D10">
        <v>598.46097763048886</v>
      </c>
      <c r="E10">
        <v>12070</v>
      </c>
      <c r="F10" s="36">
        <v>128913.73846990301</v>
      </c>
      <c r="G10" s="36">
        <v>7368735.0736873504</v>
      </c>
      <c r="H10">
        <v>127727.13034839868</v>
      </c>
      <c r="I10">
        <v>7223424.0000000009</v>
      </c>
      <c r="J10" t="s">
        <v>5102</v>
      </c>
      <c r="K10" t="s">
        <v>4667</v>
      </c>
      <c r="L10">
        <v>4.1999998092651367</v>
      </c>
      <c r="M10">
        <v>707.4000244140625</v>
      </c>
      <c r="N10">
        <v>0</v>
      </c>
      <c r="O10">
        <v>10.565110565110565</v>
      </c>
      <c r="P10" t="s">
        <v>5105</v>
      </c>
    </row>
    <row r="11" spans="1:17" x14ac:dyDescent="0.25">
      <c r="A11" t="s">
        <v>5116</v>
      </c>
      <c r="B11" t="s">
        <v>35</v>
      </c>
      <c r="C11">
        <v>7.4400000744000003</v>
      </c>
      <c r="D11">
        <v>6.0270812500000002</v>
      </c>
      <c r="E11">
        <v>800000</v>
      </c>
      <c r="F11" s="36">
        <v>104128.39807278491</v>
      </c>
      <c r="G11" s="36">
        <v>5952000.0595200006</v>
      </c>
      <c r="H11">
        <v>85050.203546633813</v>
      </c>
      <c r="I11">
        <v>4821665</v>
      </c>
      <c r="J11" t="s">
        <v>5102</v>
      </c>
      <c r="K11" t="s">
        <v>4667</v>
      </c>
      <c r="L11">
        <v>0</v>
      </c>
      <c r="M11">
        <v>0</v>
      </c>
      <c r="N11">
        <v>0</v>
      </c>
      <c r="O11">
        <v>10.489207726937753</v>
      </c>
      <c r="P11" t="s">
        <v>5117</v>
      </c>
    </row>
    <row r="12" spans="1:17" x14ac:dyDescent="0.25">
      <c r="A12" t="s">
        <v>4809</v>
      </c>
      <c r="B12" t="s">
        <v>482</v>
      </c>
      <c r="C12">
        <v>101.62000101619999</v>
      </c>
      <c r="D12">
        <v>104.84164166666669</v>
      </c>
      <c r="E12">
        <v>48000</v>
      </c>
      <c r="F12" s="36">
        <v>85334.90171093872</v>
      </c>
      <c r="G12" s="36">
        <v>4877760.0487775998</v>
      </c>
      <c r="H12">
        <v>88357.143860437645</v>
      </c>
      <c r="I12">
        <v>5032398.8000000007</v>
      </c>
      <c r="J12" t="s">
        <v>5102</v>
      </c>
      <c r="K12" t="s">
        <v>4667</v>
      </c>
      <c r="L12">
        <v>3.7999999523162842</v>
      </c>
      <c r="M12">
        <v>137.27499389648437</v>
      </c>
      <c r="N12">
        <v>0</v>
      </c>
      <c r="O12">
        <v>7.675654398740404</v>
      </c>
      <c r="P12" t="s">
        <v>5118</v>
      </c>
      <c r="Q12" t="s">
        <v>5119</v>
      </c>
    </row>
    <row r="13" spans="1:17" x14ac:dyDescent="0.25">
      <c r="A13" t="s">
        <v>5120</v>
      </c>
      <c r="B13" t="s">
        <v>37</v>
      </c>
      <c r="C13">
        <v>121.5400012154</v>
      </c>
      <c r="D13">
        <v>128.94952499999999</v>
      </c>
      <c r="E13">
        <v>40000</v>
      </c>
      <c r="F13" s="36">
        <v>85052.187511870128</v>
      </c>
      <c r="G13" s="36">
        <v>4861600.0486159995</v>
      </c>
      <c r="H13">
        <v>90453.91971352062</v>
      </c>
      <c r="I13">
        <v>5157981</v>
      </c>
      <c r="J13" t="s">
        <v>5102</v>
      </c>
      <c r="K13" t="s">
        <v>4667</v>
      </c>
      <c r="L13">
        <v>3.615384578704834</v>
      </c>
      <c r="M13">
        <v>143.60252380371094</v>
      </c>
      <c r="N13">
        <v>0</v>
      </c>
      <c r="O13">
        <v>6.6148593055784106</v>
      </c>
      <c r="P13" t="s">
        <v>4705</v>
      </c>
      <c r="Q13" t="s">
        <v>5121</v>
      </c>
    </row>
    <row r="14" spans="1:17" x14ac:dyDescent="0.25">
      <c r="A14" t="s">
        <v>5122</v>
      </c>
      <c r="B14" t="s">
        <v>378</v>
      </c>
      <c r="C14">
        <v>2818.0000281799998</v>
      </c>
      <c r="D14">
        <v>2899.8255813953488</v>
      </c>
      <c r="E14">
        <v>1720</v>
      </c>
      <c r="F14" s="36">
        <v>84796.065242416909</v>
      </c>
      <c r="G14" s="36">
        <v>4846960.0484695993</v>
      </c>
      <c r="H14">
        <v>87880.31489403687</v>
      </c>
      <c r="I14">
        <v>4987700</v>
      </c>
      <c r="J14" t="s">
        <v>5102</v>
      </c>
      <c r="K14" t="s">
        <v>4667</v>
      </c>
      <c r="L14">
        <v>4.4545454978942871</v>
      </c>
      <c r="M14">
        <v>3515.028564453125</v>
      </c>
      <c r="N14">
        <v>0</v>
      </c>
      <c r="O14">
        <v>7.0972320794889994</v>
      </c>
      <c r="P14" t="s">
        <v>5123</v>
      </c>
      <c r="Q14" t="s">
        <v>5124</v>
      </c>
    </row>
    <row r="15" spans="1:17" x14ac:dyDescent="0.25">
      <c r="A15" t="s">
        <v>5104</v>
      </c>
      <c r="B15" t="s">
        <v>634</v>
      </c>
      <c r="C15">
        <v>271.50000271499999</v>
      </c>
      <c r="D15">
        <v>269.49880000000002</v>
      </c>
      <c r="E15">
        <v>13600</v>
      </c>
      <c r="F15" s="36">
        <v>64597.395336685309</v>
      </c>
      <c r="G15" s="36">
        <v>3692400.0369239999</v>
      </c>
      <c r="H15">
        <v>64121.253599532545</v>
      </c>
      <c r="I15">
        <v>3665183.68</v>
      </c>
      <c r="J15" t="s">
        <v>5102</v>
      </c>
      <c r="K15" t="s">
        <v>4667</v>
      </c>
      <c r="L15">
        <v>4.5</v>
      </c>
      <c r="M15">
        <v>376.77935001286096</v>
      </c>
      <c r="N15">
        <v>0</v>
      </c>
      <c r="O15">
        <v>3.6243094484669944</v>
      </c>
      <c r="P15" t="s">
        <v>4709</v>
      </c>
    </row>
    <row r="16" spans="1:17" x14ac:dyDescent="0.25">
      <c r="A16" t="s">
        <v>4672</v>
      </c>
      <c r="B16" t="s">
        <v>503</v>
      </c>
      <c r="C16">
        <v>24.070000240699997</v>
      </c>
      <c r="D16">
        <v>23.729700000000001</v>
      </c>
      <c r="E16">
        <v>43800</v>
      </c>
      <c r="F16" s="36">
        <v>18444.057413071678</v>
      </c>
      <c r="G16" s="36">
        <v>1054266.0105426598</v>
      </c>
      <c r="H16">
        <v>18183.296419536669</v>
      </c>
      <c r="I16">
        <v>1039360.8600000001</v>
      </c>
      <c r="J16" t="s">
        <v>5102</v>
      </c>
      <c r="K16" t="s">
        <v>4667</v>
      </c>
      <c r="L16">
        <v>5</v>
      </c>
      <c r="M16">
        <v>0</v>
      </c>
      <c r="N16">
        <v>0</v>
      </c>
      <c r="O16">
        <v>0</v>
      </c>
      <c r="P16" t="s">
        <v>4707</v>
      </c>
    </row>
    <row r="17" spans="1:17" x14ac:dyDescent="0.25">
      <c r="A17" t="s">
        <v>4670</v>
      </c>
      <c r="B17" t="s">
        <v>4671</v>
      </c>
      <c r="C17">
        <v>152.25000152249999</v>
      </c>
      <c r="D17">
        <v>156.05965748005735</v>
      </c>
      <c r="E17">
        <v>119010</v>
      </c>
      <c r="F17" s="36">
        <v>231592.40422162064</v>
      </c>
      <c r="G17" s="36">
        <v>13237868.14378868</v>
      </c>
      <c r="H17">
        <v>235995.0447481072</v>
      </c>
      <c r="I17">
        <v>13278498.6289475</v>
      </c>
      <c r="J17" t="s">
        <v>5102</v>
      </c>
      <c r="K17" t="s">
        <v>4697</v>
      </c>
      <c r="L17">
        <v>5</v>
      </c>
      <c r="M17">
        <v>215</v>
      </c>
      <c r="N17">
        <v>0</v>
      </c>
      <c r="O17">
        <v>6.8308700285913124</v>
      </c>
      <c r="P17" t="s">
        <v>4710</v>
      </c>
    </row>
    <row r="18" spans="1:17" x14ac:dyDescent="0.25">
      <c r="A18" t="s">
        <v>4663</v>
      </c>
      <c r="B18" t="s">
        <v>51</v>
      </c>
      <c r="C18">
        <v>1025.0000102499998</v>
      </c>
      <c r="D18">
        <v>1014.5493936106103</v>
      </c>
      <c r="E18">
        <v>740</v>
      </c>
      <c r="F18" s="36">
        <v>9694.8063782416884</v>
      </c>
      <c r="G18" s="36">
        <v>554157.07154157059</v>
      </c>
      <c r="H18">
        <v>9359.0579800788437</v>
      </c>
      <c r="I18">
        <v>523738.50000000006</v>
      </c>
      <c r="J18" t="s">
        <v>5102</v>
      </c>
      <c r="K18" t="s">
        <v>4697</v>
      </c>
      <c r="L18">
        <v>3.4000000953674316</v>
      </c>
      <c r="M18">
        <v>1029.4375</v>
      </c>
      <c r="N18">
        <v>0</v>
      </c>
      <c r="O18">
        <v>5.2678714728936917</v>
      </c>
      <c r="P18" t="s">
        <v>4711</v>
      </c>
      <c r="Q18" t="s">
        <v>4712</v>
      </c>
    </row>
    <row r="19" spans="1:17" x14ac:dyDescent="0.25">
      <c r="A19" t="s">
        <v>5125</v>
      </c>
      <c r="B19" t="s">
        <v>38</v>
      </c>
      <c r="C19">
        <v>177.75000177749999</v>
      </c>
      <c r="D19">
        <v>175.07652173913044</v>
      </c>
      <c r="E19">
        <v>1150000</v>
      </c>
      <c r="F19" s="36">
        <v>2044125.0204412499</v>
      </c>
      <c r="G19" s="36">
        <v>116842594.99342594</v>
      </c>
      <c r="H19">
        <v>2013380</v>
      </c>
      <c r="I19">
        <v>118152971.47599998</v>
      </c>
      <c r="J19" t="s">
        <v>5126</v>
      </c>
      <c r="K19" t="s">
        <v>15</v>
      </c>
      <c r="L19">
        <v>0</v>
      </c>
      <c r="M19">
        <v>5.5250000000000004</v>
      </c>
      <c r="N19">
        <v>7.2285878416895297</v>
      </c>
      <c r="O19">
        <v>3.9611146000000002</v>
      </c>
      <c r="P19" t="s">
        <v>4698</v>
      </c>
    </row>
    <row r="20" spans="1:17" x14ac:dyDescent="0.25">
      <c r="A20" t="s">
        <v>5127</v>
      </c>
      <c r="B20" t="s">
        <v>5128</v>
      </c>
      <c r="C20">
        <v>100</v>
      </c>
      <c r="D20">
        <v>95</v>
      </c>
      <c r="E20">
        <v>150000</v>
      </c>
      <c r="F20" s="36">
        <v>150000.00000000003</v>
      </c>
      <c r="G20" s="36">
        <v>8574030.0000000019</v>
      </c>
      <c r="H20">
        <v>142500</v>
      </c>
      <c r="I20">
        <v>8054926.5</v>
      </c>
      <c r="J20" t="s">
        <v>5126</v>
      </c>
      <c r="K20" t="s">
        <v>15</v>
      </c>
      <c r="L20">
        <v>0</v>
      </c>
      <c r="M20">
        <v>0</v>
      </c>
      <c r="N20">
        <v>0</v>
      </c>
      <c r="O20">
        <v>0</v>
      </c>
      <c r="P20" t="s">
        <v>5129</v>
      </c>
    </row>
    <row r="21" spans="1:17" x14ac:dyDescent="0.25">
      <c r="A21" t="s">
        <v>4826</v>
      </c>
      <c r="B21" t="s">
        <v>31</v>
      </c>
      <c r="C21">
        <v>104.1500010415</v>
      </c>
      <c r="D21">
        <v>103.45830119999999</v>
      </c>
      <c r="E21">
        <v>25000</v>
      </c>
      <c r="F21" s="36">
        <v>455518.00484209292</v>
      </c>
      <c r="G21" s="36">
        <v>26037500.260375001</v>
      </c>
      <c r="H21">
        <v>454271.35013804876</v>
      </c>
      <c r="I21">
        <v>25864575.299999997</v>
      </c>
      <c r="J21" t="s">
        <v>5126</v>
      </c>
      <c r="K21" t="s">
        <v>4696</v>
      </c>
      <c r="L21">
        <v>0</v>
      </c>
      <c r="M21">
        <v>3.492</v>
      </c>
      <c r="N21">
        <v>0.20376948425799851</v>
      </c>
      <c r="O21">
        <v>9.27</v>
      </c>
      <c r="P21" t="s">
        <v>5130</v>
      </c>
    </row>
    <row r="22" spans="1:17" x14ac:dyDescent="0.25">
      <c r="A22" t="s">
        <v>4808</v>
      </c>
      <c r="B22" t="s">
        <v>4660</v>
      </c>
      <c r="C22">
        <v>101.7500010175</v>
      </c>
      <c r="D22">
        <v>100</v>
      </c>
      <c r="E22">
        <v>50000</v>
      </c>
      <c r="F22" s="36">
        <v>890042.38104047917</v>
      </c>
      <c r="G22" s="36">
        <v>50875000.508749999</v>
      </c>
      <c r="H22">
        <v>886872.33827439474</v>
      </c>
      <c r="I22">
        <v>50000000</v>
      </c>
      <c r="J22" t="s">
        <v>5126</v>
      </c>
      <c r="K22" t="s">
        <v>4667</v>
      </c>
      <c r="L22">
        <v>0</v>
      </c>
      <c r="M22">
        <v>1.4319999999999999</v>
      </c>
      <c r="N22">
        <v>2.9046339467610651</v>
      </c>
      <c r="O22">
        <v>9.11</v>
      </c>
      <c r="P22" t="s">
        <v>4699</v>
      </c>
    </row>
    <row r="23" spans="1:17" x14ac:dyDescent="0.25">
      <c r="A23" t="s">
        <v>4828</v>
      </c>
      <c r="B23" t="s">
        <v>33</v>
      </c>
      <c r="C23">
        <v>99.470000994699987</v>
      </c>
      <c r="D23">
        <v>98.867944494382002</v>
      </c>
      <c r="E23">
        <v>44500</v>
      </c>
      <c r="F23" s="36">
        <v>774387.60610777244</v>
      </c>
      <c r="G23" s="36">
        <v>44264150.442641497</v>
      </c>
      <c r="H23">
        <v>777532.49382016982</v>
      </c>
      <c r="I23">
        <v>43996235.29999999</v>
      </c>
      <c r="J23" t="s">
        <v>5126</v>
      </c>
      <c r="K23" t="s">
        <v>4667</v>
      </c>
      <c r="L23">
        <v>0</v>
      </c>
      <c r="M23">
        <v>1.4590000000000001</v>
      </c>
      <c r="N23">
        <v>0.7847127715139941</v>
      </c>
      <c r="O23">
        <v>8.2799999999999994</v>
      </c>
      <c r="P23" t="s">
        <v>5131</v>
      </c>
    </row>
    <row r="24" spans="1:17" x14ac:dyDescent="0.25">
      <c r="A24" t="s">
        <v>38</v>
      </c>
      <c r="B24" t="s">
        <v>996</v>
      </c>
      <c r="C24">
        <v>103.30000103299999</v>
      </c>
      <c r="D24">
        <v>103.13</v>
      </c>
      <c r="E24">
        <v>25000</v>
      </c>
      <c r="F24" s="36">
        <v>451800.38310310314</v>
      </c>
      <c r="G24" s="36">
        <v>25825000.258249998</v>
      </c>
      <c r="H24">
        <v>457315.72123119165</v>
      </c>
      <c r="I24">
        <v>25782500</v>
      </c>
      <c r="J24" t="s">
        <v>5126</v>
      </c>
      <c r="K24" t="s">
        <v>4667</v>
      </c>
      <c r="L24">
        <v>0</v>
      </c>
      <c r="M24">
        <v>5.7000000000000002E-2</v>
      </c>
      <c r="N24">
        <v>0.48519257334769894</v>
      </c>
      <c r="O24">
        <v>9.7100000000000009</v>
      </c>
      <c r="P24" t="s">
        <v>5132</v>
      </c>
    </row>
    <row r="25" spans="1:17" x14ac:dyDescent="0.25">
      <c r="A25" t="s">
        <v>5128</v>
      </c>
      <c r="B25" t="s">
        <v>948</v>
      </c>
      <c r="C25">
        <v>102.2900010229</v>
      </c>
      <c r="D25">
        <v>101.6</v>
      </c>
      <c r="E25">
        <v>25000</v>
      </c>
      <c r="F25" s="36">
        <v>447382.97374265664</v>
      </c>
      <c r="G25" s="36">
        <v>25572500.255725004</v>
      </c>
      <c r="H25">
        <v>445431.95500786521</v>
      </c>
      <c r="I25">
        <v>25400000</v>
      </c>
      <c r="J25" t="s">
        <v>5126</v>
      </c>
      <c r="K25" t="s">
        <v>4667</v>
      </c>
      <c r="L25">
        <v>0</v>
      </c>
      <c r="M25">
        <v>1.0489999999999999</v>
      </c>
      <c r="N25">
        <v>0.38754188555079067</v>
      </c>
      <c r="O25">
        <v>9.2899999999999991</v>
      </c>
      <c r="P25" t="s">
        <v>4700</v>
      </c>
    </row>
    <row r="26" spans="1:17" x14ac:dyDescent="0.25">
      <c r="A26" t="s">
        <v>31</v>
      </c>
      <c r="B26" t="s">
        <v>34</v>
      </c>
      <c r="C26">
        <v>102.01000102009999</v>
      </c>
      <c r="D26">
        <v>100.56</v>
      </c>
      <c r="E26">
        <v>25000</v>
      </c>
      <c r="F26" s="36">
        <v>446158.34540510701</v>
      </c>
      <c r="G26" s="36">
        <v>25502500.255024999</v>
      </c>
      <c r="H26">
        <v>441410.67207524495</v>
      </c>
      <c r="I26">
        <v>25140000</v>
      </c>
      <c r="J26" t="s">
        <v>5126</v>
      </c>
      <c r="K26" t="s">
        <v>4667</v>
      </c>
      <c r="L26">
        <v>0</v>
      </c>
      <c r="M26">
        <v>3.1589999999999998</v>
      </c>
      <c r="N26">
        <v>2.3426088900231807</v>
      </c>
      <c r="O26">
        <v>9.1999999999999993</v>
      </c>
      <c r="P26" t="s">
        <v>5133</v>
      </c>
      <c r="Q26" t="s">
        <v>5134</v>
      </c>
    </row>
    <row r="27" spans="1:17" x14ac:dyDescent="0.25">
      <c r="A27" t="s">
        <v>4660</v>
      </c>
      <c r="B27" t="s">
        <v>30</v>
      </c>
      <c r="C27">
        <v>101.0400010104</v>
      </c>
      <c r="D27">
        <v>101.11</v>
      </c>
      <c r="E27">
        <v>25000</v>
      </c>
      <c r="F27" s="36">
        <v>441915.88295002468</v>
      </c>
      <c r="G27" s="36">
        <v>25260000.252600003</v>
      </c>
      <c r="H27">
        <v>443283.71034296503</v>
      </c>
      <c r="I27">
        <v>25277500</v>
      </c>
      <c r="J27" t="s">
        <v>5126</v>
      </c>
      <c r="K27" t="s">
        <v>4667</v>
      </c>
      <c r="L27">
        <v>0</v>
      </c>
      <c r="M27">
        <v>4.47</v>
      </c>
      <c r="N27">
        <v>9.1757757171232676E-2</v>
      </c>
      <c r="O27">
        <v>8.81</v>
      </c>
      <c r="P27" t="s">
        <v>5135</v>
      </c>
    </row>
    <row r="28" spans="1:17" x14ac:dyDescent="0.25">
      <c r="A28" t="s">
        <v>33</v>
      </c>
      <c r="B28" t="s">
        <v>29</v>
      </c>
      <c r="C28">
        <v>99.700000997000004</v>
      </c>
      <c r="D28">
        <v>99.595423639999979</v>
      </c>
      <c r="E28">
        <v>25000</v>
      </c>
      <c r="F28" s="36">
        <v>436055.16162032326</v>
      </c>
      <c r="G28" s="36">
        <v>24925000.249250002</v>
      </c>
      <c r="H28">
        <v>437309.97938050178</v>
      </c>
      <c r="I28">
        <v>24898855.909999996</v>
      </c>
      <c r="J28" t="s">
        <v>5126</v>
      </c>
      <c r="K28" t="s">
        <v>4667</v>
      </c>
      <c r="L28">
        <v>0</v>
      </c>
      <c r="M28">
        <v>3.3050000000000002</v>
      </c>
      <c r="N28">
        <v>4.656036927132149E-2</v>
      </c>
      <c r="O28">
        <v>12.53</v>
      </c>
      <c r="P28" t="s">
        <v>5136</v>
      </c>
    </row>
    <row r="29" spans="1:17" x14ac:dyDescent="0.25">
      <c r="A29" t="s">
        <v>5137</v>
      </c>
      <c r="B29" t="s">
        <v>32</v>
      </c>
      <c r="C29">
        <v>98.570010985700094</v>
      </c>
      <c r="D29">
        <v>97.789000000000001</v>
      </c>
      <c r="E29">
        <v>25000</v>
      </c>
      <c r="F29" s="36">
        <v>431112.95528051024</v>
      </c>
      <c r="G29" s="36">
        <v>24642502.746425021</v>
      </c>
      <c r="H29">
        <v>428723.87252228474</v>
      </c>
      <c r="I29">
        <v>24447250</v>
      </c>
      <c r="J29" t="s">
        <v>5126</v>
      </c>
      <c r="K29" t="s">
        <v>4667</v>
      </c>
      <c r="L29">
        <v>0</v>
      </c>
      <c r="M29">
        <v>1.9370000000000001</v>
      </c>
      <c r="N29">
        <v>0.66983012403781783</v>
      </c>
      <c r="O29">
        <v>8.4600000000000009</v>
      </c>
      <c r="P29" t="s">
        <v>5130</v>
      </c>
    </row>
    <row r="30" spans="1:17" x14ac:dyDescent="0.25">
      <c r="A30" t="s">
        <v>4820</v>
      </c>
      <c r="B30" t="s">
        <v>1013</v>
      </c>
      <c r="C30">
        <v>98.100000980999994</v>
      </c>
      <c r="D30">
        <v>96.8</v>
      </c>
      <c r="E30">
        <v>25000</v>
      </c>
      <c r="F30" s="36">
        <v>429057.28540575429</v>
      </c>
      <c r="G30" s="36">
        <v>24525000.245249998</v>
      </c>
      <c r="H30">
        <v>429246.2117248071</v>
      </c>
      <c r="I30">
        <v>24200000</v>
      </c>
      <c r="J30" t="s">
        <v>5126</v>
      </c>
      <c r="K30" t="s">
        <v>4667</v>
      </c>
      <c r="L30">
        <v>0</v>
      </c>
      <c r="M30">
        <v>1.466</v>
      </c>
      <c r="N30">
        <v>0.69179870501410823</v>
      </c>
      <c r="O30">
        <v>8.3800000000000008</v>
      </c>
      <c r="P30" t="s">
        <v>5138</v>
      </c>
    </row>
    <row r="31" spans="1:17" x14ac:dyDescent="0.25">
      <c r="A31" t="s">
        <v>4827</v>
      </c>
      <c r="B31" t="s">
        <v>973</v>
      </c>
      <c r="C31">
        <v>97.390000973900001</v>
      </c>
      <c r="D31">
        <v>97</v>
      </c>
      <c r="E31">
        <v>25000</v>
      </c>
      <c r="F31" s="36">
        <v>425951.97783553932</v>
      </c>
      <c r="G31" s="36">
        <v>24347500.243474998</v>
      </c>
      <c r="H31">
        <v>430133.08406308142</v>
      </c>
      <c r="I31">
        <v>24250000</v>
      </c>
      <c r="J31" t="s">
        <v>5126</v>
      </c>
      <c r="K31" t="s">
        <v>4667</v>
      </c>
      <c r="L31">
        <v>0</v>
      </c>
      <c r="M31">
        <v>0.16500000000000001</v>
      </c>
      <c r="N31">
        <v>1.8738054775838235</v>
      </c>
      <c r="O31">
        <v>8.2799999999999994</v>
      </c>
      <c r="P31" t="s">
        <v>5139</v>
      </c>
    </row>
    <row r="32" spans="1:17" x14ac:dyDescent="0.25">
      <c r="A32" t="s">
        <v>5140</v>
      </c>
      <c r="B32" t="s">
        <v>983</v>
      </c>
      <c r="C32">
        <v>98.850009999999997</v>
      </c>
      <c r="D32">
        <v>98.49</v>
      </c>
      <c r="E32">
        <v>5455</v>
      </c>
      <c r="F32" s="36">
        <v>94336.059802100048</v>
      </c>
      <c r="G32" s="36">
        <v>5392268.0454999991</v>
      </c>
      <c r="H32">
        <v>95495.926968039625</v>
      </c>
      <c r="I32">
        <v>5372629.5</v>
      </c>
      <c r="J32" t="s">
        <v>5126</v>
      </c>
      <c r="K32" t="s">
        <v>4667</v>
      </c>
      <c r="L32">
        <v>0</v>
      </c>
      <c r="M32">
        <v>2.11</v>
      </c>
      <c r="N32">
        <v>9.1910048049363997</v>
      </c>
      <c r="O32">
        <v>7.96</v>
      </c>
      <c r="P32" t="s">
        <v>5141</v>
      </c>
    </row>
    <row r="33" spans="1:17" x14ac:dyDescent="0.25">
      <c r="A33" t="s">
        <v>5142</v>
      </c>
      <c r="B33" t="s">
        <v>5143</v>
      </c>
      <c r="D33">
        <v>100</v>
      </c>
      <c r="E33">
        <v>8500</v>
      </c>
      <c r="F33" s="36">
        <v>0</v>
      </c>
      <c r="G33" s="36">
        <v>0</v>
      </c>
      <c r="H33">
        <v>149199.50079602323</v>
      </c>
      <c r="I33">
        <v>8500000</v>
      </c>
      <c r="J33" t="s">
        <v>5126</v>
      </c>
      <c r="K33" t="s">
        <v>4667</v>
      </c>
      <c r="P33" t="s">
        <v>5144</v>
      </c>
      <c r="Q33" t="s">
        <v>5144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4660</v>
      </c>
      <c r="B1555" t="s">
        <v>4662</v>
      </c>
      <c r="C1555" t="s">
        <v>4662</v>
      </c>
      <c r="D1555" t="s">
        <v>4662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topLeftCell="A125" workbookViewId="0">
      <selection activeCell="C147" sqref="C147"/>
    </sheetView>
  </sheetViews>
  <sheetFormatPr defaultRowHeight="15" x14ac:dyDescent="0.25"/>
  <cols>
    <col min="1" max="1" width="25.28515625" customWidth="1"/>
    <col min="2" max="2" width="25.140625" customWidth="1"/>
    <col min="3" max="3" width="43.85546875" customWidth="1"/>
  </cols>
  <sheetData>
    <row r="1" spans="1:3" x14ac:dyDescent="0.25">
      <c r="A1" t="s">
        <v>4867</v>
      </c>
      <c r="B1" t="s">
        <v>4713</v>
      </c>
      <c r="C1" t="s">
        <v>4868</v>
      </c>
    </row>
    <row r="2" spans="1:3" x14ac:dyDescent="0.25">
      <c r="A2" t="s">
        <v>4869</v>
      </c>
      <c r="B2" t="s">
        <v>4714</v>
      </c>
      <c r="C2" t="s">
        <v>4870</v>
      </c>
    </row>
    <row r="3" spans="1:3" x14ac:dyDescent="0.25">
      <c r="A3" t="s">
        <v>4871</v>
      </c>
      <c r="B3" t="s">
        <v>4715</v>
      </c>
      <c r="C3" t="s">
        <v>4872</v>
      </c>
    </row>
    <row r="4" spans="1:3" x14ac:dyDescent="0.25">
      <c r="A4" t="s">
        <v>153</v>
      </c>
      <c r="B4" t="s">
        <v>4716</v>
      </c>
      <c r="C4" t="s">
        <v>4873</v>
      </c>
    </row>
    <row r="5" spans="1:3" x14ac:dyDescent="0.25">
      <c r="A5" t="s">
        <v>4874</v>
      </c>
      <c r="B5" t="s">
        <v>4717</v>
      </c>
      <c r="C5" t="s">
        <v>4875</v>
      </c>
    </row>
    <row r="6" spans="1:3" x14ac:dyDescent="0.25">
      <c r="A6" t="s">
        <v>1068</v>
      </c>
      <c r="B6" t="s">
        <v>4718</v>
      </c>
      <c r="C6" t="s">
        <v>4876</v>
      </c>
    </row>
    <row r="7" spans="1:3" x14ac:dyDescent="0.25">
      <c r="A7" t="s">
        <v>51</v>
      </c>
      <c r="B7" t="s">
        <v>4663</v>
      </c>
      <c r="C7" t="s">
        <v>4877</v>
      </c>
    </row>
    <row r="8" spans="1:3" x14ac:dyDescent="0.25">
      <c r="A8" t="s">
        <v>4878</v>
      </c>
      <c r="B8" t="s">
        <v>4719</v>
      </c>
      <c r="C8" t="s">
        <v>4879</v>
      </c>
    </row>
    <row r="9" spans="1:3" x14ac:dyDescent="0.25">
      <c r="A9" t="s">
        <v>4880</v>
      </c>
      <c r="B9" t="s">
        <v>4720</v>
      </c>
      <c r="C9" t="s">
        <v>4881</v>
      </c>
    </row>
    <row r="10" spans="1:3" x14ac:dyDescent="0.25">
      <c r="A10" t="s">
        <v>634</v>
      </c>
      <c r="B10" t="s">
        <v>4721</v>
      </c>
      <c r="C10" t="s">
        <v>4882</v>
      </c>
    </row>
    <row r="11" spans="1:3" x14ac:dyDescent="0.25">
      <c r="A11" t="s">
        <v>456</v>
      </c>
      <c r="B11" t="s">
        <v>4722</v>
      </c>
      <c r="C11" t="s">
        <v>4883</v>
      </c>
    </row>
    <row r="12" spans="1:3" x14ac:dyDescent="0.25">
      <c r="A12" t="s">
        <v>4666</v>
      </c>
      <c r="B12" t="s">
        <v>4665</v>
      </c>
      <c r="C12" t="s">
        <v>4884</v>
      </c>
    </row>
    <row r="13" spans="1:3" x14ac:dyDescent="0.25">
      <c r="A13" t="s">
        <v>150</v>
      </c>
      <c r="B13" t="s">
        <v>4723</v>
      </c>
      <c r="C13" t="s">
        <v>4873</v>
      </c>
    </row>
    <row r="14" spans="1:3" x14ac:dyDescent="0.25">
      <c r="A14" t="s">
        <v>4885</v>
      </c>
      <c r="B14" t="s">
        <v>4724</v>
      </c>
      <c r="C14" t="s">
        <v>4886</v>
      </c>
    </row>
    <row r="15" spans="1:3" x14ac:dyDescent="0.25">
      <c r="A15" t="s">
        <v>4887</v>
      </c>
      <c r="B15" t="s">
        <v>4725</v>
      </c>
      <c r="C15" t="s">
        <v>4888</v>
      </c>
    </row>
    <row r="16" spans="1:3" x14ac:dyDescent="0.25">
      <c r="A16" t="s">
        <v>4669</v>
      </c>
      <c r="B16" t="s">
        <v>4668</v>
      </c>
      <c r="C16" t="s">
        <v>4889</v>
      </c>
    </row>
    <row r="17" spans="1:3" x14ac:dyDescent="0.25">
      <c r="A17" t="s">
        <v>4890</v>
      </c>
      <c r="B17" t="s">
        <v>4726</v>
      </c>
      <c r="C17" t="s">
        <v>4891</v>
      </c>
    </row>
    <row r="18" spans="1:3" x14ac:dyDescent="0.25">
      <c r="A18" t="s">
        <v>36</v>
      </c>
      <c r="B18" t="s">
        <v>4727</v>
      </c>
      <c r="C18" t="s">
        <v>4891</v>
      </c>
    </row>
    <row r="19" spans="1:3" x14ac:dyDescent="0.25">
      <c r="A19" t="s">
        <v>4892</v>
      </c>
      <c r="B19" t="s">
        <v>4728</v>
      </c>
      <c r="C19" t="s">
        <v>4893</v>
      </c>
    </row>
    <row r="20" spans="1:3" x14ac:dyDescent="0.25">
      <c r="A20" t="s">
        <v>60</v>
      </c>
      <c r="B20" t="s">
        <v>4729</v>
      </c>
      <c r="C20" t="s">
        <v>4894</v>
      </c>
    </row>
    <row r="21" spans="1:3" x14ac:dyDescent="0.25">
      <c r="A21" t="s">
        <v>57</v>
      </c>
      <c r="B21" t="s">
        <v>4664</v>
      </c>
      <c r="C21" t="s">
        <v>4895</v>
      </c>
    </row>
    <row r="22" spans="1:3" x14ac:dyDescent="0.25">
      <c r="A22" t="s">
        <v>4896</v>
      </c>
      <c r="B22" t="s">
        <v>4730</v>
      </c>
      <c r="C22" t="s">
        <v>4897</v>
      </c>
    </row>
    <row r="23" spans="1:3" x14ac:dyDescent="0.25">
      <c r="A23" t="s">
        <v>4898</v>
      </c>
      <c r="B23" t="s">
        <v>4731</v>
      </c>
      <c r="C23" t="s">
        <v>4899</v>
      </c>
    </row>
    <row r="24" spans="1:3" x14ac:dyDescent="0.25">
      <c r="A24" t="s">
        <v>4900</v>
      </c>
      <c r="B24" t="s">
        <v>4732</v>
      </c>
      <c r="C24" t="s">
        <v>4901</v>
      </c>
    </row>
    <row r="25" spans="1:3" x14ac:dyDescent="0.25">
      <c r="A25" t="s">
        <v>4902</v>
      </c>
      <c r="B25" t="s">
        <v>4733</v>
      </c>
      <c r="C25" t="s">
        <v>4903</v>
      </c>
    </row>
    <row r="26" spans="1:3" x14ac:dyDescent="0.25">
      <c r="A26" t="s">
        <v>4904</v>
      </c>
      <c r="B26" t="s">
        <v>4734</v>
      </c>
      <c r="C26" t="s">
        <v>4905</v>
      </c>
    </row>
    <row r="27" spans="1:3" x14ac:dyDescent="0.25">
      <c r="A27" t="s">
        <v>38</v>
      </c>
      <c r="B27" t="s">
        <v>4735</v>
      </c>
      <c r="C27" t="s">
        <v>4906</v>
      </c>
    </row>
    <row r="28" spans="1:3" x14ac:dyDescent="0.25">
      <c r="A28" t="s">
        <v>108</v>
      </c>
      <c r="B28" t="s">
        <v>4736</v>
      </c>
      <c r="C28" t="s">
        <v>4907</v>
      </c>
    </row>
    <row r="29" spans="1:3" x14ac:dyDescent="0.25">
      <c r="A29" t="s">
        <v>628</v>
      </c>
      <c r="B29" t="s">
        <v>4737</v>
      </c>
      <c r="C29" t="s">
        <v>4908</v>
      </c>
    </row>
    <row r="30" spans="1:3" x14ac:dyDescent="0.25">
      <c r="A30" t="s">
        <v>4909</v>
      </c>
      <c r="B30" t="s">
        <v>4738</v>
      </c>
      <c r="C30" t="s">
        <v>4910</v>
      </c>
    </row>
    <row r="31" spans="1:3" x14ac:dyDescent="0.25">
      <c r="A31" t="s">
        <v>37</v>
      </c>
      <c r="B31" t="s">
        <v>4739</v>
      </c>
      <c r="C31" t="s">
        <v>4893</v>
      </c>
    </row>
    <row r="32" spans="1:3" x14ac:dyDescent="0.25">
      <c r="A32" t="s">
        <v>4671</v>
      </c>
      <c r="B32" t="s">
        <v>4670</v>
      </c>
      <c r="C32" t="s">
        <v>4911</v>
      </c>
    </row>
    <row r="33" spans="1:3" x14ac:dyDescent="0.25">
      <c r="A33" t="s">
        <v>4912</v>
      </c>
      <c r="B33" t="s">
        <v>4740</v>
      </c>
      <c r="C33" t="s">
        <v>4913</v>
      </c>
    </row>
    <row r="34" spans="1:3" x14ac:dyDescent="0.25">
      <c r="A34" t="s">
        <v>4914</v>
      </c>
      <c r="B34" t="s">
        <v>4741</v>
      </c>
      <c r="C34" t="s">
        <v>4915</v>
      </c>
    </row>
    <row r="35" spans="1:3" x14ac:dyDescent="0.25">
      <c r="A35" t="s">
        <v>295</v>
      </c>
      <c r="B35" t="s">
        <v>4742</v>
      </c>
      <c r="C35" t="s">
        <v>4916</v>
      </c>
    </row>
    <row r="36" spans="1:3" x14ac:dyDescent="0.25">
      <c r="A36" t="s">
        <v>378</v>
      </c>
      <c r="B36" t="s">
        <v>4743</v>
      </c>
      <c r="C36" t="s">
        <v>4917</v>
      </c>
    </row>
    <row r="37" spans="1:3" x14ac:dyDescent="0.25">
      <c r="A37" t="s">
        <v>447</v>
      </c>
      <c r="B37" t="s">
        <v>4744</v>
      </c>
      <c r="C37" t="s">
        <v>4918</v>
      </c>
    </row>
    <row r="38" spans="1:3" x14ac:dyDescent="0.25">
      <c r="A38" t="s">
        <v>399</v>
      </c>
      <c r="B38" t="s">
        <v>4745</v>
      </c>
      <c r="C38" t="s">
        <v>4919</v>
      </c>
    </row>
    <row r="39" spans="1:3" x14ac:dyDescent="0.25">
      <c r="A39" t="s">
        <v>35</v>
      </c>
      <c r="B39" t="s">
        <v>4746</v>
      </c>
      <c r="C39" t="s">
        <v>4920</v>
      </c>
    </row>
    <row r="40" spans="1:3" x14ac:dyDescent="0.25">
      <c r="A40" t="s">
        <v>235</v>
      </c>
      <c r="B40" t="s">
        <v>4747</v>
      </c>
      <c r="C40" t="s">
        <v>4888</v>
      </c>
    </row>
    <row r="41" spans="1:3" x14ac:dyDescent="0.25">
      <c r="A41" t="s">
        <v>751</v>
      </c>
      <c r="B41" t="s">
        <v>4748</v>
      </c>
      <c r="C41" t="s">
        <v>4921</v>
      </c>
    </row>
    <row r="42" spans="1:3" x14ac:dyDescent="0.25">
      <c r="A42" t="s">
        <v>895</v>
      </c>
      <c r="B42" t="s">
        <v>4749</v>
      </c>
      <c r="C42" t="s">
        <v>4922</v>
      </c>
    </row>
    <row r="43" spans="1:3" x14ac:dyDescent="0.25">
      <c r="A43" t="s">
        <v>4923</v>
      </c>
      <c r="B43" t="s">
        <v>4750</v>
      </c>
      <c r="C43" t="s">
        <v>4924</v>
      </c>
    </row>
    <row r="44" spans="1:3" x14ac:dyDescent="0.25">
      <c r="A44" t="s">
        <v>138</v>
      </c>
      <c r="B44" t="s">
        <v>4751</v>
      </c>
      <c r="C44" t="s">
        <v>4925</v>
      </c>
    </row>
    <row r="45" spans="1:3" x14ac:dyDescent="0.25">
      <c r="A45" t="s">
        <v>244</v>
      </c>
      <c r="B45" t="s">
        <v>4752</v>
      </c>
      <c r="C45" t="s">
        <v>4926</v>
      </c>
    </row>
    <row r="46" spans="1:3" x14ac:dyDescent="0.25">
      <c r="A46" t="s">
        <v>4927</v>
      </c>
      <c r="B46" t="s">
        <v>4753</v>
      </c>
      <c r="C46" t="s">
        <v>4928</v>
      </c>
    </row>
    <row r="47" spans="1:3" x14ac:dyDescent="0.25">
      <c r="A47" t="s">
        <v>229</v>
      </c>
      <c r="B47" t="s">
        <v>4754</v>
      </c>
      <c r="C47" t="s">
        <v>4929</v>
      </c>
    </row>
    <row r="48" spans="1:3" x14ac:dyDescent="0.25">
      <c r="A48" t="s">
        <v>375</v>
      </c>
      <c r="B48" t="s">
        <v>4755</v>
      </c>
      <c r="C48" t="s">
        <v>4930</v>
      </c>
    </row>
    <row r="49" spans="1:3" x14ac:dyDescent="0.25">
      <c r="A49" t="s">
        <v>4931</v>
      </c>
      <c r="B49" t="s">
        <v>4756</v>
      </c>
      <c r="C49" t="s">
        <v>4932</v>
      </c>
    </row>
    <row r="50" spans="1:3" x14ac:dyDescent="0.25">
      <c r="A50" t="s">
        <v>4933</v>
      </c>
      <c r="B50" t="s">
        <v>4757</v>
      </c>
      <c r="C50" t="s">
        <v>4934</v>
      </c>
    </row>
    <row r="51" spans="1:3" x14ac:dyDescent="0.25">
      <c r="A51" t="s">
        <v>438</v>
      </c>
      <c r="B51" t="s">
        <v>4758</v>
      </c>
      <c r="C51" t="s">
        <v>4935</v>
      </c>
    </row>
    <row r="52" spans="1:3" x14ac:dyDescent="0.25">
      <c r="A52" t="s">
        <v>500</v>
      </c>
      <c r="B52" t="s">
        <v>4759</v>
      </c>
      <c r="C52" t="s">
        <v>4936</v>
      </c>
    </row>
    <row r="53" spans="1:3" x14ac:dyDescent="0.25">
      <c r="A53" t="s">
        <v>503</v>
      </c>
      <c r="B53" t="s">
        <v>4672</v>
      </c>
      <c r="C53" t="s">
        <v>4936</v>
      </c>
    </row>
    <row r="54" spans="1:3" x14ac:dyDescent="0.25">
      <c r="A54" t="s">
        <v>4937</v>
      </c>
      <c r="B54" t="s">
        <v>4760</v>
      </c>
      <c r="C54" t="s">
        <v>4938</v>
      </c>
    </row>
    <row r="55" spans="1:3" x14ac:dyDescent="0.25">
      <c r="A55" t="s">
        <v>4939</v>
      </c>
      <c r="B55" t="s">
        <v>4761</v>
      </c>
      <c r="C55" t="s">
        <v>4940</v>
      </c>
    </row>
    <row r="56" spans="1:3" x14ac:dyDescent="0.25">
      <c r="A56" t="s">
        <v>4941</v>
      </c>
      <c r="B56" t="s">
        <v>4762</v>
      </c>
      <c r="C56" t="s">
        <v>4942</v>
      </c>
    </row>
    <row r="57" spans="1:3" x14ac:dyDescent="0.25">
      <c r="A57" t="s">
        <v>562</v>
      </c>
      <c r="B57" t="s">
        <v>4763</v>
      </c>
      <c r="C57" t="s">
        <v>4943</v>
      </c>
    </row>
    <row r="58" spans="1:3" x14ac:dyDescent="0.25">
      <c r="A58" t="s">
        <v>658</v>
      </c>
      <c r="B58" t="s">
        <v>4764</v>
      </c>
      <c r="C58" t="s">
        <v>4944</v>
      </c>
    </row>
    <row r="59" spans="1:3" x14ac:dyDescent="0.25">
      <c r="A59" t="s">
        <v>730</v>
      </c>
      <c r="B59" t="s">
        <v>4765</v>
      </c>
      <c r="C59" t="s">
        <v>4945</v>
      </c>
    </row>
    <row r="60" spans="1:3" x14ac:dyDescent="0.25">
      <c r="A60" t="s">
        <v>826</v>
      </c>
      <c r="B60" t="s">
        <v>4766</v>
      </c>
      <c r="C60" t="s">
        <v>4946</v>
      </c>
    </row>
    <row r="61" spans="1:3" x14ac:dyDescent="0.25">
      <c r="A61" t="s">
        <v>4947</v>
      </c>
      <c r="B61" t="s">
        <v>4767</v>
      </c>
      <c r="C61" t="s">
        <v>4948</v>
      </c>
    </row>
    <row r="62" spans="1:3" x14ac:dyDescent="0.25">
      <c r="A62" t="s">
        <v>2060</v>
      </c>
      <c r="B62" t="s">
        <v>4768</v>
      </c>
      <c r="C62" t="s">
        <v>4949</v>
      </c>
    </row>
    <row r="63" spans="1:3" x14ac:dyDescent="0.25">
      <c r="A63" t="s">
        <v>2063</v>
      </c>
      <c r="B63" t="s">
        <v>4769</v>
      </c>
      <c r="C63" t="s">
        <v>4950</v>
      </c>
    </row>
    <row r="64" spans="1:3" x14ac:dyDescent="0.25">
      <c r="A64" t="s">
        <v>1844</v>
      </c>
      <c r="B64" t="s">
        <v>4770</v>
      </c>
      <c r="C64" t="s">
        <v>4673</v>
      </c>
    </row>
    <row r="65" spans="1:3" x14ac:dyDescent="0.25">
      <c r="A65" t="s">
        <v>4951</v>
      </c>
      <c r="B65" t="s">
        <v>4771</v>
      </c>
      <c r="C65" t="s">
        <v>4952</v>
      </c>
    </row>
    <row r="66" spans="1:3" x14ac:dyDescent="0.25">
      <c r="A66" t="s">
        <v>2582</v>
      </c>
      <c r="B66" t="s">
        <v>4772</v>
      </c>
      <c r="C66" t="s">
        <v>4953</v>
      </c>
    </row>
    <row r="67" spans="1:3" x14ac:dyDescent="0.25">
      <c r="A67" t="s">
        <v>2654</v>
      </c>
      <c r="B67" t="s">
        <v>4773</v>
      </c>
      <c r="C67" t="s">
        <v>4954</v>
      </c>
    </row>
    <row r="68" spans="1:3" x14ac:dyDescent="0.25">
      <c r="A68" t="s">
        <v>4955</v>
      </c>
      <c r="B68" t="s">
        <v>4774</v>
      </c>
      <c r="C68" t="s">
        <v>4956</v>
      </c>
    </row>
    <row r="69" spans="1:3" x14ac:dyDescent="0.25">
      <c r="A69" t="s">
        <v>3179</v>
      </c>
      <c r="B69" t="s">
        <v>4775</v>
      </c>
      <c r="C69" t="s">
        <v>4957</v>
      </c>
    </row>
    <row r="70" spans="1:3" x14ac:dyDescent="0.25">
      <c r="A70" t="s">
        <v>32</v>
      </c>
      <c r="B70" t="s">
        <v>4776</v>
      </c>
      <c r="C70" t="s">
        <v>4656</v>
      </c>
    </row>
    <row r="71" spans="1:3" x14ac:dyDescent="0.25">
      <c r="A71" t="s">
        <v>1373</v>
      </c>
      <c r="B71" t="s">
        <v>4777</v>
      </c>
      <c r="C71" t="s">
        <v>4958</v>
      </c>
    </row>
    <row r="72" spans="1:3" x14ac:dyDescent="0.25">
      <c r="A72" t="s">
        <v>4959</v>
      </c>
      <c r="B72" t="s">
        <v>4778</v>
      </c>
      <c r="C72" t="s">
        <v>4960</v>
      </c>
    </row>
    <row r="73" spans="1:3" x14ac:dyDescent="0.25">
      <c r="A73" t="s">
        <v>3611</v>
      </c>
      <c r="B73" t="s">
        <v>4779</v>
      </c>
      <c r="C73" t="s">
        <v>4961</v>
      </c>
    </row>
    <row r="74" spans="1:3" x14ac:dyDescent="0.25">
      <c r="A74" t="s">
        <v>3380</v>
      </c>
      <c r="B74" t="s">
        <v>4780</v>
      </c>
      <c r="C74" t="s">
        <v>4962</v>
      </c>
    </row>
    <row r="75" spans="1:3" x14ac:dyDescent="0.25">
      <c r="A75" t="s">
        <v>1889</v>
      </c>
      <c r="B75" t="s">
        <v>4781</v>
      </c>
      <c r="C75" t="s">
        <v>4963</v>
      </c>
    </row>
    <row r="76" spans="1:3" x14ac:dyDescent="0.25">
      <c r="A76" t="s">
        <v>1880</v>
      </c>
      <c r="B76" t="s">
        <v>4782</v>
      </c>
      <c r="C76" t="s">
        <v>4963</v>
      </c>
    </row>
    <row r="77" spans="1:3" x14ac:dyDescent="0.25">
      <c r="A77" t="s">
        <v>4964</v>
      </c>
      <c r="B77" t="s">
        <v>4783</v>
      </c>
      <c r="C77" t="s">
        <v>4965</v>
      </c>
    </row>
    <row r="78" spans="1:3" x14ac:dyDescent="0.25">
      <c r="A78" t="s">
        <v>4966</v>
      </c>
      <c r="B78" t="s">
        <v>4784</v>
      </c>
      <c r="C78" t="s">
        <v>4967</v>
      </c>
    </row>
    <row r="79" spans="1:3" x14ac:dyDescent="0.25">
      <c r="A79" t="s">
        <v>3998</v>
      </c>
      <c r="B79" t="s">
        <v>4785</v>
      </c>
      <c r="C79" t="s">
        <v>4968</v>
      </c>
    </row>
    <row r="80" spans="1:3" x14ac:dyDescent="0.25">
      <c r="A80" t="s">
        <v>1637</v>
      </c>
      <c r="B80" t="s">
        <v>4786</v>
      </c>
      <c r="C80" t="s">
        <v>4969</v>
      </c>
    </row>
    <row r="81" spans="1:3" x14ac:dyDescent="0.25">
      <c r="A81" t="s">
        <v>1769</v>
      </c>
      <c r="B81" t="s">
        <v>4787</v>
      </c>
      <c r="C81" t="s">
        <v>4970</v>
      </c>
    </row>
    <row r="82" spans="1:3" x14ac:dyDescent="0.25">
      <c r="A82" t="s">
        <v>4971</v>
      </c>
      <c r="B82" t="s">
        <v>4788</v>
      </c>
      <c r="C82" t="s">
        <v>4972</v>
      </c>
    </row>
    <row r="83" spans="1:3" x14ac:dyDescent="0.25">
      <c r="A83" t="s">
        <v>4973</v>
      </c>
      <c r="B83" t="s">
        <v>4789</v>
      </c>
      <c r="C83" t="s">
        <v>4974</v>
      </c>
    </row>
    <row r="84" spans="1:3" x14ac:dyDescent="0.25">
      <c r="A84" t="s">
        <v>4975</v>
      </c>
      <c r="B84" t="s">
        <v>4790</v>
      </c>
      <c r="C84" t="s">
        <v>4976</v>
      </c>
    </row>
    <row r="85" spans="1:3" x14ac:dyDescent="0.25">
      <c r="A85" t="s">
        <v>2366</v>
      </c>
      <c r="B85" t="s">
        <v>4791</v>
      </c>
      <c r="C85" t="s">
        <v>4977</v>
      </c>
    </row>
    <row r="86" spans="1:3" x14ac:dyDescent="0.25">
      <c r="A86" t="s">
        <v>703</v>
      </c>
      <c r="B86" t="s">
        <v>4792</v>
      </c>
      <c r="C86" t="s">
        <v>4978</v>
      </c>
    </row>
    <row r="87" spans="1:3" x14ac:dyDescent="0.25">
      <c r="A87" t="s">
        <v>48</v>
      </c>
      <c r="B87" t="s">
        <v>4793</v>
      </c>
      <c r="C87" t="s">
        <v>4979</v>
      </c>
    </row>
    <row r="88" spans="1:3" x14ac:dyDescent="0.25">
      <c r="A88" t="s">
        <v>4980</v>
      </c>
      <c r="B88" t="s">
        <v>4794</v>
      </c>
      <c r="C88" t="s">
        <v>4981</v>
      </c>
    </row>
    <row r="89" spans="1:3" x14ac:dyDescent="0.25">
      <c r="A89" t="s">
        <v>4982</v>
      </c>
      <c r="B89" t="s">
        <v>4795</v>
      </c>
      <c r="C89" t="s">
        <v>4983</v>
      </c>
    </row>
    <row r="90" spans="1:3" x14ac:dyDescent="0.25">
      <c r="A90" t="s">
        <v>4984</v>
      </c>
      <c r="B90" t="s">
        <v>4796</v>
      </c>
      <c r="C90" t="s">
        <v>4985</v>
      </c>
    </row>
    <row r="91" spans="1:3" x14ac:dyDescent="0.25">
      <c r="A91" t="s">
        <v>54</v>
      </c>
      <c r="B91" t="s">
        <v>4797</v>
      </c>
      <c r="C91" t="s">
        <v>4882</v>
      </c>
    </row>
    <row r="92" spans="1:3" x14ac:dyDescent="0.25">
      <c r="A92" t="s">
        <v>721</v>
      </c>
      <c r="B92" t="s">
        <v>4798</v>
      </c>
      <c r="C92" t="s">
        <v>4986</v>
      </c>
    </row>
    <row r="93" spans="1:3" x14ac:dyDescent="0.25">
      <c r="A93" t="s">
        <v>4987</v>
      </c>
      <c r="B93" t="s">
        <v>4799</v>
      </c>
      <c r="C93" t="s">
        <v>4988</v>
      </c>
    </row>
    <row r="94" spans="1:3" x14ac:dyDescent="0.25">
      <c r="A94" t="s">
        <v>1865</v>
      </c>
      <c r="B94" t="s">
        <v>4800</v>
      </c>
      <c r="C94" t="s">
        <v>4989</v>
      </c>
    </row>
    <row r="95" spans="1:3" x14ac:dyDescent="0.25">
      <c r="A95" t="s">
        <v>29</v>
      </c>
      <c r="B95" t="s">
        <v>4801</v>
      </c>
      <c r="C95" t="s">
        <v>4659</v>
      </c>
    </row>
    <row r="96" spans="1:3" x14ac:dyDescent="0.25">
      <c r="A96" t="s">
        <v>957</v>
      </c>
      <c r="B96" t="s">
        <v>4802</v>
      </c>
      <c r="C96" t="s">
        <v>4990</v>
      </c>
    </row>
    <row r="97" spans="1:3" x14ac:dyDescent="0.25">
      <c r="A97" t="s">
        <v>969</v>
      </c>
      <c r="B97" t="s">
        <v>4803</v>
      </c>
      <c r="C97" t="s">
        <v>4991</v>
      </c>
    </row>
    <row r="98" spans="1:3" x14ac:dyDescent="0.25">
      <c r="A98" t="s">
        <v>1011</v>
      </c>
      <c r="B98" t="s">
        <v>4804</v>
      </c>
      <c r="C98" t="s">
        <v>4992</v>
      </c>
    </row>
    <row r="99" spans="1:3" x14ac:dyDescent="0.25">
      <c r="A99" t="s">
        <v>1015</v>
      </c>
      <c r="B99" t="s">
        <v>4805</v>
      </c>
      <c r="C99" t="s">
        <v>4993</v>
      </c>
    </row>
    <row r="100" spans="1:3" x14ac:dyDescent="0.25">
      <c r="A100" t="s">
        <v>1772</v>
      </c>
      <c r="B100" t="s">
        <v>4806</v>
      </c>
      <c r="C100" t="s">
        <v>4994</v>
      </c>
    </row>
    <row r="101" spans="1:3" x14ac:dyDescent="0.25">
      <c r="A101" t="s">
        <v>4995</v>
      </c>
      <c r="B101" t="s">
        <v>4807</v>
      </c>
      <c r="C101" t="s">
        <v>4996</v>
      </c>
    </row>
    <row r="102" spans="1:3" x14ac:dyDescent="0.25">
      <c r="A102" t="s">
        <v>4660</v>
      </c>
      <c r="B102" t="s">
        <v>4808</v>
      </c>
      <c r="C102" t="s">
        <v>4997</v>
      </c>
    </row>
    <row r="103" spans="1:3" x14ac:dyDescent="0.25">
      <c r="A103" t="s">
        <v>482</v>
      </c>
      <c r="B103" t="s">
        <v>4809</v>
      </c>
      <c r="C103" t="s">
        <v>4998</v>
      </c>
    </row>
    <row r="104" spans="1:3" x14ac:dyDescent="0.25">
      <c r="A104" t="s">
        <v>4999</v>
      </c>
      <c r="B104" t="s">
        <v>4810</v>
      </c>
      <c r="C104" t="s">
        <v>5000</v>
      </c>
    </row>
    <row r="105" spans="1:3" x14ac:dyDescent="0.25">
      <c r="A105" t="s">
        <v>5001</v>
      </c>
      <c r="B105" t="s">
        <v>4811</v>
      </c>
      <c r="C105" t="s">
        <v>5002</v>
      </c>
    </row>
    <row r="106" spans="1:3" x14ac:dyDescent="0.25">
      <c r="A106" t="s">
        <v>5003</v>
      </c>
      <c r="B106" t="s">
        <v>4812</v>
      </c>
      <c r="C106" t="s">
        <v>5004</v>
      </c>
    </row>
    <row r="107" spans="1:3" x14ac:dyDescent="0.25">
      <c r="A107" t="s">
        <v>5005</v>
      </c>
      <c r="B107" t="s">
        <v>4813</v>
      </c>
      <c r="C107" t="s">
        <v>5006</v>
      </c>
    </row>
    <row r="108" spans="1:3" x14ac:dyDescent="0.25">
      <c r="A108" t="s">
        <v>5007</v>
      </c>
      <c r="B108" t="s">
        <v>4814</v>
      </c>
      <c r="C108" t="s">
        <v>5008</v>
      </c>
    </row>
    <row r="109" spans="1:3" x14ac:dyDescent="0.25">
      <c r="A109" t="s">
        <v>5009</v>
      </c>
      <c r="B109" t="s">
        <v>4815</v>
      </c>
      <c r="C109" t="s">
        <v>5010</v>
      </c>
    </row>
    <row r="110" spans="1:3" x14ac:dyDescent="0.25">
      <c r="A110" t="s">
        <v>5011</v>
      </c>
      <c r="B110" t="s">
        <v>4816</v>
      </c>
      <c r="C110" t="s">
        <v>5012</v>
      </c>
    </row>
    <row r="111" spans="1:3" x14ac:dyDescent="0.25">
      <c r="A111" t="s">
        <v>5013</v>
      </c>
      <c r="B111" t="s">
        <v>4817</v>
      </c>
      <c r="C111" t="s">
        <v>5014</v>
      </c>
    </row>
    <row r="112" spans="1:3" x14ac:dyDescent="0.25">
      <c r="A112" t="s">
        <v>5015</v>
      </c>
      <c r="B112" t="s">
        <v>4818</v>
      </c>
      <c r="C112" t="s">
        <v>5016</v>
      </c>
    </row>
    <row r="113" spans="1:3" x14ac:dyDescent="0.25">
      <c r="A113" t="s">
        <v>5017</v>
      </c>
      <c r="B113" t="s">
        <v>4819</v>
      </c>
      <c r="C113" t="s">
        <v>5018</v>
      </c>
    </row>
    <row r="114" spans="1:3" x14ac:dyDescent="0.25">
      <c r="A114" t="s">
        <v>1013</v>
      </c>
      <c r="B114" t="s">
        <v>4820</v>
      </c>
      <c r="C114" t="s">
        <v>4658</v>
      </c>
    </row>
    <row r="115" spans="1:3" x14ac:dyDescent="0.25">
      <c r="A115" t="s">
        <v>5019</v>
      </c>
      <c r="B115" t="s">
        <v>4821</v>
      </c>
      <c r="C115" t="s">
        <v>5020</v>
      </c>
    </row>
    <row r="116" spans="1:3" x14ac:dyDescent="0.25">
      <c r="A116" t="s">
        <v>948</v>
      </c>
      <c r="B116" t="s">
        <v>4822</v>
      </c>
      <c r="C116" t="s">
        <v>5021</v>
      </c>
    </row>
    <row r="117" spans="1:3" x14ac:dyDescent="0.25">
      <c r="A117" t="s">
        <v>30</v>
      </c>
      <c r="B117" t="s">
        <v>4823</v>
      </c>
      <c r="C117" t="s">
        <v>5022</v>
      </c>
    </row>
    <row r="118" spans="1:3" x14ac:dyDescent="0.25">
      <c r="A118" t="s">
        <v>34</v>
      </c>
      <c r="B118" t="s">
        <v>4824</v>
      </c>
      <c r="C118" t="s">
        <v>4655</v>
      </c>
    </row>
    <row r="119" spans="1:3" x14ac:dyDescent="0.25">
      <c r="A119" t="s">
        <v>996</v>
      </c>
      <c r="B119" t="s">
        <v>4825</v>
      </c>
      <c r="C119" t="s">
        <v>5023</v>
      </c>
    </row>
    <row r="120" spans="1:3" x14ac:dyDescent="0.25">
      <c r="A120" t="s">
        <v>31</v>
      </c>
      <c r="B120" t="s">
        <v>4826</v>
      </c>
      <c r="C120" t="s">
        <v>5024</v>
      </c>
    </row>
    <row r="121" spans="1:3" x14ac:dyDescent="0.25">
      <c r="A121" t="s">
        <v>973</v>
      </c>
      <c r="B121" t="s">
        <v>4827</v>
      </c>
      <c r="C121" t="s">
        <v>4657</v>
      </c>
    </row>
    <row r="122" spans="1:3" x14ac:dyDescent="0.25">
      <c r="A122" t="s">
        <v>33</v>
      </c>
      <c r="B122" t="s">
        <v>4828</v>
      </c>
      <c r="C122" t="s">
        <v>5025</v>
      </c>
    </row>
    <row r="123" spans="1:3" x14ac:dyDescent="0.25">
      <c r="A123" t="s">
        <v>613</v>
      </c>
      <c r="B123" t="s">
        <v>4829</v>
      </c>
      <c r="C123" t="s">
        <v>5026</v>
      </c>
    </row>
    <row r="124" spans="1:3" x14ac:dyDescent="0.25">
      <c r="A124" t="s">
        <v>5027</v>
      </c>
      <c r="B124" t="s">
        <v>4830</v>
      </c>
      <c r="C124" t="s">
        <v>5028</v>
      </c>
    </row>
    <row r="125" spans="1:3" x14ac:dyDescent="0.25">
      <c r="A125" t="s">
        <v>5029</v>
      </c>
      <c r="B125" t="s">
        <v>4831</v>
      </c>
      <c r="C125" t="s">
        <v>5030</v>
      </c>
    </row>
    <row r="126" spans="1:3" x14ac:dyDescent="0.25">
      <c r="A126" t="s">
        <v>5031</v>
      </c>
      <c r="B126" t="s">
        <v>4832</v>
      </c>
      <c r="C126" t="s">
        <v>5032</v>
      </c>
    </row>
    <row r="127" spans="1:3" x14ac:dyDescent="0.25">
      <c r="A127" t="s">
        <v>5033</v>
      </c>
      <c r="B127" t="s">
        <v>4833</v>
      </c>
      <c r="C127" t="s">
        <v>5034</v>
      </c>
    </row>
    <row r="128" spans="1:3" x14ac:dyDescent="0.25">
      <c r="A128" t="s">
        <v>5035</v>
      </c>
      <c r="B128" t="s">
        <v>4834</v>
      </c>
      <c r="C128" t="s">
        <v>5036</v>
      </c>
    </row>
    <row r="129" spans="1:3" x14ac:dyDescent="0.25">
      <c r="A129" t="s">
        <v>5037</v>
      </c>
      <c r="B129" t="s">
        <v>4835</v>
      </c>
      <c r="C129" t="s">
        <v>5038</v>
      </c>
    </row>
    <row r="130" spans="1:3" x14ac:dyDescent="0.25">
      <c r="A130" t="s">
        <v>5039</v>
      </c>
      <c r="B130" t="s">
        <v>4836</v>
      </c>
      <c r="C130" t="s">
        <v>5040</v>
      </c>
    </row>
    <row r="131" spans="1:3" x14ac:dyDescent="0.25">
      <c r="A131" t="s">
        <v>168</v>
      </c>
      <c r="B131" t="s">
        <v>4837</v>
      </c>
      <c r="C131" t="s">
        <v>5041</v>
      </c>
    </row>
    <row r="132" spans="1:3" x14ac:dyDescent="0.25">
      <c r="A132" t="s">
        <v>5042</v>
      </c>
      <c r="B132" t="s">
        <v>4838</v>
      </c>
      <c r="C132" t="s">
        <v>5043</v>
      </c>
    </row>
    <row r="133" spans="1:3" x14ac:dyDescent="0.25">
      <c r="A133" t="s">
        <v>5044</v>
      </c>
      <c r="B133" t="s">
        <v>4839</v>
      </c>
      <c r="C133" t="s">
        <v>5045</v>
      </c>
    </row>
    <row r="134" spans="1:3" x14ac:dyDescent="0.25">
      <c r="A134" t="s">
        <v>5046</v>
      </c>
      <c r="B134" t="s">
        <v>4840</v>
      </c>
      <c r="C134" t="s">
        <v>5047</v>
      </c>
    </row>
    <row r="135" spans="1:3" x14ac:dyDescent="0.25">
      <c r="A135" t="s">
        <v>5048</v>
      </c>
      <c r="B135" t="s">
        <v>4841</v>
      </c>
      <c r="C135" t="s">
        <v>5049</v>
      </c>
    </row>
    <row r="136" spans="1:3" x14ac:dyDescent="0.25">
      <c r="A136" t="s">
        <v>5050</v>
      </c>
      <c r="B136" t="s">
        <v>4842</v>
      </c>
      <c r="C136" t="s">
        <v>5051</v>
      </c>
    </row>
    <row r="137" spans="1:3" x14ac:dyDescent="0.25">
      <c r="A137" t="s">
        <v>5052</v>
      </c>
      <c r="B137" t="s">
        <v>4843</v>
      </c>
      <c r="C137" t="s">
        <v>5053</v>
      </c>
    </row>
    <row r="138" spans="1:3" x14ac:dyDescent="0.25">
      <c r="A138" t="s">
        <v>5054</v>
      </c>
      <c r="B138" t="s">
        <v>4844</v>
      </c>
      <c r="C138" t="s">
        <v>5055</v>
      </c>
    </row>
    <row r="139" spans="1:3" x14ac:dyDescent="0.25">
      <c r="A139" t="s">
        <v>5056</v>
      </c>
      <c r="B139" t="s">
        <v>4845</v>
      </c>
      <c r="C139" t="s">
        <v>5057</v>
      </c>
    </row>
    <row r="140" spans="1:3" x14ac:dyDescent="0.25">
      <c r="A140" t="s">
        <v>5058</v>
      </c>
      <c r="B140" t="s">
        <v>4846</v>
      </c>
      <c r="C140" t="s">
        <v>5059</v>
      </c>
    </row>
    <row r="141" spans="1:3" x14ac:dyDescent="0.25">
      <c r="A141" t="s">
        <v>5060</v>
      </c>
      <c r="B141" t="s">
        <v>4847</v>
      </c>
      <c r="C141" t="s">
        <v>5061</v>
      </c>
    </row>
    <row r="142" spans="1:3" x14ac:dyDescent="0.25">
      <c r="A142" t="s">
        <v>5062</v>
      </c>
      <c r="B142" t="s">
        <v>4848</v>
      </c>
      <c r="C142" t="s">
        <v>5063</v>
      </c>
    </row>
    <row r="143" spans="1:3" x14ac:dyDescent="0.25">
      <c r="A143" t="s">
        <v>5064</v>
      </c>
      <c r="B143" t="s">
        <v>4849</v>
      </c>
      <c r="C143" t="s">
        <v>5065</v>
      </c>
    </row>
    <row r="144" spans="1:3" x14ac:dyDescent="0.25">
      <c r="A144" t="s">
        <v>5066</v>
      </c>
      <c r="B144" t="s">
        <v>4850</v>
      </c>
      <c r="C144" t="s">
        <v>5067</v>
      </c>
    </row>
    <row r="145" spans="1:3" x14ac:dyDescent="0.25">
      <c r="A145" t="s">
        <v>5068</v>
      </c>
      <c r="B145" t="s">
        <v>4851</v>
      </c>
      <c r="C145" t="s">
        <v>5069</v>
      </c>
    </row>
    <row r="146" spans="1:3" x14ac:dyDescent="0.25">
      <c r="A146" t="s">
        <v>5070</v>
      </c>
      <c r="B146" t="s">
        <v>4852</v>
      </c>
      <c r="C146" t="s">
        <v>5071</v>
      </c>
    </row>
    <row r="147" spans="1:3" x14ac:dyDescent="0.25">
      <c r="A147" t="s">
        <v>5072</v>
      </c>
      <c r="B147" t="s">
        <v>4853</v>
      </c>
      <c r="C147" t="s">
        <v>5073</v>
      </c>
    </row>
    <row r="148" spans="1:3" x14ac:dyDescent="0.25">
      <c r="A148" t="s">
        <v>5074</v>
      </c>
      <c r="B148" t="s">
        <v>4854</v>
      </c>
      <c r="C148" t="s">
        <v>5075</v>
      </c>
    </row>
    <row r="149" spans="1:3" x14ac:dyDescent="0.25">
      <c r="A149" t="s">
        <v>5076</v>
      </c>
      <c r="B149" t="s">
        <v>4855</v>
      </c>
      <c r="C149" t="s">
        <v>5077</v>
      </c>
    </row>
    <row r="150" spans="1:3" x14ac:dyDescent="0.25">
      <c r="A150" t="s">
        <v>5078</v>
      </c>
      <c r="B150" t="s">
        <v>4856</v>
      </c>
      <c r="C150" t="s">
        <v>5079</v>
      </c>
    </row>
    <row r="151" spans="1:3" x14ac:dyDescent="0.25">
      <c r="A151" t="s">
        <v>5080</v>
      </c>
      <c r="B151" t="s">
        <v>4857</v>
      </c>
      <c r="C151" t="s">
        <v>5081</v>
      </c>
    </row>
    <row r="152" spans="1:3" x14ac:dyDescent="0.25">
      <c r="A152" t="s">
        <v>5082</v>
      </c>
      <c r="B152" t="s">
        <v>4858</v>
      </c>
      <c r="C152" t="s">
        <v>5083</v>
      </c>
    </row>
    <row r="153" spans="1:3" x14ac:dyDescent="0.25">
      <c r="A153" t="s">
        <v>5084</v>
      </c>
      <c r="B153" t="s">
        <v>4859</v>
      </c>
      <c r="C153" t="s">
        <v>5085</v>
      </c>
    </row>
    <row r="154" spans="1:3" x14ac:dyDescent="0.25">
      <c r="A154" t="s">
        <v>5086</v>
      </c>
      <c r="B154" t="s">
        <v>4860</v>
      </c>
      <c r="C154" t="s">
        <v>5087</v>
      </c>
    </row>
    <row r="155" spans="1:3" x14ac:dyDescent="0.25">
      <c r="A155" t="s">
        <v>5088</v>
      </c>
      <c r="B155" t="s">
        <v>4861</v>
      </c>
      <c r="C155" t="s">
        <v>5089</v>
      </c>
    </row>
    <row r="156" spans="1:3" x14ac:dyDescent="0.25">
      <c r="A156" t="s">
        <v>5090</v>
      </c>
      <c r="B156" t="s">
        <v>4862</v>
      </c>
      <c r="C156" t="s">
        <v>5091</v>
      </c>
    </row>
    <row r="157" spans="1:3" x14ac:dyDescent="0.25">
      <c r="A157" t="s">
        <v>5092</v>
      </c>
      <c r="B157" t="s">
        <v>4863</v>
      </c>
      <c r="C157" t="s">
        <v>5093</v>
      </c>
    </row>
    <row r="158" spans="1:3" x14ac:dyDescent="0.25">
      <c r="A158" t="s">
        <v>5094</v>
      </c>
      <c r="B158" t="s">
        <v>4864</v>
      </c>
      <c r="C158" t="s">
        <v>5095</v>
      </c>
    </row>
    <row r="159" spans="1:3" x14ac:dyDescent="0.25">
      <c r="A159" t="s">
        <v>5096</v>
      </c>
      <c r="B159" t="s">
        <v>4865</v>
      </c>
      <c r="C159" t="s">
        <v>5097</v>
      </c>
    </row>
    <row r="160" spans="1:3" x14ac:dyDescent="0.25">
      <c r="A160" t="s">
        <v>5098</v>
      </c>
      <c r="B160" t="s">
        <v>4866</v>
      </c>
      <c r="C160" t="s">
        <v>5099</v>
      </c>
    </row>
    <row r="161" spans="1:3" x14ac:dyDescent="0.25">
      <c r="A161" t="s">
        <v>4660</v>
      </c>
      <c r="B161" t="s">
        <v>4808</v>
      </c>
      <c r="C161" t="s">
        <v>4997</v>
      </c>
    </row>
    <row r="162" spans="1:3" x14ac:dyDescent="0.25">
      <c r="A162" t="s">
        <v>5145</v>
      </c>
      <c r="B162" t="s">
        <v>5146</v>
      </c>
      <c r="C162" t="s">
        <v>5147</v>
      </c>
    </row>
    <row r="163" spans="1:3" x14ac:dyDescent="0.25">
      <c r="A163" t="s">
        <v>5148</v>
      </c>
      <c r="B163" t="s">
        <v>5150</v>
      </c>
      <c r="C163" t="s">
        <v>5149</v>
      </c>
    </row>
    <row r="164" spans="1:3" x14ac:dyDescent="0.25">
      <c r="A164" t="s">
        <v>5151</v>
      </c>
      <c r="B164" t="s">
        <v>5153</v>
      </c>
      <c r="C164" t="s">
        <v>5152</v>
      </c>
    </row>
    <row r="165" spans="1:3" x14ac:dyDescent="0.25">
      <c r="A165" t="s">
        <v>5154</v>
      </c>
      <c r="B165" t="s">
        <v>5155</v>
      </c>
      <c r="C165" t="s">
        <v>5156</v>
      </c>
    </row>
    <row r="166" spans="1:3" x14ac:dyDescent="0.25">
      <c r="A166" t="s">
        <v>5157</v>
      </c>
      <c r="B166" t="s">
        <v>5158</v>
      </c>
      <c r="C166" t="s">
        <v>5159</v>
      </c>
    </row>
    <row r="167" spans="1:3" x14ac:dyDescent="0.25">
      <c r="A167" t="s">
        <v>5160</v>
      </c>
      <c r="B167" t="s">
        <v>5161</v>
      </c>
      <c r="C167" t="s">
        <v>5162</v>
      </c>
    </row>
    <row r="168" spans="1:3" x14ac:dyDescent="0.25">
      <c r="A168" t="s">
        <v>5163</v>
      </c>
      <c r="B168" t="s">
        <v>5164</v>
      </c>
      <c r="C168" t="s">
        <v>5165</v>
      </c>
    </row>
    <row r="169" spans="1:3" x14ac:dyDescent="0.25">
      <c r="A169" t="s">
        <v>5166</v>
      </c>
      <c r="B169" t="s">
        <v>5167</v>
      </c>
      <c r="C169" t="s">
        <v>5168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2017-08-07T11:22:50Z</dcterms:modified>
</cp:coreProperties>
</file>