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30E3CB8E-8B60-436F-918F-56AA65887A40}" xr6:coauthVersionLast="45" xr6:coauthVersionMax="45" xr10:uidLastSave="{00000000-0000-0000-0000-000000000000}"/>
  <bookViews>
    <workbookView xWindow="-108" yWindow="-108" windowWidth="23256" windowHeight="12576" xr2:uid="{9DE2AF73-A7CF-4380-A829-23151371B406}"/>
  </bookViews>
  <sheets>
    <sheet name="young" sheetId="2" r:id="rId1"/>
    <sheet name="old" sheetId="1" r:id="rId2"/>
    <sheet name="admission" sheetId="6" r:id="rId3"/>
    <sheet name="summary" sheetId="3" r:id="rId4"/>
  </sheets>
  <definedNames>
    <definedName name="ExternalData_1" localSheetId="1" hidden="1">old!$A$1:$D$57</definedName>
    <definedName name="ExternalData_1" localSheetId="0" hidden="1">young!$A$1:$D$41</definedName>
    <definedName name="solver_adj" localSheetId="2" hidden="1">admission!$H$3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admission!$H$3</definedName>
    <definedName name="solver_lhs2" localSheetId="2" hidden="1">admission!$H$3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admission!$H$5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2" l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" i="2"/>
  <c r="R3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J4" i="2"/>
  <c r="AA4" i="2"/>
  <c r="X41" i="2" l="1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O3" i="2"/>
  <c r="P3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T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T41" i="2" s="1"/>
  <c r="O30" i="2"/>
  <c r="O41" i="2"/>
  <c r="O40" i="2"/>
  <c r="O39" i="2"/>
  <c r="O38" i="2"/>
  <c r="O37" i="2"/>
  <c r="O36" i="2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U37" i="6"/>
  <c r="U3" i="6"/>
  <c r="M3" i="6"/>
  <c r="W3" i="6"/>
  <c r="O3" i="6"/>
  <c r="M37" i="6"/>
  <c r="P3" i="6"/>
  <c r="A4" i="6"/>
  <c r="A5" i="6" s="1"/>
  <c r="M5" i="6" s="1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R3" i="6" s="1"/>
  <c r="S3" i="6" s="1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J3" i="6" s="1"/>
  <c r="K3" i="6" s="1"/>
  <c r="T30" i="2" l="1"/>
  <c r="T32" i="2"/>
  <c r="T20" i="2"/>
  <c r="T8" i="2"/>
  <c r="T31" i="2"/>
  <c r="T19" i="2"/>
  <c r="T7" i="2"/>
  <c r="T29" i="2"/>
  <c r="U42" i="2"/>
  <c r="V12" i="2" s="1"/>
  <c r="T35" i="2"/>
  <c r="T23" i="2"/>
  <c r="T11" i="2"/>
  <c r="T17" i="2"/>
  <c r="T5" i="2"/>
  <c r="T38" i="2"/>
  <c r="T14" i="2"/>
  <c r="T34" i="2"/>
  <c r="T6" i="2"/>
  <c r="T10" i="2"/>
  <c r="T37" i="2"/>
  <c r="T25" i="2"/>
  <c r="T13" i="2"/>
  <c r="T18" i="2"/>
  <c r="T36" i="2"/>
  <c r="T24" i="2"/>
  <c r="T22" i="2"/>
  <c r="T4" i="2"/>
  <c r="T40" i="2"/>
  <c r="T9" i="2"/>
  <c r="T21" i="2"/>
  <c r="T33" i="2"/>
  <c r="T16" i="2"/>
  <c r="T12" i="2"/>
  <c r="T26" i="2"/>
  <c r="T28" i="2"/>
  <c r="T3" i="2"/>
  <c r="T27" i="2"/>
  <c r="T39" i="2"/>
  <c r="O5" i="6"/>
  <c r="P4" i="6"/>
  <c r="O4" i="6"/>
  <c r="U5" i="6"/>
  <c r="W4" i="6"/>
  <c r="W5" i="6"/>
  <c r="M4" i="6"/>
  <c r="U4" i="6"/>
  <c r="J28" i="6"/>
  <c r="R22" i="6"/>
  <c r="J17" i="6"/>
  <c r="R17" i="6"/>
  <c r="R19" i="6"/>
  <c r="J15" i="6"/>
  <c r="J16" i="6"/>
  <c r="J5" i="6"/>
  <c r="K5" i="6" s="1"/>
  <c r="J18" i="6"/>
  <c r="R11" i="6"/>
  <c r="R18" i="6"/>
  <c r="J31" i="6"/>
  <c r="J29" i="6"/>
  <c r="J30" i="6"/>
  <c r="R23" i="6"/>
  <c r="J7" i="6"/>
  <c r="J19" i="6"/>
  <c r="R10" i="6"/>
  <c r="J6" i="6"/>
  <c r="J13" i="6"/>
  <c r="J25" i="6"/>
  <c r="R6" i="6"/>
  <c r="J20" i="6"/>
  <c r="J9" i="6"/>
  <c r="J10" i="6"/>
  <c r="J11" i="6"/>
  <c r="J32" i="6"/>
  <c r="J33" i="6"/>
  <c r="J23" i="6"/>
  <c r="J12" i="6"/>
  <c r="J24" i="6"/>
  <c r="R5" i="6"/>
  <c r="R29" i="6"/>
  <c r="J8" i="6"/>
  <c r="R13" i="6"/>
  <c r="J4" i="6"/>
  <c r="K4" i="6" s="1"/>
  <c r="J14" i="6"/>
  <c r="J26" i="6"/>
  <c r="R8" i="6"/>
  <c r="R20" i="6"/>
  <c r="R32" i="6"/>
  <c r="J27" i="6"/>
  <c r="R25" i="6"/>
  <c r="J21" i="6"/>
  <c r="J22" i="6"/>
  <c r="P5" i="6"/>
  <c r="R14" i="6"/>
  <c r="R31" i="6"/>
  <c r="R27" i="6"/>
  <c r="R26" i="6"/>
  <c r="R4" i="6"/>
  <c r="S4" i="6" s="1"/>
  <c r="R28" i="6"/>
  <c r="R30" i="6"/>
  <c r="R9" i="6"/>
  <c r="R33" i="6"/>
  <c r="R15" i="6"/>
  <c r="R16" i="6"/>
  <c r="R21" i="6"/>
  <c r="R12" i="6"/>
  <c r="R24" i="6"/>
  <c r="R7" i="6"/>
  <c r="A6" i="6"/>
  <c r="V13" i="2" l="1"/>
  <c r="V40" i="2"/>
  <c r="V32" i="2"/>
  <c r="V37" i="2"/>
  <c r="V28" i="2"/>
  <c r="V35" i="2"/>
  <c r="V14" i="2"/>
  <c r="V16" i="2"/>
  <c r="V17" i="2"/>
  <c r="V23" i="2"/>
  <c r="V30" i="2"/>
  <c r="V38" i="2"/>
  <c r="V4" i="2"/>
  <c r="V29" i="2"/>
  <c r="V33" i="2"/>
  <c r="V20" i="2"/>
  <c r="V26" i="2"/>
  <c r="V27" i="2"/>
  <c r="V31" i="2"/>
  <c r="V39" i="2"/>
  <c r="V9" i="2"/>
  <c r="V34" i="2"/>
  <c r="V6" i="2"/>
  <c r="V3" i="2"/>
  <c r="V7" i="2"/>
  <c r="V41" i="2"/>
  <c r="V22" i="2"/>
  <c r="V19" i="2"/>
  <c r="V36" i="2"/>
  <c r="V18" i="2"/>
  <c r="V11" i="2"/>
  <c r="V25" i="2"/>
  <c r="V15" i="2"/>
  <c r="V10" i="2"/>
  <c r="V8" i="2"/>
  <c r="V24" i="2"/>
  <c r="V21" i="2"/>
  <c r="V5" i="2"/>
  <c r="T42" i="2"/>
  <c r="R42" i="2"/>
  <c r="S28" i="2" s="1"/>
  <c r="W6" i="6"/>
  <c r="M6" i="6"/>
  <c r="O6" i="6"/>
  <c r="U6" i="6"/>
  <c r="S5" i="6"/>
  <c r="S6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P6" i="6"/>
  <c r="A7" i="6"/>
  <c r="S34" i="2" l="1"/>
  <c r="S37" i="2"/>
  <c r="S20" i="2"/>
  <c r="S7" i="2"/>
  <c r="V42" i="2"/>
  <c r="S35" i="2"/>
  <c r="S27" i="2"/>
  <c r="S30" i="2"/>
  <c r="S12" i="2"/>
  <c r="S13" i="2"/>
  <c r="S11" i="2"/>
  <c r="S17" i="2"/>
  <c r="S18" i="2"/>
  <c r="S9" i="2"/>
  <c r="S5" i="2"/>
  <c r="S3" i="2"/>
  <c r="S38" i="2"/>
  <c r="S33" i="2"/>
  <c r="S36" i="2"/>
  <c r="S40" i="2"/>
  <c r="S23" i="2"/>
  <c r="S25" i="2"/>
  <c r="S22" i="2"/>
  <c r="S26" i="2"/>
  <c r="S6" i="2"/>
  <c r="S19" i="2"/>
  <c r="S4" i="2"/>
  <c r="S15" i="2"/>
  <c r="S8" i="2"/>
  <c r="S41" i="2"/>
  <c r="S39" i="2"/>
  <c r="S24" i="2"/>
  <c r="S16" i="2"/>
  <c r="S10" i="2"/>
  <c r="S31" i="2"/>
  <c r="S32" i="2"/>
  <c r="S21" i="2"/>
  <c r="S14" i="2"/>
  <c r="S29" i="2"/>
  <c r="S7" i="6"/>
  <c r="W7" i="6"/>
  <c r="M7" i="6"/>
  <c r="O7" i="6"/>
  <c r="U7" i="6"/>
  <c r="P7" i="6"/>
  <c r="A8" i="6"/>
  <c r="S42" i="2" l="1"/>
  <c r="M8" i="6"/>
  <c r="O8" i="6"/>
  <c r="U8" i="6"/>
  <c r="W8" i="6"/>
  <c r="S8" i="6"/>
  <c r="P8" i="6"/>
  <c r="A9" i="6"/>
  <c r="X8" i="6"/>
  <c r="X7" i="6"/>
  <c r="X6" i="6"/>
  <c r="X5" i="6"/>
  <c r="X4" i="6"/>
  <c r="X3" i="6"/>
  <c r="O9" i="6" l="1"/>
  <c r="U9" i="6"/>
  <c r="W9" i="6"/>
  <c r="M9" i="6"/>
  <c r="S9" i="6"/>
  <c r="P9" i="6"/>
  <c r="A10" i="6"/>
  <c r="X9" i="6"/>
  <c r="AA5" i="2"/>
  <c r="U10" i="6" l="1"/>
  <c r="M10" i="6"/>
  <c r="W10" i="6"/>
  <c r="O10" i="6"/>
  <c r="S10" i="6"/>
  <c r="P10" i="6"/>
  <c r="A11" i="6"/>
  <c r="X10" i="6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W4" i="1"/>
  <c r="X3" i="2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S56" i="1"/>
  <c r="S55" i="1"/>
  <c r="S54" i="1"/>
  <c r="S53" i="1"/>
  <c r="S52" i="1"/>
  <c r="S51" i="1"/>
  <c r="S50" i="1"/>
  <c r="S49" i="1"/>
  <c r="S48" i="1"/>
  <c r="S47" i="1"/>
  <c r="S46" i="1"/>
  <c r="S45" i="1"/>
  <c r="S43" i="1"/>
  <c r="S42" i="1"/>
  <c r="S34" i="1"/>
  <c r="S32" i="1"/>
  <c r="S31" i="1"/>
  <c r="S29" i="1"/>
  <c r="S26" i="1"/>
  <c r="S25" i="1"/>
  <c r="S24" i="1"/>
  <c r="S23" i="1"/>
  <c r="S22" i="1"/>
  <c r="S21" i="1"/>
  <c r="S20" i="1"/>
  <c r="S19" i="1"/>
  <c r="S16" i="1"/>
  <c r="S15" i="1"/>
  <c r="S14" i="1"/>
  <c r="S13" i="1"/>
  <c r="S12" i="1"/>
  <c r="S11" i="1"/>
  <c r="S10" i="1"/>
  <c r="S9" i="1"/>
  <c r="S5" i="1"/>
  <c r="S3" i="1"/>
  <c r="U4" i="1" s="1"/>
  <c r="U5" i="1" s="1"/>
  <c r="U6" i="1" s="1"/>
  <c r="U7" i="1" s="1"/>
  <c r="U8" i="1" s="1"/>
  <c r="U9" i="1" s="1"/>
  <c r="P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6" i="1"/>
  <c r="N35" i="1"/>
  <c r="N33" i="1"/>
  <c r="N10" i="1"/>
  <c r="N9" i="1"/>
  <c r="N5" i="1"/>
  <c r="AA42" i="2" l="1"/>
  <c r="AB32" i="2" s="1"/>
  <c r="N58" i="1"/>
  <c r="O27" i="1" s="1"/>
  <c r="Y3" i="2"/>
  <c r="U10" i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S11" i="6"/>
  <c r="U11" i="6"/>
  <c r="M11" i="6"/>
  <c r="W11" i="6"/>
  <c r="O11" i="6"/>
  <c r="P11" i="6"/>
  <c r="A12" i="6"/>
  <c r="X11" i="6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O56" i="1"/>
  <c r="O29" i="1"/>
  <c r="O31" i="1"/>
  <c r="O28" i="1"/>
  <c r="O26" i="1"/>
  <c r="O30" i="1"/>
  <c r="O25" i="1"/>
  <c r="O33" i="1"/>
  <c r="S58" i="1"/>
  <c r="T50" i="1" s="1"/>
  <c r="O35" i="1"/>
  <c r="X42" i="2"/>
  <c r="AA44" i="2"/>
  <c r="AA45" i="2" s="1"/>
  <c r="W60" i="1"/>
  <c r="W61" i="1" s="1"/>
  <c r="O21" i="1"/>
  <c r="O57" i="1"/>
  <c r="O11" i="1"/>
  <c r="O23" i="1"/>
  <c r="O47" i="1"/>
  <c r="O9" i="1"/>
  <c r="O46" i="1"/>
  <c r="O13" i="1"/>
  <c r="O38" i="1"/>
  <c r="O39" i="1"/>
  <c r="O16" i="1"/>
  <c r="O40" i="1"/>
  <c r="O17" i="1"/>
  <c r="O18" i="1"/>
  <c r="O42" i="1"/>
  <c r="O54" i="1"/>
  <c r="O24" i="1"/>
  <c r="O50" i="1"/>
  <c r="O15" i="1"/>
  <c r="O51" i="1"/>
  <c r="O4" i="1"/>
  <c r="O5" i="1"/>
  <c r="O19" i="1"/>
  <c r="O43" i="1"/>
  <c r="O55" i="1"/>
  <c r="O12" i="1"/>
  <c r="O3" i="1"/>
  <c r="O52" i="1"/>
  <c r="O8" i="1"/>
  <c r="O20" i="1"/>
  <c r="O44" i="1"/>
  <c r="O42" i="2"/>
  <c r="AB35" i="2" l="1"/>
  <c r="AB10" i="2"/>
  <c r="AB26" i="2"/>
  <c r="AB20" i="2"/>
  <c r="AB33" i="2"/>
  <c r="AB14" i="2"/>
  <c r="AB29" i="2"/>
  <c r="AB30" i="2"/>
  <c r="AB22" i="2"/>
  <c r="AB36" i="2"/>
  <c r="AB9" i="2"/>
  <c r="AB27" i="2"/>
  <c r="AB15" i="2"/>
  <c r="AB8" i="2"/>
  <c r="AB17" i="2"/>
  <c r="AB24" i="2"/>
  <c r="AB4" i="2"/>
  <c r="AB3" i="2"/>
  <c r="AB5" i="2"/>
  <c r="AB12" i="2"/>
  <c r="AB31" i="2"/>
  <c r="AB16" i="2"/>
  <c r="AB38" i="2"/>
  <c r="AB25" i="2"/>
  <c r="AB11" i="2"/>
  <c r="AB23" i="2"/>
  <c r="AB19" i="2"/>
  <c r="AB18" i="2"/>
  <c r="AB21" i="2"/>
  <c r="AB41" i="2"/>
  <c r="AB40" i="2"/>
  <c r="AB37" i="2"/>
  <c r="AB7" i="2"/>
  <c r="AB6" i="2"/>
  <c r="AB39" i="2"/>
  <c r="AB13" i="2"/>
  <c r="AB34" i="2"/>
  <c r="AB28" i="2"/>
  <c r="O14" i="1"/>
  <c r="O58" i="1" s="1"/>
  <c r="O48" i="1"/>
  <c r="O49" i="1"/>
  <c r="T52" i="1"/>
  <c r="O37" i="1"/>
  <c r="T33" i="1"/>
  <c r="T41" i="1"/>
  <c r="O32" i="1"/>
  <c r="O7" i="1"/>
  <c r="O34" i="1"/>
  <c r="O45" i="1"/>
  <c r="O6" i="1"/>
  <c r="O22" i="1"/>
  <c r="O41" i="1"/>
  <c r="O53" i="1"/>
  <c r="O10" i="1"/>
  <c r="O36" i="1"/>
  <c r="U12" i="6"/>
  <c r="W12" i="6"/>
  <c r="O12" i="6"/>
  <c r="M12" i="6"/>
  <c r="S12" i="6"/>
  <c r="P12" i="6"/>
  <c r="A13" i="6"/>
  <c r="X12" i="6"/>
  <c r="T8" i="1"/>
  <c r="T31" i="1"/>
  <c r="T38" i="1"/>
  <c r="T6" i="1"/>
  <c r="T44" i="1"/>
  <c r="T37" i="1"/>
  <c r="T4" i="1"/>
  <c r="T54" i="1"/>
  <c r="T26" i="1"/>
  <c r="T30" i="1"/>
  <c r="T43" i="1"/>
  <c r="T46" i="1"/>
  <c r="T29" i="1"/>
  <c r="T28" i="1"/>
  <c r="T34" i="1"/>
  <c r="T15" i="1"/>
  <c r="T25" i="1"/>
  <c r="T23" i="1"/>
  <c r="T45" i="1"/>
  <c r="T42" i="1"/>
  <c r="T57" i="1"/>
  <c r="T14" i="1"/>
  <c r="T27" i="1"/>
  <c r="T9" i="1"/>
  <c r="T48" i="1"/>
  <c r="T13" i="1"/>
  <c r="T51" i="1"/>
  <c r="T17" i="1"/>
  <c r="T36" i="1"/>
  <c r="T3" i="1"/>
  <c r="T21" i="1"/>
  <c r="T19" i="1"/>
  <c r="T16" i="1"/>
  <c r="T55" i="1"/>
  <c r="T10" i="1"/>
  <c r="T7" i="1"/>
  <c r="T5" i="1"/>
  <c r="T12" i="1"/>
  <c r="T22" i="1"/>
  <c r="T53" i="1"/>
  <c r="T49" i="1"/>
  <c r="T47" i="1"/>
  <c r="T11" i="1"/>
  <c r="T39" i="1"/>
  <c r="T56" i="1"/>
  <c r="T35" i="1"/>
  <c r="T32" i="1"/>
  <c r="T24" i="1"/>
  <c r="T20" i="1"/>
  <c r="T18" i="1"/>
  <c r="T40" i="1"/>
  <c r="P58" i="1"/>
  <c r="Q48" i="1" s="1"/>
  <c r="Z3" i="2"/>
  <c r="AB42" i="2" l="1"/>
  <c r="O13" i="6"/>
  <c r="U13" i="6"/>
  <c r="W13" i="6"/>
  <c r="M13" i="6"/>
  <c r="S13" i="6"/>
  <c r="P13" i="6"/>
  <c r="A14" i="6"/>
  <c r="X13" i="6"/>
  <c r="T58" i="1"/>
  <c r="U58" i="1"/>
  <c r="Q44" i="1"/>
  <c r="Q7" i="1"/>
  <c r="Q4" i="1"/>
  <c r="Q19" i="1"/>
  <c r="Q51" i="1"/>
  <c r="Q55" i="1"/>
  <c r="Q12" i="1"/>
  <c r="Q18" i="1"/>
  <c r="Q23" i="1"/>
  <c r="Q39" i="1"/>
  <c r="Q35" i="1"/>
  <c r="Q24" i="1"/>
  <c r="Q46" i="1"/>
  <c r="Q32" i="1"/>
  <c r="Q33" i="1"/>
  <c r="Q37" i="1"/>
  <c r="Q30" i="1"/>
  <c r="Q25" i="1"/>
  <c r="Q22" i="1"/>
  <c r="Q16" i="1"/>
  <c r="Q31" i="1"/>
  <c r="Q13" i="1"/>
  <c r="Q38" i="1"/>
  <c r="Q28" i="1"/>
  <c r="Q56" i="1"/>
  <c r="Q42" i="1"/>
  <c r="Q14" i="1"/>
  <c r="Q54" i="1"/>
  <c r="Q49" i="1"/>
  <c r="Q15" i="1"/>
  <c r="Q36" i="1"/>
  <c r="Q21" i="1"/>
  <c r="Q45" i="1"/>
  <c r="Q47" i="1"/>
  <c r="Q27" i="1"/>
  <c r="Q41" i="1"/>
  <c r="Q10" i="1"/>
  <c r="Q50" i="1"/>
  <c r="Q8" i="1"/>
  <c r="Q20" i="1"/>
  <c r="Q52" i="1"/>
  <c r="Q57" i="1"/>
  <c r="Q9" i="1"/>
  <c r="Q11" i="1"/>
  <c r="Q40" i="1"/>
  <c r="Q43" i="1"/>
  <c r="Q53" i="1"/>
  <c r="Q26" i="1"/>
  <c r="Q29" i="1"/>
  <c r="Q34" i="1"/>
  <c r="Q6" i="1"/>
  <c r="Q17" i="1"/>
  <c r="Q5" i="1"/>
  <c r="O14" i="6" l="1"/>
  <c r="U14" i="6"/>
  <c r="W14" i="6"/>
  <c r="M14" i="6"/>
  <c r="S14" i="6"/>
  <c r="P14" i="6"/>
  <c r="A15" i="6"/>
  <c r="X14" i="6"/>
  <c r="Q59" i="1"/>
  <c r="V46" i="1"/>
  <c r="V39" i="1"/>
  <c r="V45" i="1"/>
  <c r="V51" i="1"/>
  <c r="V47" i="1"/>
  <c r="V55" i="1"/>
  <c r="V38" i="1"/>
  <c r="V50" i="1"/>
  <c r="V18" i="1"/>
  <c r="V37" i="1"/>
  <c r="V34" i="1"/>
  <c r="V19" i="1"/>
  <c r="V52" i="1"/>
  <c r="V10" i="1"/>
  <c r="V40" i="1"/>
  <c r="V33" i="1"/>
  <c r="V29" i="1"/>
  <c r="V25" i="1"/>
  <c r="V22" i="1"/>
  <c r="V7" i="1"/>
  <c r="V13" i="1"/>
  <c r="V54" i="1"/>
  <c r="V48" i="1"/>
  <c r="V42" i="1"/>
  <c r="V28" i="1"/>
  <c r="V36" i="1"/>
  <c r="V21" i="1"/>
  <c r="V30" i="1"/>
  <c r="V12" i="1"/>
  <c r="V44" i="1"/>
  <c r="V5" i="1"/>
  <c r="V20" i="1"/>
  <c r="V26" i="1"/>
  <c r="V56" i="1"/>
  <c r="V16" i="1"/>
  <c r="V24" i="1"/>
  <c r="V9" i="1"/>
  <c r="V6" i="1"/>
  <c r="V4" i="1"/>
  <c r="V53" i="1"/>
  <c r="V15" i="1"/>
  <c r="V35" i="1"/>
  <c r="V11" i="1"/>
  <c r="V27" i="1"/>
  <c r="V41" i="1"/>
  <c r="V32" i="1"/>
  <c r="V49" i="1"/>
  <c r="V17" i="1"/>
  <c r="V8" i="1"/>
  <c r="V31" i="1"/>
  <c r="V14" i="1"/>
  <c r="V23" i="1"/>
  <c r="V43" i="1"/>
  <c r="V57" i="1"/>
  <c r="Q58" i="1"/>
  <c r="Q60" i="1" l="1"/>
  <c r="Q61" i="1" s="1"/>
  <c r="U15" i="6"/>
  <c r="M15" i="6"/>
  <c r="W15" i="6"/>
  <c r="O15" i="6"/>
  <c r="S15" i="6"/>
  <c r="P15" i="6"/>
  <c r="A16" i="6"/>
  <c r="X15" i="6"/>
  <c r="R55" i="1"/>
  <c r="R31" i="1"/>
  <c r="R19" i="1"/>
  <c r="R7" i="1"/>
  <c r="R54" i="1"/>
  <c r="R42" i="1"/>
  <c r="R30" i="1"/>
  <c r="R18" i="1"/>
  <c r="R6" i="1"/>
  <c r="R27" i="1"/>
  <c r="R26" i="1"/>
  <c r="R25" i="1"/>
  <c r="R24" i="1"/>
  <c r="R8" i="1"/>
  <c r="R53" i="1"/>
  <c r="R41" i="1"/>
  <c r="R29" i="1"/>
  <c r="R17" i="1"/>
  <c r="R5" i="1"/>
  <c r="R52" i="1"/>
  <c r="R40" i="1"/>
  <c r="R28" i="1"/>
  <c r="R16" i="1"/>
  <c r="R14" i="1"/>
  <c r="R37" i="1"/>
  <c r="R12" i="1"/>
  <c r="R11" i="1"/>
  <c r="R46" i="1"/>
  <c r="R22" i="1"/>
  <c r="R45" i="1"/>
  <c r="R20" i="1"/>
  <c r="R51" i="1"/>
  <c r="R39" i="1"/>
  <c r="R15" i="1"/>
  <c r="R13" i="1"/>
  <c r="R36" i="1"/>
  <c r="R35" i="1"/>
  <c r="R34" i="1"/>
  <c r="R21" i="1"/>
  <c r="R56" i="1"/>
  <c r="R50" i="1"/>
  <c r="R47" i="1"/>
  <c r="R10" i="1"/>
  <c r="R33" i="1"/>
  <c r="R44" i="1"/>
  <c r="R57" i="1"/>
  <c r="R9" i="1"/>
  <c r="R32" i="1"/>
  <c r="V60" i="1"/>
  <c r="V61" i="1" s="1"/>
  <c r="V62" i="1" s="1"/>
  <c r="V58" i="1"/>
  <c r="E4" i="2"/>
  <c r="E5" i="2" s="1"/>
  <c r="R23" i="1" l="1"/>
  <c r="R49" i="1"/>
  <c r="R38" i="1"/>
  <c r="R48" i="1"/>
  <c r="R43" i="1"/>
  <c r="R4" i="1"/>
  <c r="U16" i="6"/>
  <c r="O16" i="6"/>
  <c r="M16" i="6"/>
  <c r="W16" i="6"/>
  <c r="S16" i="6"/>
  <c r="P16" i="6"/>
  <c r="A17" i="6"/>
  <c r="X16" i="6"/>
  <c r="V63" i="1"/>
  <c r="R59" i="1" l="1" a="1"/>
  <c r="R59" i="1" s="1"/>
  <c r="R58" i="1"/>
  <c r="M17" i="6"/>
  <c r="O17" i="6"/>
  <c r="U17" i="6"/>
  <c r="W17" i="6"/>
  <c r="S17" i="6"/>
  <c r="P17" i="6"/>
  <c r="A18" i="6"/>
  <c r="X17" i="6"/>
  <c r="B9" i="3"/>
  <c r="C7" i="3"/>
  <c r="B7" i="3"/>
  <c r="S18" i="6" l="1"/>
  <c r="W18" i="6"/>
  <c r="M18" i="6"/>
  <c r="O18" i="6"/>
  <c r="U18" i="6"/>
  <c r="P18" i="6"/>
  <c r="A19" i="6"/>
  <c r="X18" i="6"/>
  <c r="D7" i="3"/>
  <c r="B8" i="3"/>
  <c r="U19" i="6" l="1"/>
  <c r="M19" i="6"/>
  <c r="O19" i="6"/>
  <c r="W19" i="6"/>
  <c r="S19" i="6"/>
  <c r="P19" i="6"/>
  <c r="A20" i="6"/>
  <c r="X19" i="6"/>
  <c r="C8" i="3"/>
  <c r="D8" i="3" s="1"/>
  <c r="D9" i="3"/>
  <c r="E3" i="1"/>
  <c r="E4" i="1" s="1"/>
  <c r="S20" i="6" l="1"/>
  <c r="M20" i="6"/>
  <c r="O20" i="6"/>
  <c r="U20" i="6"/>
  <c r="W20" i="6"/>
  <c r="P20" i="6"/>
  <c r="A21" i="6"/>
  <c r="X20" i="6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6" i="2"/>
  <c r="O21" i="6" l="1"/>
  <c r="U21" i="6"/>
  <c r="W21" i="6"/>
  <c r="M21" i="6"/>
  <c r="S21" i="6"/>
  <c r="P21" i="6"/>
  <c r="A22" i="6"/>
  <c r="X21" i="6"/>
  <c r="C58" i="1"/>
  <c r="J3" i="1" s="1"/>
  <c r="B59" i="1"/>
  <c r="J2" i="1" s="1"/>
  <c r="B58" i="1"/>
  <c r="J4" i="1" s="1"/>
  <c r="C59" i="1"/>
  <c r="J6" i="1" s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M22" i="6" l="1"/>
  <c r="U22" i="6"/>
  <c r="W22" i="6"/>
  <c r="O22" i="6"/>
  <c r="S22" i="6"/>
  <c r="P22" i="6"/>
  <c r="A23" i="6"/>
  <c r="X22" i="6"/>
  <c r="J5" i="1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5" i="3"/>
  <c r="C2" i="3"/>
  <c r="C4" i="3"/>
  <c r="C3" i="3"/>
  <c r="U23" i="6" l="1"/>
  <c r="W23" i="6"/>
  <c r="M23" i="6"/>
  <c r="O23" i="6"/>
  <c r="S23" i="6"/>
  <c r="P23" i="6"/>
  <c r="A24" i="6"/>
  <c r="X23" i="6"/>
  <c r="B42" i="2"/>
  <c r="C43" i="2"/>
  <c r="C6" i="3"/>
  <c r="U24" i="6" l="1"/>
  <c r="W24" i="6"/>
  <c r="M24" i="6"/>
  <c r="O24" i="6"/>
  <c r="S24" i="6"/>
  <c r="P24" i="6"/>
  <c r="A25" i="6"/>
  <c r="X24" i="6"/>
  <c r="B43" i="2"/>
  <c r="B44" i="2" s="1"/>
  <c r="C44" i="2"/>
  <c r="B3" i="3"/>
  <c r="D3" i="3" s="1"/>
  <c r="B4" i="3"/>
  <c r="D4" i="3" s="1"/>
  <c r="M25" i="6" l="1"/>
  <c r="W25" i="6"/>
  <c r="U25" i="6"/>
  <c r="O25" i="6"/>
  <c r="S25" i="6"/>
  <c r="P25" i="6"/>
  <c r="A26" i="6"/>
  <c r="X25" i="6"/>
  <c r="B2" i="3" l="1"/>
  <c r="D2" i="3" s="1"/>
  <c r="W26" i="6"/>
  <c r="U26" i="6"/>
  <c r="M26" i="6"/>
  <c r="O26" i="6"/>
  <c r="S26" i="6"/>
  <c r="P26" i="6"/>
  <c r="A27" i="6"/>
  <c r="X26" i="6"/>
  <c r="B5" i="3"/>
  <c r="D5" i="3" s="1"/>
  <c r="B6" i="3"/>
  <c r="D6" i="3" s="1"/>
  <c r="U27" i="6" l="1"/>
  <c r="M27" i="6"/>
  <c r="O27" i="6"/>
  <c r="W27" i="6"/>
  <c r="S27" i="6"/>
  <c r="P27" i="6"/>
  <c r="A28" i="6"/>
  <c r="X27" i="6"/>
  <c r="M28" i="6" l="1"/>
  <c r="O28" i="6"/>
  <c r="W28" i="6"/>
  <c r="U28" i="6"/>
  <c r="S28" i="6"/>
  <c r="P28" i="6"/>
  <c r="A29" i="6"/>
  <c r="X28" i="6"/>
  <c r="M29" i="6" l="1"/>
  <c r="W29" i="6"/>
  <c r="O29" i="6"/>
  <c r="U29" i="6"/>
  <c r="S29" i="6"/>
  <c r="P29" i="6"/>
  <c r="A30" i="6"/>
  <c r="X29" i="6"/>
  <c r="S30" i="6" l="1"/>
  <c r="O30" i="6"/>
  <c r="M30" i="6"/>
  <c r="W30" i="6"/>
  <c r="U30" i="6"/>
  <c r="P30" i="6"/>
  <c r="K34" i="6"/>
  <c r="A31" i="6"/>
  <c r="X30" i="6"/>
  <c r="W31" i="6" l="1"/>
  <c r="M31" i="6"/>
  <c r="O31" i="6"/>
  <c r="U31" i="6"/>
  <c r="S31" i="6"/>
  <c r="P31" i="6"/>
  <c r="L33" i="6"/>
  <c r="L3" i="6"/>
  <c r="L4" i="6"/>
  <c r="L5" i="6"/>
  <c r="L6" i="6"/>
  <c r="L8" i="6"/>
  <c r="L9" i="6"/>
  <c r="L10" i="6"/>
  <c r="L11" i="6"/>
  <c r="L7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A32" i="6"/>
  <c r="X31" i="6"/>
  <c r="S32" i="6" l="1"/>
  <c r="M32" i="6"/>
  <c r="O32" i="6"/>
  <c r="U32" i="6"/>
  <c r="W32" i="6"/>
  <c r="P32" i="6"/>
  <c r="A33" i="6"/>
  <c r="L36" i="6" s="1"/>
  <c r="X32" i="6"/>
  <c r="O33" i="6" l="1"/>
  <c r="M33" i="6"/>
  <c r="M36" i="6" s="1"/>
  <c r="U33" i="6"/>
  <c r="U36" i="6" s="1"/>
  <c r="W33" i="6"/>
  <c r="S33" i="6"/>
  <c r="P33" i="6"/>
  <c r="H5" i="6" a="1"/>
  <c r="H5" i="6" s="1"/>
  <c r="X33" i="6"/>
  <c r="H6" i="6" s="1" a="1"/>
  <c r="H6" i="6" s="1"/>
  <c r="S34" i="6" l="1"/>
  <c r="U34" i="6"/>
  <c r="V33" i="6" s="1"/>
  <c r="M34" i="6"/>
  <c r="V5" i="6" l="1"/>
  <c r="V3" i="6"/>
  <c r="V4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T3" i="6"/>
  <c r="T4" i="6"/>
  <c r="T6" i="6"/>
  <c r="T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N31" i="6"/>
  <c r="N18" i="6"/>
  <c r="N29" i="6"/>
  <c r="N22" i="6"/>
  <c r="N10" i="6"/>
  <c r="N33" i="6"/>
  <c r="N21" i="6"/>
  <c r="N9" i="6"/>
  <c r="N32" i="6"/>
  <c r="N20" i="6"/>
  <c r="N8" i="6"/>
  <c r="N19" i="6"/>
  <c r="N7" i="6"/>
  <c r="N30" i="6"/>
  <c r="N6" i="6"/>
  <c r="N17" i="6"/>
  <c r="N5" i="6"/>
  <c r="N23" i="6"/>
  <c r="N13" i="6"/>
  <c r="N25" i="6"/>
  <c r="N15" i="6"/>
  <c r="N11" i="6"/>
  <c r="N26" i="6"/>
  <c r="N12" i="6"/>
  <c r="N14" i="6"/>
  <c r="N27" i="6"/>
  <c r="N24" i="6"/>
  <c r="N28" i="6"/>
  <c r="N3" i="6"/>
  <c r="N16" i="6"/>
  <c r="N4" i="6"/>
  <c r="T36" i="6" l="1"/>
  <c r="N36" i="6"/>
  <c r="V36" i="6"/>
  <c r="Y42" i="2" l="1"/>
  <c r="Z4" i="2" l="1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P42" i="2"/>
  <c r="Z4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 l="1"/>
  <c r="R43" i="2" l="1"/>
  <c r="T43" i="2" l="1"/>
  <c r="R45" i="2" l="1"/>
  <c r="T45" i="2" s="1"/>
  <c r="R4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<sst xmlns="http://schemas.openxmlformats.org/spreadsheetml/2006/main" count="101" uniqueCount="69">
  <si>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</si>
  <si>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</si>
  <si>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</si>
  <si>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</si>
  <si>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</si>
  <si>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</si>
  <si>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</si>
  <si>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</si>
  <si>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</si>
  <si>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</si>
  <si>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</si>
  <si>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</si>
  <si>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</si>
  <si>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</si>
  <si>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</si>
  <si>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</si>
  <si>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hospitalization rate</t>
  </si>
  <si>
    <t>time to hospital</t>
  </si>
  <si>
    <t>raw</t>
  </si>
  <si>
    <t>norm</t>
  </si>
  <si>
    <t>smooth</t>
  </si>
  <si>
    <t>Death</t>
  </si>
  <si>
    <t>final</t>
  </si>
  <si>
    <t>Recovery</t>
  </si>
  <si>
    <t>damping - death</t>
  </si>
  <si>
    <t>damping - recovery</t>
  </si>
  <si>
    <t>a</t>
  </si>
  <si>
    <t>b</t>
  </si>
  <si>
    <t>mean</t>
  </si>
  <si>
    <t>variance</t>
  </si>
  <si>
    <t>distribution</t>
  </si>
  <si>
    <t>T</t>
  </si>
  <si>
    <t>lambda</t>
  </si>
  <si>
    <t>std</t>
  </si>
  <si>
    <t>lambda_y</t>
  </si>
  <si>
    <t>lambda_o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</si>
  <si>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</si>
  <si>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</si>
  <si>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</si>
  <si>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</si>
  <si>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</si>
  <si>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</si>
  <si>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</si>
  <si>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</si>
  <si>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</si>
  <si>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</si>
  <si>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</si>
  <si>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</si>
  <si>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</si>
  <si>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</si>
  <si>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</si>
  <si>
    <t>parameter</t>
  </si>
  <si>
    <t>DP_o_raw</t>
  </si>
  <si>
    <t>fo</t>
  </si>
  <si>
    <t>Pois_o</t>
  </si>
  <si>
    <t>Chi_o</t>
  </si>
  <si>
    <t>L_o</t>
  </si>
  <si>
    <t>po</t>
  </si>
  <si>
    <t>Column1</t>
  </si>
  <si>
    <t>Column2</t>
  </si>
  <si>
    <t>log</t>
  </si>
  <si>
    <t>adj</t>
  </si>
  <si>
    <t>pareto</t>
  </si>
  <si>
    <t>checksum</t>
  </si>
  <si>
    <t>log_p</t>
  </si>
  <si>
    <t>pareto_c</t>
  </si>
  <si>
    <t>gamma_a</t>
  </si>
  <si>
    <t>gamma_b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</si>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</sst>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7" fillId="0" borderId="0" xfId="0" applyFont="1" applyFill="1" applyBorder="1"/>
    <xf numFmtId="0" fontId="6" fillId="3" borderId="0" xfId="0" applyFont="1" applyFill="1" applyAlignment="1">
      <alignment horizontal="center"/>
    </xf>
    <xf numFmtId="0" fontId="8" fillId="0" borderId="0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0" borderId="19" xfId="0" applyFont="1" applyBorder="1"/>
    <xf numFmtId="0" fontId="0" fillId="0" borderId="20" xfId="0" applyBorder="1"/>
    <xf numFmtId="0" fontId="0" fillId="4" borderId="20" xfId="0" applyFill="1" applyBorder="1"/>
    <xf numFmtId="0" fontId="7" fillId="3" borderId="20" xfId="0" applyFont="1" applyFill="1" applyBorder="1"/>
    <xf numFmtId="0" fontId="0" fillId="6" borderId="20" xfId="0" applyFill="1" applyBorder="1"/>
    <xf numFmtId="0" fontId="0" fillId="5" borderId="2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0" fillId="7" borderId="0" xfId="0" applyFont="1" applyFill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young!$O$2</c:f>
              <c:strCache>
                <c:ptCount val="1"/>
                <c:pt idx="0">
                  <c:v>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young!$O$3:$O$41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0.10344827586206896</c:v>
                </c:pt>
                <c:pt idx="2">
                  <c:v>6.8965517241379282E-2</c:v>
                </c:pt>
                <c:pt idx="3">
                  <c:v>3.4482758620689682E-2</c:v>
                </c:pt>
                <c:pt idx="4">
                  <c:v>3.4482758620689627E-2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6.8965517241379365E-2</c:v>
                </c:pt>
                <c:pt idx="19">
                  <c:v>3.4482758620689564E-2</c:v>
                </c:pt>
                <c:pt idx="20">
                  <c:v>0</c:v>
                </c:pt>
                <c:pt idx="21">
                  <c:v>6.8965517241379365E-2</c:v>
                </c:pt>
                <c:pt idx="22">
                  <c:v>0</c:v>
                </c:pt>
                <c:pt idx="23">
                  <c:v>0</c:v>
                </c:pt>
                <c:pt idx="24">
                  <c:v>3.4482758620689682E-2</c:v>
                </c:pt>
                <c:pt idx="25">
                  <c:v>0</c:v>
                </c:pt>
                <c:pt idx="26">
                  <c:v>3.4482758620689564E-2</c:v>
                </c:pt>
                <c:pt idx="27">
                  <c:v>0</c:v>
                </c:pt>
                <c:pt idx="28">
                  <c:v>0</c:v>
                </c:pt>
                <c:pt idx="29">
                  <c:v>3.4482758620689682E-2</c:v>
                </c:pt>
                <c:pt idx="30">
                  <c:v>3.4482758620689682E-2</c:v>
                </c:pt>
                <c:pt idx="31">
                  <c:v>3.4482758620689682E-2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163-BF1B-515F8CACF435}"/>
            </c:ext>
          </c:extLst>
        </c:ser>
        <c:ser>
          <c:idx val="1"/>
          <c:order val="1"/>
          <c:tx>
            <c:strRef>
              <c:f>young!$Q$2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young!$Q$3:$Q$41</c:f>
              <c:numCache>
                <c:formatCode>General</c:formatCode>
                <c:ptCount val="39"/>
                <c:pt idx="0">
                  <c:v>0.11808894718190492</c:v>
                </c:pt>
                <c:pt idx="1">
                  <c:v>0.10480394062394062</c:v>
                </c:pt>
                <c:pt idx="2">
                  <c:v>8.4212180459095939E-2</c:v>
                </c:pt>
                <c:pt idx="3">
                  <c:v>5.9601705810467087E-2</c:v>
                </c:pt>
                <c:pt idx="4">
                  <c:v>4.6065944753721194E-2</c:v>
                </c:pt>
                <c:pt idx="5">
                  <c:v>6.5191289288439577E-2</c:v>
                </c:pt>
                <c:pt idx="6">
                  <c:v>7.5710228782534694E-2</c:v>
                </c:pt>
                <c:pt idx="7">
                  <c:v>4.1640625830394087E-2</c:v>
                </c:pt>
                <c:pt idx="8">
                  <c:v>2.2902344206716746E-2</c:v>
                </c:pt>
                <c:pt idx="9">
                  <c:v>1.2596289313694211E-2</c:v>
                </c:pt>
                <c:pt idx="10">
                  <c:v>6.9279591225318163E-3</c:v>
                </c:pt>
                <c:pt idx="11">
                  <c:v>1.7095384075356771E-2</c:v>
                </c:pt>
                <c:pt idx="12">
                  <c:v>9.402461241446225E-3</c:v>
                </c:pt>
                <c:pt idx="13">
                  <c:v>1.845636024075974E-2</c:v>
                </c:pt>
                <c:pt idx="14">
                  <c:v>1.0150998132417858E-2</c:v>
                </c:pt>
                <c:pt idx="15">
                  <c:v>5.5830489728298221E-3</c:v>
                </c:pt>
                <c:pt idx="16">
                  <c:v>3.0706769350564026E-3</c:v>
                </c:pt>
                <c:pt idx="17">
                  <c:v>1.6888723142810217E-3</c:v>
                </c:pt>
                <c:pt idx="18">
                  <c:v>2.749889288878319E-2</c:v>
                </c:pt>
                <c:pt idx="19">
                  <c:v>2.8409397646795023E-2</c:v>
                </c:pt>
                <c:pt idx="20">
                  <c:v>1.5625168705737266E-2</c:v>
                </c:pt>
                <c:pt idx="21">
                  <c:v>3.5163855904084128E-2</c:v>
                </c:pt>
                <c:pt idx="22">
                  <c:v>1.9340120747246271E-2</c:v>
                </c:pt>
                <c:pt idx="23">
                  <c:v>1.0637066410985449E-2</c:v>
                </c:pt>
                <c:pt idx="24">
                  <c:v>1.9135393084006313E-2</c:v>
                </c:pt>
                <c:pt idx="25">
                  <c:v>1.0524466196203472E-2</c:v>
                </c:pt>
                <c:pt idx="26">
                  <c:v>1.907346296587618E-2</c:v>
                </c:pt>
                <c:pt idx="27">
                  <c:v>1.0490404631231898E-2</c:v>
                </c:pt>
                <c:pt idx="28">
                  <c:v>5.7697225471775452E-3</c:v>
                </c:pt>
                <c:pt idx="29">
                  <c:v>1.6458353958911966E-2</c:v>
                </c:pt>
                <c:pt idx="30">
                  <c:v>2.2337101235365895E-2</c:v>
                </c:pt>
                <c:pt idx="31">
                  <c:v>2.5570412237415557E-2</c:v>
                </c:pt>
                <c:pt idx="32">
                  <c:v>1.4063726730578558E-2</c:v>
                </c:pt>
                <c:pt idx="33">
                  <c:v>7.7350497018182076E-3</c:v>
                </c:pt>
                <c:pt idx="34">
                  <c:v>4.254277336000015E-3</c:v>
                </c:pt>
                <c:pt idx="35">
                  <c:v>2.3398525348000084E-3</c:v>
                </c:pt>
                <c:pt idx="36">
                  <c:v>1.2869188941400046E-3</c:v>
                </c:pt>
                <c:pt idx="37">
                  <c:v>7.0780539177700259E-4</c:v>
                </c:pt>
                <c:pt idx="38">
                  <c:v>3.8929296547735145E-4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3-4163-BF1B-515F8CACF435}"/>
            </c:ext>
          </c:extLst>
        </c:ser>
        <c:ser>
          <c:idx val="2"/>
          <c:order val="2"/>
          <c:tx>
            <c:strRef>
              <c:f>young!$S$2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young!$S$3:$S$41</c:f>
              <c:numCache>
                <c:formatCode>General</c:formatCode>
                <c:ptCount val="39"/>
                <c:pt idx="0">
                  <c:v>0.23511733110353703</c:v>
                </c:pt>
                <c:pt idx="1">
                  <c:v>0.11755748996511298</c:v>
                </c:pt>
                <c:pt idx="2">
                  <c:v>7.8370876260142233E-2</c:v>
                </c:pt>
                <c:pt idx="3">
                  <c:v>5.8777569413534722E-2</c:v>
                </c:pt>
                <c:pt idx="4">
                  <c:v>4.7021585310272486E-2</c:v>
                </c:pt>
                <c:pt idx="5">
                  <c:v>3.9184262578682814E-2</c:v>
                </c:pt>
                <c:pt idx="6">
                  <c:v>3.3586174916620311E-2</c:v>
                </c:pt>
                <c:pt idx="7">
                  <c:v>2.9387609173012252E-2</c:v>
                </c:pt>
                <c:pt idx="8">
                  <c:v>2.6122058041707127E-2</c:v>
                </c:pt>
                <c:pt idx="9">
                  <c:v>2.3509617139014043E-2</c:v>
                </c:pt>
                <c:pt idx="10">
                  <c:v>2.1372165493493321E-2</c:v>
                </c:pt>
                <c:pt idx="11">
                  <c:v>1.959095579085186E-2</c:v>
                </c:pt>
                <c:pt idx="12">
                  <c:v>1.8083778351963644E-2</c:v>
                </c:pt>
                <c:pt idx="13">
                  <c:v>1.6791911977452972E-2</c:v>
                </c:pt>
                <c:pt idx="14">
                  <c:v>1.5672294454444319E-2</c:v>
                </c:pt>
                <c:pt idx="15">
                  <c:v>1.469262912328104E-2</c:v>
                </c:pt>
                <c:pt idx="16">
                  <c:v>1.3828218538343351E-2</c:v>
                </c:pt>
                <c:pt idx="17">
                  <c:v>1.3059853575260303E-2</c:v>
                </c:pt>
                <c:pt idx="18">
                  <c:v>1.2372369135844309E-2</c:v>
                </c:pt>
                <c:pt idx="19">
                  <c:v>1.1753633141545304E-2</c:v>
                </c:pt>
                <c:pt idx="20">
                  <c:v>1.1193824385917992E-2</c:v>
                </c:pt>
                <c:pt idx="21">
                  <c:v>1.0684907336416215E-2</c:v>
                </c:pt>
                <c:pt idx="22">
                  <c:v>1.0220243944414904E-2</c:v>
                </c:pt>
                <c:pt idx="23">
                  <c:v>9.7943025027264815E-3</c:v>
                </c:pt>
                <c:pt idx="24">
                  <c:v>9.4024363773133977E-3</c:v>
                </c:pt>
                <c:pt idx="25">
                  <c:v>9.0407138009131003E-3</c:v>
                </c:pt>
                <c:pt idx="26">
                  <c:v>8.7057854903019385E-3</c:v>
                </c:pt>
                <c:pt idx="27">
                  <c:v>8.3947806312882154E-3</c:v>
                </c:pt>
                <c:pt idx="28">
                  <c:v>8.1052243840514914E-3</c:v>
                </c:pt>
                <c:pt idx="29">
                  <c:v>7.8349718874140637E-3</c:v>
                </c:pt>
                <c:pt idx="30">
                  <c:v>7.5821550364792174E-3</c:v>
                </c:pt>
                <c:pt idx="31">
                  <c:v>7.3451392394623246E-3</c:v>
                </c:pt>
                <c:pt idx="32">
                  <c:v>7.1224880369162953E-3</c:v>
                </c:pt>
                <c:pt idx="33">
                  <c:v>6.9129339646231058E-3</c:v>
                </c:pt>
                <c:pt idx="34">
                  <c:v>6.7153544114182187E-3</c:v>
                </c:pt>
                <c:pt idx="35">
                  <c:v>6.5287515007109356E-3</c:v>
                </c:pt>
                <c:pt idx="36">
                  <c:v>6.3522352344609042E-3</c:v>
                </c:pt>
                <c:pt idx="37">
                  <c:v>6.1850092986320167E-3</c:v>
                </c:pt>
                <c:pt idx="38">
                  <c:v>6.0263590524226472E-3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3-4163-BF1B-515F8CACF435}"/>
            </c:ext>
          </c:extLst>
        </c:ser>
        <c:ser>
          <c:idx val="3"/>
          <c:order val="3"/>
          <c:tx>
            <c:strRef>
              <c:f>young!$T$2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young!$T$3:$T$41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0.10344827586206895</c:v>
                </c:pt>
                <c:pt idx="2">
                  <c:v>6.8965517241379282E-2</c:v>
                </c:pt>
                <c:pt idx="3">
                  <c:v>3.4482758620689669E-2</c:v>
                </c:pt>
                <c:pt idx="4">
                  <c:v>3.4482758620689669E-2</c:v>
                </c:pt>
                <c:pt idx="5">
                  <c:v>0.10344827586206895</c:v>
                </c:pt>
                <c:pt idx="6">
                  <c:v>6.8965517241379337E-2</c:v>
                </c:pt>
                <c:pt idx="7">
                  <c:v>6.8965517241379226E-2</c:v>
                </c:pt>
                <c:pt idx="8">
                  <c:v>0</c:v>
                </c:pt>
                <c:pt idx="9">
                  <c:v>3.4482758620689724E-2</c:v>
                </c:pt>
                <c:pt idx="10">
                  <c:v>0</c:v>
                </c:pt>
                <c:pt idx="11">
                  <c:v>6.8965517241379337E-2</c:v>
                </c:pt>
                <c:pt idx="12">
                  <c:v>3.4482758620689613E-2</c:v>
                </c:pt>
                <c:pt idx="13">
                  <c:v>6.8965517241379337E-2</c:v>
                </c:pt>
                <c:pt idx="14">
                  <c:v>3.4482758620689724E-2</c:v>
                </c:pt>
                <c:pt idx="15">
                  <c:v>3.4482758620689502E-2</c:v>
                </c:pt>
                <c:pt idx="16">
                  <c:v>3.4482758620689724E-2</c:v>
                </c:pt>
                <c:pt idx="17">
                  <c:v>0</c:v>
                </c:pt>
                <c:pt idx="18">
                  <c:v>3.4482758620689613E-2</c:v>
                </c:pt>
                <c:pt idx="19">
                  <c:v>0</c:v>
                </c:pt>
                <c:pt idx="20">
                  <c:v>3.4482758620689724E-2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13-4163-BF1B-515F8CACF435}"/>
            </c:ext>
          </c:extLst>
        </c:ser>
        <c:ser>
          <c:idx val="4"/>
          <c:order val="4"/>
          <c:tx>
            <c:strRef>
              <c:f>young!$V$2</c:f>
              <c:strCache>
                <c:ptCount val="1"/>
                <c:pt idx="0">
                  <c:v>pareto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0.15182229301225417</c:v>
                </c:pt>
                <c:pt idx="1">
                  <c:v>9.0274075533100268E-2</c:v>
                </c:pt>
                <c:pt idx="2">
                  <c:v>6.6603124806762171E-2</c:v>
                </c:pt>
                <c:pt idx="3">
                  <c:v>5.3677286462127959E-2</c:v>
                </c:pt>
                <c:pt idx="4">
                  <c:v>4.5405456163617061E-2</c:v>
                </c:pt>
                <c:pt idx="5">
                  <c:v>3.9602454950807893E-2</c:v>
                </c:pt>
                <c:pt idx="6">
                  <c:v>3.5278654765278028E-2</c:v>
                </c:pt>
                <c:pt idx="7">
                  <c:v>3.1916705487400908E-2</c:v>
                </c:pt>
                <c:pt idx="8">
                  <c:v>2.9218213913203728E-2</c:v>
                </c:pt>
                <c:pt idx="9">
                  <c:v>2.6998245764858774E-2</c:v>
                </c:pt>
                <c:pt idx="10">
                  <c:v>2.5135702790052745E-2</c:v>
                </c:pt>
                <c:pt idx="11">
                  <c:v>2.354776059953774E-2</c:v>
                </c:pt>
                <c:pt idx="12">
                  <c:v>2.2175735461048403E-2</c:v>
                </c:pt>
                <c:pt idx="13">
                  <c:v>2.0976813627296642E-2</c:v>
                </c:pt>
                <c:pt idx="14">
                  <c:v>1.991898030106333E-2</c:v>
                </c:pt>
                <c:pt idx="15">
                  <c:v>1.8977786626531774E-2</c:v>
                </c:pt>
                <c:pt idx="16">
                  <c:v>1.8134218963953324E-2</c:v>
                </c:pt>
                <c:pt idx="17">
                  <c:v>1.7373253936626688E-2</c:v>
                </c:pt>
                <c:pt idx="18">
                  <c:v>1.6682853869552559E-2</c:v>
                </c:pt>
                <c:pt idx="19">
                  <c:v>1.6053252978081071E-2</c:v>
                </c:pt>
                <c:pt idx="20">
                  <c:v>1.547644024950167E-2</c:v>
                </c:pt>
                <c:pt idx="21">
                  <c:v>1.4945778299262236E-2</c:v>
                </c:pt>
                <c:pt idx="22">
                  <c:v>1.4455718063484394E-2</c:v>
                </c:pt>
                <c:pt idx="23">
                  <c:v>1.4001582223675511E-2</c:v>
                </c:pt>
                <c:pt idx="24">
                  <c:v>1.3579398707011669E-2</c:v>
                </c:pt>
                <c:pt idx="25">
                  <c:v>1.3185771195348452E-2</c:v>
                </c:pt>
                <c:pt idx="26">
                  <c:v>1.281777734535146E-2</c:v>
                </c:pt>
                <c:pt idx="27">
                  <c:v>1.24728880078336E-2</c:v>
                </c:pt>
                <c:pt idx="28">
                  <c:v>1.2148902536311118E-2</c:v>
                </c:pt>
                <c:pt idx="29">
                  <c:v>1.1843896548811779E-2</c:v>
                </c:pt>
                <c:pt idx="30">
                  <c:v>1.1556179419841519E-2</c:v>
                </c:pt>
                <c:pt idx="31">
                  <c:v>1.1284259441637533E-2</c:v>
                </c:pt>
                <c:pt idx="32">
                  <c:v>1.102681507976196E-2</c:v>
                </c:pt>
                <c:pt idx="33">
                  <c:v>1.0782671108475285E-2</c:v>
                </c:pt>
                <c:pt idx="34">
                  <c:v>1.0550778681276539E-2</c:v>
                </c:pt>
                <c:pt idx="35">
                  <c:v>1.0330198596092742E-2</c:v>
                </c:pt>
                <c:pt idx="36">
                  <c:v>1.0120087170257672E-2</c:v>
                </c:pt>
                <c:pt idx="37">
                  <c:v>9.9196842601112882E-3</c:v>
                </c:pt>
                <c:pt idx="38">
                  <c:v>9.7283030527982924E-3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13-4163-BF1B-515F8CAC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078616"/>
        <c:axId val="1103078944"/>
      </c:lineChart>
      <c:catAx>
        <c:axId val="1103078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944"/>
        <c:crosses val="autoZero"/>
        <c:auto val="1"/>
        <c:lblAlgn val="ctr"/>
        <c:lblOffset val="100"/>
        <c:noMultiLvlLbl val="0"/>
      </c:catAx>
      <c:valAx>
        <c:axId val="1103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young!$X$2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young!$X$3:$X$41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2.9866117404737387E-2</c:v>
                </c:pt>
                <c:pt idx="2">
                  <c:v>8.1359423274974252E-2</c:v>
                </c:pt>
                <c:pt idx="3">
                  <c:v>8.9598352214212168E-2</c:v>
                </c:pt>
                <c:pt idx="4">
                  <c:v>8.4449021627188481E-2</c:v>
                </c:pt>
                <c:pt idx="5">
                  <c:v>0.10092687950566424</c:v>
                </c:pt>
                <c:pt idx="6">
                  <c:v>9.2687950566426397E-2</c:v>
                </c:pt>
                <c:pt idx="7">
                  <c:v>7.9299691040164794E-2</c:v>
                </c:pt>
                <c:pt idx="8">
                  <c:v>7.518022657054578E-2</c:v>
                </c:pt>
                <c:pt idx="9">
                  <c:v>6.4881565396498517E-2</c:v>
                </c:pt>
                <c:pt idx="10">
                  <c:v>5.6642636457260497E-2</c:v>
                </c:pt>
                <c:pt idx="11">
                  <c:v>4.6343975283213226E-2</c:v>
                </c:pt>
                <c:pt idx="12">
                  <c:v>3.7075180226570463E-2</c:v>
                </c:pt>
                <c:pt idx="13">
                  <c:v>2.7806385169927936E-2</c:v>
                </c:pt>
                <c:pt idx="14">
                  <c:v>1.7507723995880551E-2</c:v>
                </c:pt>
                <c:pt idx="15">
                  <c:v>1.7507723995880551E-2</c:v>
                </c:pt>
                <c:pt idx="16">
                  <c:v>2.2657054582904242E-2</c:v>
                </c:pt>
                <c:pt idx="17">
                  <c:v>7.2090628218331679E-3</c:v>
                </c:pt>
                <c:pt idx="18">
                  <c:v>5.1493305870236915E-3</c:v>
                </c:pt>
                <c:pt idx="19">
                  <c:v>1.235839340885686E-2</c:v>
                </c:pt>
                <c:pt idx="20">
                  <c:v>1.1328527291452121E-2</c:v>
                </c:pt>
                <c:pt idx="21">
                  <c:v>2.0597322348094769E-3</c:v>
                </c:pt>
                <c:pt idx="22">
                  <c:v>2.0597322348094769E-3</c:v>
                </c:pt>
                <c:pt idx="23">
                  <c:v>2.0597322348093624E-3</c:v>
                </c:pt>
                <c:pt idx="24">
                  <c:v>6.1791967044284302E-3</c:v>
                </c:pt>
                <c:pt idx="25">
                  <c:v>0</c:v>
                </c:pt>
                <c:pt idx="26">
                  <c:v>5.1493305870236915E-3</c:v>
                </c:pt>
                <c:pt idx="27">
                  <c:v>0</c:v>
                </c:pt>
                <c:pt idx="28">
                  <c:v>0</c:v>
                </c:pt>
                <c:pt idx="29">
                  <c:v>2.0597322348094769E-3</c:v>
                </c:pt>
                <c:pt idx="30">
                  <c:v>0</c:v>
                </c:pt>
                <c:pt idx="31">
                  <c:v>5.1493305870236915E-3</c:v>
                </c:pt>
                <c:pt idx="32">
                  <c:v>2.0597322348094769E-3</c:v>
                </c:pt>
                <c:pt idx="33">
                  <c:v>3.0895983522142151E-3</c:v>
                </c:pt>
                <c:pt idx="34">
                  <c:v>2.0597322348094769E-3</c:v>
                </c:pt>
                <c:pt idx="35">
                  <c:v>3.0895983522142151E-3</c:v>
                </c:pt>
                <c:pt idx="36">
                  <c:v>0</c:v>
                </c:pt>
                <c:pt idx="37">
                  <c:v>0</c:v>
                </c:pt>
                <c:pt idx="38">
                  <c:v>5.1493305870236915E-3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3-4495-ABC3-A577439EE18B}"/>
            </c:ext>
          </c:extLst>
        </c:ser>
        <c:ser>
          <c:idx val="1"/>
          <c:order val="1"/>
          <c:tx>
            <c:strRef>
              <c:f>young!$Z$2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young!$Z$3:$Z$41</c:f>
              <c:numCache>
                <c:formatCode>General</c:formatCode>
                <c:ptCount val="39"/>
                <c:pt idx="0">
                  <c:v>0</c:v>
                </c:pt>
                <c:pt idx="1">
                  <c:v>1.9449301294080876E-2</c:v>
                </c:pt>
                <c:pt idx="2">
                  <c:v>5.9789834840252076E-2</c:v>
                </c:pt>
                <c:pt idx="3">
                  <c:v>7.9274346076330882E-2</c:v>
                </c:pt>
                <c:pt idx="4">
                  <c:v>8.2740597199634155E-2</c:v>
                </c:pt>
                <c:pt idx="5">
                  <c:v>9.4684434082628013E-2</c:v>
                </c:pt>
                <c:pt idx="6">
                  <c:v>9.3499452496757021E-2</c:v>
                </c:pt>
                <c:pt idx="7">
                  <c:v>8.4366056637459025E-2</c:v>
                </c:pt>
                <c:pt idx="8">
                  <c:v>7.848670583924526E-2</c:v>
                </c:pt>
                <c:pt idx="9">
                  <c:v>6.9722277441221919E-2</c:v>
                </c:pt>
                <c:pt idx="10">
                  <c:v>6.1289403006994814E-2</c:v>
                </c:pt>
                <c:pt idx="11">
                  <c:v>5.1631241336366811E-2</c:v>
                </c:pt>
                <c:pt idx="12">
                  <c:v>4.2214894694863211E-2</c:v>
                </c:pt>
                <c:pt idx="13">
                  <c:v>3.2883183313553305E-2</c:v>
                </c:pt>
                <c:pt idx="14">
                  <c:v>2.2910428711446253E-2</c:v>
                </c:pt>
                <c:pt idx="15">
                  <c:v>1.9419964600708783E-2</c:v>
                </c:pt>
                <c:pt idx="16">
                  <c:v>2.1551629971274959E-2</c:v>
                </c:pt>
                <c:pt idx="17">
                  <c:v>1.2237729423000245E-2</c:v>
                </c:pt>
                <c:pt idx="18">
                  <c:v>7.6365331073743777E-3</c:v>
                </c:pt>
                <c:pt idx="19">
                  <c:v>1.0720773329959335E-2</c:v>
                </c:pt>
                <c:pt idx="20">
                  <c:v>1.1129591845999209E-2</c:v>
                </c:pt>
                <c:pt idx="21">
                  <c:v>5.2366882698294407E-3</c:v>
                </c:pt>
                <c:pt idx="22">
                  <c:v>3.1741720181700218E-3</c:v>
                </c:pt>
                <c:pt idx="23">
                  <c:v>2.4522913300891501E-3</c:v>
                </c:pt>
                <c:pt idx="24">
                  <c:v>4.8822953367203548E-3</c:v>
                </c:pt>
                <c:pt idx="25">
                  <c:v>1.708803367852124E-3</c:v>
                </c:pt>
                <c:pt idx="26">
                  <c:v>3.9514089880725361E-3</c:v>
                </c:pt>
                <c:pt idx="27">
                  <c:v>1.3829931458253875E-3</c:v>
                </c:pt>
                <c:pt idx="28">
                  <c:v>4.8404760103888558E-4</c:v>
                </c:pt>
                <c:pt idx="29">
                  <c:v>1.5107477840933272E-3</c:v>
                </c:pt>
                <c:pt idx="30">
                  <c:v>5.2876172443266456E-4</c:v>
                </c:pt>
                <c:pt idx="31">
                  <c:v>3.5383944128757248E-3</c:v>
                </c:pt>
                <c:pt idx="32">
                  <c:v>2.5797691682362205E-3</c:v>
                </c:pt>
                <c:pt idx="33">
                  <c:v>2.9149158944772532E-3</c:v>
                </c:pt>
                <c:pt idx="34">
                  <c:v>2.3615516867967557E-3</c:v>
                </c:pt>
                <c:pt idx="35">
                  <c:v>2.8385397759734402E-3</c:v>
                </c:pt>
                <c:pt idx="36">
                  <c:v>9.9348892159070419E-4</c:v>
                </c:pt>
                <c:pt idx="37">
                  <c:v>3.4772112255674644E-4</c:v>
                </c:pt>
                <c:pt idx="38">
                  <c:v>3.4750302022191538E-3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3-4495-ABC3-A577439EE18B}"/>
            </c:ext>
          </c:extLst>
        </c:ser>
        <c:ser>
          <c:idx val="2"/>
          <c:order val="2"/>
          <c:tx>
            <c:strRef>
              <c:f>young!$AB$2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young!$AB$3:$AB$41</c:f>
              <c:numCache>
                <c:formatCode>General</c:formatCode>
                <c:ptCount val="39"/>
                <c:pt idx="0">
                  <c:v>0</c:v>
                </c:pt>
                <c:pt idx="1">
                  <c:v>1.7621970136716743E-2</c:v>
                </c:pt>
                <c:pt idx="2">
                  <c:v>4.9674054886409941E-2</c:v>
                </c:pt>
                <c:pt idx="3">
                  <c:v>7.7639075392454807E-2</c:v>
                </c:pt>
                <c:pt idx="4">
                  <c:v>9.5316574356368103E-2</c:v>
                </c:pt>
                <c:pt idx="5">
                  <c:v>0.1025174070268758</c:v>
                </c:pt>
                <c:pt idx="6">
                  <c:v>0.10141047764229109</c:v>
                </c:pt>
                <c:pt idx="7">
                  <c:v>9.4686357029480778E-2</c:v>
                </c:pt>
                <c:pt idx="8">
                  <c:v>8.474899560483419E-2</c:v>
                </c:pt>
                <c:pt idx="9">
                  <c:v>7.3444772806819561E-2</c:v>
                </c:pt>
                <c:pt idx="10">
                  <c:v>6.2047945821140829E-2</c:v>
                </c:pt>
                <c:pt idx="11">
                  <c:v>5.1350665166133312E-2</c:v>
                </c:pt>
                <c:pt idx="12">
                  <c:v>4.178075505296542E-2</c:v>
                </c:pt>
                <c:pt idx="13">
                  <c:v>3.3512147806703342E-2</c:v>
                </c:pt>
                <c:pt idx="14">
                  <c:v>2.6554891088100985E-2</c:v>
                </c:pt>
                <c:pt idx="15">
                  <c:v>2.0822496285282072E-2</c:v>
                </c:pt>
                <c:pt idx="16">
                  <c:v>1.6179136440048879E-2</c:v>
                </c:pt>
                <c:pt idx="17">
                  <c:v>1.2470771524823395E-2</c:v>
                </c:pt>
                <c:pt idx="18">
                  <c:v>9.5443274336665974E-3</c:v>
                </c:pt>
                <c:pt idx="19">
                  <c:v>7.2584725272022057E-3</c:v>
                </c:pt>
                <c:pt idx="20">
                  <c:v>5.4887760001800538E-3</c:v>
                </c:pt>
                <c:pt idx="21">
                  <c:v>4.1293075596282791E-3</c:v>
                </c:pt>
                <c:pt idx="22">
                  <c:v>3.0921306351842058E-3</c:v>
                </c:pt>
                <c:pt idx="23">
                  <c:v>2.3056695417193358E-3</c:v>
                </c:pt>
                <c:pt idx="24">
                  <c:v>1.7125833009186318E-3</c:v>
                </c:pt>
                <c:pt idx="25">
                  <c:v>1.2675331842325222E-3</c:v>
                </c:pt>
                <c:pt idx="26">
                  <c:v>9.3506401606582011E-4</c:v>
                </c:pt>
                <c:pt idx="27">
                  <c:v>6.8771003000515961E-4</c:v>
                </c:pt>
                <c:pt idx="28">
                  <c:v>5.0436770073059272E-4</c:v>
                </c:pt>
                <c:pt idx="29">
                  <c:v>3.6893754980903793E-4</c:v>
                </c:pt>
                <c:pt idx="30">
                  <c:v>2.6921496431699332E-4</c:v>
                </c:pt>
                <c:pt idx="31">
                  <c:v>1.9599985834469686E-4</c:v>
                </c:pt>
                <c:pt idx="32">
                  <c:v>1.4239193817400104E-4</c:v>
                </c:pt>
                <c:pt idx="33">
                  <c:v>1.0323933144363574E-4</c:v>
                </c:pt>
                <c:pt idx="34">
                  <c:v>7.4711429734007165E-5</c:v>
                </c:pt>
                <c:pt idx="35">
                  <c:v>5.3970745776956486E-5</c:v>
                </c:pt>
                <c:pt idx="36">
                  <c:v>3.8922678206333783E-5</c:v>
                </c:pt>
                <c:pt idx="37">
                  <c:v>2.8025913954283559E-5</c:v>
                </c:pt>
                <c:pt idx="38">
                  <c:v>2.0149593257077205E-5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C-4D9C-9D06-54B0A314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957136"/>
        <c:axId val="640953856"/>
      </c:lineChart>
      <c:catAx>
        <c:axId val="64095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3856"/>
        <c:crosses val="autoZero"/>
        <c:auto val="1"/>
        <c:lblAlgn val="ctr"/>
        <c:lblOffset val="100"/>
        <c:noMultiLvlLbl val="0"/>
      </c:catAx>
      <c:valAx>
        <c:axId val="640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death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old!$O$3:$O$57</c:f>
              <c:numCache>
                <c:formatCode>General</c:formatCode>
                <c:ptCount val="55"/>
                <c:pt idx="0">
                  <c:v>8.4507042253521084E-2</c:v>
                </c:pt>
                <c:pt idx="1">
                  <c:v>7.9812206572769925E-2</c:v>
                </c:pt>
                <c:pt idx="2">
                  <c:v>8.4507042253521084E-2</c:v>
                </c:pt>
                <c:pt idx="3">
                  <c:v>7.5117370892018753E-2</c:v>
                </c:pt>
                <c:pt idx="4">
                  <c:v>7.0422535211267581E-2</c:v>
                </c:pt>
                <c:pt idx="5">
                  <c:v>5.6338028169014065E-2</c:v>
                </c:pt>
                <c:pt idx="6">
                  <c:v>7.0422535211267581E-2</c:v>
                </c:pt>
                <c:pt idx="7">
                  <c:v>6.5727699530516395E-2</c:v>
                </c:pt>
                <c:pt idx="8">
                  <c:v>5.6338028169014065E-2</c:v>
                </c:pt>
                <c:pt idx="9">
                  <c:v>5.1643192488262886E-2</c:v>
                </c:pt>
                <c:pt idx="10">
                  <c:v>4.2253521126760542E-2</c:v>
                </c:pt>
                <c:pt idx="11">
                  <c:v>3.2863849765258205E-2</c:v>
                </c:pt>
                <c:pt idx="12">
                  <c:v>3.7558685446009377E-2</c:v>
                </c:pt>
                <c:pt idx="13">
                  <c:v>2.8169014084507032E-2</c:v>
                </c:pt>
                <c:pt idx="14">
                  <c:v>2.347417840375586E-2</c:v>
                </c:pt>
                <c:pt idx="15">
                  <c:v>2.347417840375586E-2</c:v>
                </c:pt>
                <c:pt idx="16">
                  <c:v>2.347417840375586E-2</c:v>
                </c:pt>
                <c:pt idx="17">
                  <c:v>1.8779342723004688E-2</c:v>
                </c:pt>
                <c:pt idx="18">
                  <c:v>1.8779342723004688E-2</c:v>
                </c:pt>
                <c:pt idx="19">
                  <c:v>1.4084507042253516E-2</c:v>
                </c:pt>
                <c:pt idx="20">
                  <c:v>1.4084507042253516E-2</c:v>
                </c:pt>
                <c:pt idx="21">
                  <c:v>9.3896713615023442E-3</c:v>
                </c:pt>
                <c:pt idx="22">
                  <c:v>9.3896713615023442E-3</c:v>
                </c:pt>
                <c:pt idx="23">
                  <c:v>4.6948356807511721E-3</c:v>
                </c:pt>
                <c:pt idx="24">
                  <c:v>4.6948356807511721E-3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D-4F20-A503-D8BD504BB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old!$Q$4:$Q$57</c:f>
              <c:numCache>
                <c:formatCode>General</c:formatCode>
                <c:ptCount val="54"/>
                <c:pt idx="0">
                  <c:v>7.7922077922915514E-2</c:v>
                </c:pt>
                <c:pt idx="1">
                  <c:v>7.5757575758390094E-2</c:v>
                </c:pt>
                <c:pt idx="2">
                  <c:v>7.6839826840652811E-2</c:v>
                </c:pt>
                <c:pt idx="3">
                  <c:v>7.3051948052733309E-2</c:v>
                </c:pt>
                <c:pt idx="4">
                  <c:v>6.8993506494248111E-2</c:v>
                </c:pt>
                <c:pt idx="5">
                  <c:v>6.0470779221429231E-2</c:v>
                </c:pt>
                <c:pt idx="6">
                  <c:v>6.2702922078596082E-2</c:v>
                </c:pt>
                <c:pt idx="7">
                  <c:v>6.1654491342654077E-2</c:v>
                </c:pt>
                <c:pt idx="8">
                  <c:v>5.6801271645632215E-2</c:v>
                </c:pt>
                <c:pt idx="9">
                  <c:v>5.221015963259585E-2</c:v>
                </c:pt>
                <c:pt idx="10">
                  <c:v>4.5585599297026803E-2</c:v>
                </c:pt>
                <c:pt idx="11">
                  <c:v>3.794431480019142E-2</c:v>
                </c:pt>
                <c:pt idx="12">
                  <c:v>3.6288174716299158E-2</c:v>
                </c:pt>
                <c:pt idx="13">
                  <c:v>3.1131100345302167E-2</c:v>
                </c:pt>
                <c:pt idx="14">
                  <c:v>2.638806099527824E-2</c:v>
                </c:pt>
                <c:pt idx="15">
                  <c:v>2.4016541320266274E-2</c:v>
                </c:pt>
                <c:pt idx="16">
                  <c:v>2.2830781482760291E-2</c:v>
                </c:pt>
                <c:pt idx="17">
                  <c:v>2.007339939948187E-2</c:v>
                </c:pt>
                <c:pt idx="18">
                  <c:v>1.8694708357842663E-2</c:v>
                </c:pt>
                <c:pt idx="19">
                  <c:v>1.5840860672497625E-2</c:v>
                </c:pt>
                <c:pt idx="20">
                  <c:v>1.4413936829825107E-2</c:v>
                </c:pt>
                <c:pt idx="21">
                  <c:v>1.1535972743963415E-2</c:v>
                </c:pt>
                <c:pt idx="22">
                  <c:v>1.0096990701032571E-2</c:v>
                </c:pt>
                <c:pt idx="23">
                  <c:v>7.2129975150417164E-3</c:v>
                </c:pt>
                <c:pt idx="24">
                  <c:v>5.7710009220462884E-3</c:v>
                </c:pt>
                <c:pt idx="25">
                  <c:v>2.8855004610231442E-3</c:v>
                </c:pt>
                <c:pt idx="26">
                  <c:v>1.4427502305115721E-3</c:v>
                </c:pt>
                <c:pt idx="27">
                  <c:v>7.2137511525578605E-4</c:v>
                </c:pt>
                <c:pt idx="28">
                  <c:v>3.6068755762789302E-4</c:v>
                </c:pt>
                <c:pt idx="29">
                  <c:v>1.8034377881394651E-4</c:v>
                </c:pt>
                <c:pt idx="30">
                  <c:v>9.0171889406973256E-5</c:v>
                </c:pt>
                <c:pt idx="31">
                  <c:v>4.5085944703486628E-5</c:v>
                </c:pt>
                <c:pt idx="32">
                  <c:v>2.2542972351743314E-5</c:v>
                </c:pt>
                <c:pt idx="33">
                  <c:v>1.1271486175871657E-5</c:v>
                </c:pt>
                <c:pt idx="34">
                  <c:v>5.6357430879358285E-6</c:v>
                </c:pt>
                <c:pt idx="35">
                  <c:v>2.8178715439679142E-6</c:v>
                </c:pt>
                <c:pt idx="36">
                  <c:v>1.4089357719839571E-6</c:v>
                </c:pt>
                <c:pt idx="37">
                  <c:v>7.0446788599197856E-7</c:v>
                </c:pt>
                <c:pt idx="38">
                  <c:v>3.5223394299598928E-7</c:v>
                </c:pt>
                <c:pt idx="39">
                  <c:v>1.7611697149799464E-7</c:v>
                </c:pt>
                <c:pt idx="40">
                  <c:v>8.805848574899732E-8</c:v>
                </c:pt>
                <c:pt idx="41">
                  <c:v>4.402924287449866E-8</c:v>
                </c:pt>
                <c:pt idx="42">
                  <c:v>2.201462143724933E-8</c:v>
                </c:pt>
                <c:pt idx="43">
                  <c:v>1.1007310718624665E-8</c:v>
                </c:pt>
                <c:pt idx="44">
                  <c:v>5.5036553593123325E-9</c:v>
                </c:pt>
                <c:pt idx="45">
                  <c:v>2.7518276796561663E-9</c:v>
                </c:pt>
                <c:pt idx="46">
                  <c:v>1.3759138398280831E-9</c:v>
                </c:pt>
                <c:pt idx="47">
                  <c:v>6.8795691991404156E-10</c:v>
                </c:pt>
                <c:pt idx="48">
                  <c:v>3.4397845995702078E-10</c:v>
                </c:pt>
                <c:pt idx="49">
                  <c:v>1.7198922997851039E-10</c:v>
                </c:pt>
                <c:pt idx="50">
                  <c:v>8.5994614989255195E-11</c:v>
                </c:pt>
                <c:pt idx="51">
                  <c:v>4.2997307494627598E-11</c:v>
                </c:pt>
                <c:pt idx="52">
                  <c:v>2.1498653747313799E-11</c:v>
                </c:pt>
                <c:pt idx="53">
                  <c:v>1.0749326873656899E-11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D-4F20-A503-D8BD504BBC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old!$R$4:$R$57</c:f>
              <c:numCache>
                <c:formatCode>General</c:formatCode>
                <c:ptCount val="54"/>
                <c:pt idx="0">
                  <c:v>9.7937977539138091E-2</c:v>
                </c:pt>
                <c:pt idx="1">
                  <c:v>8.7802596457579235E-2</c:v>
                </c:pt>
                <c:pt idx="2">
                  <c:v>7.8716103174702651E-2</c:v>
                </c:pt>
                <c:pt idx="3">
                  <c:v>7.056995065065147E-2</c:v>
                </c:pt>
                <c:pt idx="4">
                  <c:v>6.3266825134655147E-2</c:v>
                </c:pt>
                <c:pt idx="5">
                  <c:v>5.6719483657199928E-2</c:v>
                </c:pt>
                <c:pt idx="6">
                  <c:v>5.0849711827520884E-2</c:v>
                </c:pt>
                <c:pt idx="7">
                  <c:v>4.558738948628796E-2</c:v>
                </c:pt>
                <c:pt idx="8">
                  <c:v>4.0869653051794658E-2</c:v>
                </c:pt>
                <c:pt idx="9">
                  <c:v>3.6640144553056267E-2</c:v>
                </c:pt>
                <c:pt idx="10">
                  <c:v>3.2848338378784141E-2</c:v>
                </c:pt>
                <c:pt idx="11">
                  <c:v>2.9448937699594842E-2</c:v>
                </c:pt>
                <c:pt idx="12">
                  <c:v>2.6401333353127693E-2</c:v>
                </c:pt>
                <c:pt idx="13">
                  <c:v>2.3669118727924859E-2</c:v>
                </c:pt>
                <c:pt idx="14">
                  <c:v>2.1219654850887861E-2</c:v>
                </c:pt>
                <c:pt idx="15">
                  <c:v>1.9023680482855281E-2</c:v>
                </c:pt>
                <c:pt idx="16">
                  <c:v>1.705496256451252E-2</c:v>
                </c:pt>
                <c:pt idx="17">
                  <c:v>1.5289982836868292E-2</c:v>
                </c:pt>
                <c:pt idx="18">
                  <c:v>1.3707656892673396E-2</c:v>
                </c:pt>
                <c:pt idx="19">
                  <c:v>1.2289082302576502E-2</c:v>
                </c:pt>
                <c:pt idx="20">
                  <c:v>1.1017312807137629E-2</c:v>
                </c:pt>
                <c:pt idx="21">
                  <c:v>9.8771558772025002E-3</c:v>
                </c:pt>
                <c:pt idx="22">
                  <c:v>8.8549912242985706E-3</c:v>
                </c:pt>
                <c:pt idx="23">
                  <c:v>7.9386080929820212E-3</c:v>
                </c:pt>
                <c:pt idx="24">
                  <c:v>7.1170593914339766E-3</c:v>
                </c:pt>
                <c:pt idx="25">
                  <c:v>6.3805309177533322E-3</c:v>
                </c:pt>
                <c:pt idx="26">
                  <c:v>5.7202241197264357E-3</c:v>
                </c:pt>
                <c:pt idx="27">
                  <c:v>5.1282509875246454E-3</c:v>
                </c:pt>
                <c:pt idx="28">
                  <c:v>4.5975398237202694E-3</c:v>
                </c:pt>
                <c:pt idx="29">
                  <c:v>4.1217507649516597E-3</c:v>
                </c:pt>
                <c:pt idx="30">
                  <c:v>3.6952000460612516E-3</c:v>
                </c:pt>
                <c:pt idx="31">
                  <c:v>3.3127921019676762E-3</c:v>
                </c:pt>
                <c:pt idx="32">
                  <c:v>2.9699586961624263E-3</c:v>
                </c:pt>
                <c:pt idx="33">
                  <c:v>2.6626043486615634E-3</c:v>
                </c:pt>
                <c:pt idx="34">
                  <c:v>2.387057411495985E-3</c:v>
                </c:pt>
                <c:pt idx="35">
                  <c:v>2.1400262072891908E-3</c:v>
                </c:pt>
                <c:pt idx="36">
                  <c:v>1.9185597069550258E-3</c:v>
                </c:pt>
                <c:pt idx="37">
                  <c:v>1.7200122767720566E-3</c:v>
                </c:pt>
                <c:pt idx="38">
                  <c:v>1.5420120737039682E-3</c:v>
                </c:pt>
                <c:pt idx="39">
                  <c:v>1.3824327114171689E-3</c:v>
                </c:pt>
                <c:pt idx="40">
                  <c:v>1.2393678585185435E-3</c:v>
                </c:pt>
                <c:pt idx="41">
                  <c:v>1.1111084655644555E-3</c:v>
                </c:pt>
                <c:pt idx="42">
                  <c:v>9.961223487953857E-4</c:v>
                </c:pt>
                <c:pt idx="43">
                  <c:v>8.9303588670396484E-4</c:v>
                </c:pt>
                <c:pt idx="44">
                  <c:v>8.0061761078402947E-4</c:v>
                </c:pt>
                <c:pt idx="45">
                  <c:v>7.1776349443615462E-4</c:v>
                </c:pt>
                <c:pt idx="46">
                  <c:v>6.434837642912821E-4</c:v>
                </c:pt>
                <c:pt idx="47">
                  <c:v>5.768910764008075E-4</c:v>
                </c:pt>
                <c:pt idx="48">
                  <c:v>5.1718991604617103E-4</c:v>
                </c:pt>
                <c:pt idx="49">
                  <c:v>4.6366709453831795E-4</c:v>
                </c:pt>
                <c:pt idx="50">
                  <c:v>4.1568322948201713E-4</c:v>
                </c:pt>
                <c:pt idx="51">
                  <c:v>3.726651067284645E-4</c:v>
                </c:pt>
                <c:pt idx="52">
                  <c:v>3.3409883277224175E-4</c:v>
                </c:pt>
                <c:pt idx="53">
                  <c:v>2.9952369579131454E-4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5-48DB-A8B1-81662FAB0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1240"/>
        <c:axId val="1113022880"/>
      </c:lineChart>
      <c:catAx>
        <c:axId val="11130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2880"/>
        <c:crosses val="autoZero"/>
        <c:auto val="1"/>
        <c:lblAlgn val="ctr"/>
        <c:lblOffset val="100"/>
        <c:noMultiLvlLbl val="0"/>
      </c:catAx>
      <c:valAx>
        <c:axId val="1113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old!$T$3:$T$57</c:f>
              <c:numCache>
                <c:formatCode>General</c:formatCode>
                <c:ptCount val="55"/>
                <c:pt idx="0">
                  <c:v>0</c:v>
                </c:pt>
                <c:pt idx="1">
                  <c:v>1.2820512820512818E-2</c:v>
                </c:pt>
                <c:pt idx="2">
                  <c:v>3.5897435897435888E-2</c:v>
                </c:pt>
                <c:pt idx="3">
                  <c:v>4.1025641025641019E-2</c:v>
                </c:pt>
                <c:pt idx="4">
                  <c:v>5.6410256410256397E-2</c:v>
                </c:pt>
                <c:pt idx="5">
                  <c:v>6.1538461538461528E-2</c:v>
                </c:pt>
                <c:pt idx="6">
                  <c:v>5.1282051282051246E-2</c:v>
                </c:pt>
                <c:pt idx="7">
                  <c:v>5.2564102564102565E-2</c:v>
                </c:pt>
                <c:pt idx="8">
                  <c:v>7.0512820512820498E-2</c:v>
                </c:pt>
                <c:pt idx="9">
                  <c:v>7.0512820512820498E-2</c:v>
                </c:pt>
                <c:pt idx="10">
                  <c:v>5.1282051282051322E-2</c:v>
                </c:pt>
                <c:pt idx="11">
                  <c:v>6.4102564102564083E-2</c:v>
                </c:pt>
                <c:pt idx="12">
                  <c:v>5.7692307692307661E-2</c:v>
                </c:pt>
                <c:pt idx="13">
                  <c:v>4.7435897435897469E-2</c:v>
                </c:pt>
                <c:pt idx="14">
                  <c:v>4.2307692307692303E-2</c:v>
                </c:pt>
                <c:pt idx="15">
                  <c:v>5.1282051282051273E-2</c:v>
                </c:pt>
                <c:pt idx="16">
                  <c:v>3.9743589743589769E-2</c:v>
                </c:pt>
                <c:pt idx="17">
                  <c:v>1.9230769230769246E-2</c:v>
                </c:pt>
                <c:pt idx="18">
                  <c:v>2.3076923076923092E-2</c:v>
                </c:pt>
                <c:pt idx="19">
                  <c:v>2.1794871794871811E-2</c:v>
                </c:pt>
                <c:pt idx="20">
                  <c:v>2.0512820512820384E-2</c:v>
                </c:pt>
                <c:pt idx="21">
                  <c:v>1.0256410256410263E-2</c:v>
                </c:pt>
                <c:pt idx="22">
                  <c:v>8.9743589743589806E-3</c:v>
                </c:pt>
                <c:pt idx="23">
                  <c:v>1.6666666666666677E-2</c:v>
                </c:pt>
                <c:pt idx="24">
                  <c:v>1.1538461538461536E-2</c:v>
                </c:pt>
                <c:pt idx="25">
                  <c:v>1.0256410256410255E-2</c:v>
                </c:pt>
                <c:pt idx="26">
                  <c:v>8.9743589743589806E-3</c:v>
                </c:pt>
                <c:pt idx="27">
                  <c:v>6.4102564102564092E-3</c:v>
                </c:pt>
                <c:pt idx="28">
                  <c:v>3.846153846153849E-3</c:v>
                </c:pt>
                <c:pt idx="29">
                  <c:v>7.6923076923076979E-3</c:v>
                </c:pt>
                <c:pt idx="30">
                  <c:v>6.4102564102564092E-3</c:v>
                </c:pt>
                <c:pt idx="31">
                  <c:v>3.846153846153849E-3</c:v>
                </c:pt>
                <c:pt idx="32">
                  <c:v>3.8461538461538455E-3</c:v>
                </c:pt>
                <c:pt idx="33">
                  <c:v>5.1282051282051273E-3</c:v>
                </c:pt>
                <c:pt idx="34">
                  <c:v>2.5641025641025637E-3</c:v>
                </c:pt>
                <c:pt idx="35">
                  <c:v>1.2820512820512818E-3</c:v>
                </c:pt>
                <c:pt idx="36">
                  <c:v>1.2820512820512818E-3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old!$V$4:$V$57</c:f>
              <c:numCache>
                <c:formatCode>General</c:formatCode>
                <c:ptCount val="54"/>
                <c:pt idx="0">
                  <c:v>0</c:v>
                </c:pt>
                <c:pt idx="1">
                  <c:v>6.4102565025348944E-3</c:v>
                </c:pt>
                <c:pt idx="2">
                  <c:v>2.1153846458365148E-2</c:v>
                </c:pt>
                <c:pt idx="3">
                  <c:v>3.108974403729424E-2</c:v>
                </c:pt>
                <c:pt idx="4">
                  <c:v>4.375000062980066E-2</c:v>
                </c:pt>
                <c:pt idx="5">
                  <c:v>5.2644231527067827E-2</c:v>
                </c:pt>
                <c:pt idx="6">
                  <c:v>5.1963141773673477E-2</c:v>
                </c:pt>
                <c:pt idx="7">
                  <c:v>5.2263622547229813E-2</c:v>
                </c:pt>
                <c:pt idx="8">
                  <c:v>6.1388222037556825E-2</c:v>
                </c:pt>
                <c:pt idx="9">
                  <c:v>6.5950521782720331E-2</c:v>
                </c:pt>
                <c:pt idx="10">
                  <c:v>5.861628690149976E-2</c:v>
                </c:pt>
                <c:pt idx="11">
                  <c:v>6.1359425963424349E-2</c:v>
                </c:pt>
                <c:pt idx="12">
                  <c:v>5.9525867243119188E-2</c:v>
                </c:pt>
                <c:pt idx="13">
                  <c:v>5.3480882680938729E-2</c:v>
                </c:pt>
                <c:pt idx="14">
                  <c:v>4.789428779883452E-2</c:v>
                </c:pt>
                <c:pt idx="15">
                  <c:v>4.9588169909556841E-2</c:v>
                </c:pt>
                <c:pt idx="16">
                  <c:v>4.4665880112636613E-2</c:v>
                </c:pt>
                <c:pt idx="17">
                  <c:v>3.1948324810120658E-2</c:v>
                </c:pt>
                <c:pt idx="18">
                  <c:v>2.751262410962315E-2</c:v>
                </c:pt>
                <c:pt idx="19">
                  <c:v>2.4653748109120903E-2</c:v>
                </c:pt>
                <c:pt idx="20">
                  <c:v>2.258328445861622E-2</c:v>
                </c:pt>
                <c:pt idx="21">
                  <c:v>1.6419847431336031E-2</c:v>
                </c:pt>
                <c:pt idx="22">
                  <c:v>1.2697103267442446E-2</c:v>
                </c:pt>
                <c:pt idx="23">
                  <c:v>1.4681885087016594E-2</c:v>
                </c:pt>
                <c:pt idx="24">
                  <c:v>1.3110173395789701E-2</c:v>
                </c:pt>
                <c:pt idx="25">
                  <c:v>1.1683291899922767E-2</c:v>
                </c:pt>
                <c:pt idx="26">
                  <c:v>1.0328825501735812E-2</c:v>
                </c:pt>
                <c:pt idx="27">
                  <c:v>8.3695410021353538E-3</c:v>
                </c:pt>
                <c:pt idx="28">
                  <c:v>6.1078474518281474E-3</c:v>
                </c:pt>
                <c:pt idx="29">
                  <c:v>6.9000776274350138E-3</c:v>
                </c:pt>
                <c:pt idx="30">
                  <c:v>6.6551670649849541E-3</c:v>
                </c:pt>
                <c:pt idx="31">
                  <c:v>5.2506604832529471E-3</c:v>
                </c:pt>
                <c:pt idx="32">
                  <c:v>4.5484071923869423E-3</c:v>
                </c:pt>
                <c:pt idx="33">
                  <c:v>4.8383061972074289E-3</c:v>
                </c:pt>
                <c:pt idx="34">
                  <c:v>3.7012043991106933E-3</c:v>
                </c:pt>
                <c:pt idx="35">
                  <c:v>2.4916278498088363E-3</c:v>
                </c:pt>
                <c:pt idx="36">
                  <c:v>1.8868395751579076E-3</c:v>
                </c:pt>
                <c:pt idx="37">
                  <c:v>9.434197875789538E-4</c:v>
                </c:pt>
                <c:pt idx="38">
                  <c:v>4.717098937894769E-4</c:v>
                </c:pt>
                <c:pt idx="39">
                  <c:v>2.3585494689473845E-4</c:v>
                </c:pt>
                <c:pt idx="40">
                  <c:v>1.1792747344736922E-4</c:v>
                </c:pt>
                <c:pt idx="41">
                  <c:v>5.8963736723684612E-5</c:v>
                </c:pt>
                <c:pt idx="42">
                  <c:v>2.9481868361842306E-5</c:v>
                </c:pt>
                <c:pt idx="43">
                  <c:v>1.4740934180921153E-5</c:v>
                </c:pt>
                <c:pt idx="44">
                  <c:v>7.3704670904605765E-6</c:v>
                </c:pt>
                <c:pt idx="45">
                  <c:v>3.6852335452302883E-6</c:v>
                </c:pt>
                <c:pt idx="46">
                  <c:v>1.8426167726151441E-6</c:v>
                </c:pt>
                <c:pt idx="47">
                  <c:v>9.2130838630757207E-7</c:v>
                </c:pt>
                <c:pt idx="48">
                  <c:v>4.6065419315378603E-7</c:v>
                </c:pt>
                <c:pt idx="49">
                  <c:v>2.3032709657689302E-7</c:v>
                </c:pt>
                <c:pt idx="50">
                  <c:v>1.1516354828844651E-7</c:v>
                </c:pt>
                <c:pt idx="51">
                  <c:v>5.7581774144223254E-8</c:v>
                </c:pt>
                <c:pt idx="52">
                  <c:v>2.8790887072111627E-8</c:v>
                </c:pt>
                <c:pt idx="53">
                  <c:v>1.4395443536055814E-8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old!$W$4:$W$57</c:f>
              <c:numCache>
                <c:formatCode>General</c:formatCode>
                <c:ptCount val="54"/>
                <c:pt idx="0">
                  <c:v>1.3263549077736014E-3</c:v>
                </c:pt>
                <c:pt idx="1">
                  <c:v>5.0240556932217096E-3</c:v>
                </c:pt>
                <c:pt idx="2">
                  <c:v>1.1672561565225082E-2</c:v>
                </c:pt>
                <c:pt idx="3">
                  <c:v>2.0747162020006666E-2</c:v>
                </c:pt>
                <c:pt idx="4">
                  <c:v>3.1129836582298519E-2</c:v>
                </c:pt>
                <c:pt idx="5">
                  <c:v>4.1554875842604991E-2</c:v>
                </c:pt>
                <c:pt idx="6">
                  <c:v>5.0921893033842938E-2</c:v>
                </c:pt>
                <c:pt idx="7">
                  <c:v>5.8452552374256922E-2</c:v>
                </c:pt>
                <c:pt idx="8">
                  <c:v>6.3725468466626509E-2</c:v>
                </c:pt>
                <c:pt idx="9">
                  <c:v>6.6635958870419371E-2</c:v>
                </c:pt>
                <c:pt idx="10">
                  <c:v>6.7320471714343258E-2</c:v>
                </c:pt>
                <c:pt idx="11">
                  <c:v>6.6073279410671509E-2</c:v>
                </c:pt>
                <c:pt idx="12">
                  <c:v>6.3271520301686104E-2</c:v>
                </c:pt>
                <c:pt idx="13">
                  <c:v>5.9315967449638164E-2</c:v>
                </c:pt>
                <c:pt idx="14">
                  <c:v>5.4589207866391487E-2</c:v>
                </c:pt>
                <c:pt idx="15">
                  <c:v>4.9429686878060909E-2</c:v>
                </c:pt>
                <c:pt idx="16">
                  <c:v>4.411859800837329E-2</c:v>
                </c:pt>
                <c:pt idx="17">
                  <c:v>3.8876237095582716E-2</c:v>
                </c:pt>
                <c:pt idx="18">
                  <c:v>3.3864699904820335E-2</c:v>
                </c:pt>
                <c:pt idx="19">
                  <c:v>2.9194348891569848E-2</c:v>
                </c:pt>
                <c:pt idx="20">
                  <c:v>2.4932097543893247E-2</c:v>
                </c:pt>
                <c:pt idx="21">
                  <c:v>2.111014336193091E-2</c:v>
                </c:pt>
                <c:pt idx="22">
                  <c:v>1.7734268830336172E-2</c:v>
                </c:pt>
                <c:pt idx="23">
                  <c:v>1.4791207910647239E-2</c:v>
                </c:pt>
                <c:pt idx="24">
                  <c:v>1.225484918818521E-2</c:v>
                </c:pt>
                <c:pt idx="25">
                  <c:v>1.0091231504551825E-2</c:v>
                </c:pt>
                <c:pt idx="26">
                  <c:v>8.262402536570566E-3</c:v>
                </c:pt>
                <c:pt idx="27">
                  <c:v>6.7292735344292118E-3</c:v>
                </c:pt>
                <c:pt idx="28">
                  <c:v>5.4536299887266949E-3</c:v>
                </c:pt>
                <c:pt idx="29">
                  <c:v>4.3994609043124487E-3</c:v>
                </c:pt>
                <c:pt idx="30">
                  <c:v>3.5337580805223966E-3</c:v>
                </c:pt>
                <c:pt idx="31">
                  <c:v>2.826918098662091E-3</c:v>
                </c:pt>
                <c:pt idx="32">
                  <c:v>2.2528581777013453E-3</c:v>
                </c:pt>
                <c:pt idx="33">
                  <c:v>1.7889355824576882E-3</c:v>
                </c:pt>
                <c:pt idx="34">
                  <c:v>1.4157405381865714E-3</c:v>
                </c:pt>
                <c:pt idx="35">
                  <c:v>1.1168154561835243E-3</c:v>
                </c:pt>
                <c:pt idx="36">
                  <c:v>8.7833898254502103E-4</c:v>
                </c:pt>
                <c:pt idx="37">
                  <c:v>6.8880187801871183E-4</c:v>
                </c:pt>
                <c:pt idx="38">
                  <c:v>5.3869275996572361E-4</c:v>
                </c:pt>
                <c:pt idx="39">
                  <c:v>4.2020493764240749E-4</c:v>
                </c:pt>
                <c:pt idx="40">
                  <c:v>3.2697057597093229E-4</c:v>
                </c:pt>
                <c:pt idx="41">
                  <c:v>2.5382487389747385E-4</c:v>
                </c:pt>
                <c:pt idx="42">
                  <c:v>1.9660052223226392E-4</c:v>
                </c:pt>
                <c:pt idx="43">
                  <c:v>1.5195114015640156E-4</c:v>
                </c:pt>
                <c:pt idx="44">
                  <c:v>1.172014551161123E-4</c:v>
                </c:pt>
                <c:pt idx="45">
                  <c:v>9.0221508440181845E-5</c:v>
                </c:pt>
                <c:pt idx="46">
                  <c:v>6.9321999339497434E-5</c:v>
                </c:pt>
                <c:pt idx="47">
                  <c:v>5.3167917265449917E-5</c:v>
                </c:pt>
                <c:pt idx="48">
                  <c:v>4.0707778735111994E-5</c:v>
                </c:pt>
                <c:pt idx="49">
                  <c:v>3.1116023394627088E-5</c:v>
                </c:pt>
                <c:pt idx="50">
                  <c:v>2.3746395998179498E-5</c:v>
                </c:pt>
                <c:pt idx="51">
                  <c:v>1.8094419714434381E-5</c:v>
                </c:pt>
                <c:pt idx="52">
                  <c:v>1.3767334853359659E-5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E-47BD-9146-92A3BAFA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admission!$B$2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admission!$C$3:$C$33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admission!$D$2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admission!$E$3:$E$33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admission!$O$2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admission!$O$3:$O$34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admission!$L$2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admission!$L$3:$L$34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admission!$J$2</c:f>
              <c:strCache>
                <c:ptCount val="1"/>
                <c:pt idx="0">
                  <c:v>DP_y_raw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admission!$J$3:$J$33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admission!$P$2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admission!$P$3:$P$33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admission!$M$2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admission!$N$3:$N$33</c:f>
              <c:numCache>
                <c:formatCode>General</c:formatCode>
                <c:ptCount val="31"/>
                <c:pt idx="0">
                  <c:v>0.33696958884051037</c:v>
                </c:pt>
                <c:pt idx="1">
                  <c:v>0.15879691874109053</c:v>
                </c:pt>
                <c:pt idx="2">
                  <c:v>9.977739727565188E-2</c:v>
                </c:pt>
                <c:pt idx="3">
                  <c:v>7.0530147699226414E-2</c:v>
                </c:pt>
                <c:pt idx="4">
                  <c:v>5.3179731365216719E-2</c:v>
                </c:pt>
                <c:pt idx="5">
                  <c:v>4.1768247343097302E-2</c:v>
                </c:pt>
                <c:pt idx="6">
                  <c:v>3.3742776960745034E-2</c:v>
                </c:pt>
                <c:pt idx="7">
                  <c:v>2.7827246374814416E-2</c:v>
                </c:pt>
                <c:pt idx="8">
                  <c:v>2.3313048629566745E-2</c:v>
                </c:pt>
                <c:pt idx="9">
                  <c:v>1.9775293500029992E-2</c:v>
                </c:pt>
                <c:pt idx="10">
                  <c:v>1.6943831021616607E-2</c:v>
                </c:pt>
                <c:pt idx="11">
                  <c:v>1.4638764009717514E-2</c:v>
                </c:pt>
                <c:pt idx="12">
                  <c:v>1.2735724688454233E-2</c:v>
                </c:pt>
                <c:pt idx="13">
                  <c:v>1.1146033338948966E-2</c:v>
                </c:pt>
                <c:pt idx="14">
                  <c:v>9.8047939938287754E-3</c:v>
                </c:pt>
                <c:pt idx="15">
                  <c:v>8.6634546929846411E-3</c:v>
                </c:pt>
                <c:pt idx="16">
                  <c:v>7.6849939276593176E-3</c:v>
                </c:pt>
                <c:pt idx="17">
                  <c:v>6.8407119558845228E-3</c:v>
                </c:pt>
                <c:pt idx="18">
                  <c:v>6.108035701662155E-3</c:v>
                </c:pt>
                <c:pt idx="19">
                  <c:v>5.4689824663757521E-3</c:v>
                </c:pt>
                <c:pt idx="20">
                  <c:v>4.9090628329134722E-3</c:v>
                </c:pt>
                <c:pt idx="21">
                  <c:v>4.4164830054745407E-3</c:v>
                </c:pt>
                <c:pt idx="22">
                  <c:v>3.9815554399354183E-3</c:v>
                </c:pt>
                <c:pt idx="23">
                  <c:v>3.5962570020500006E-3</c:v>
                </c:pt>
                <c:pt idx="24">
                  <c:v>3.2538933354548409E-3</c:v>
                </c:pt>
                <c:pt idx="25">
                  <c:v>2.9488408352559494E-3</c:v>
                </c:pt>
                <c:pt idx="26">
                  <c:v>2.6763460988128533E-3</c:v>
                </c:pt>
                <c:pt idx="27">
                  <c:v>2.432368476769288E-3</c:v>
                </c:pt>
                <c:pt idx="28">
                  <c:v>2.2134553138600521E-3</c:v>
                </c:pt>
                <c:pt idx="29">
                  <c:v>2.016642245535996E-3</c:v>
                </c:pt>
                <c:pt idx="30">
                  <c:v>1.8393728868558161E-3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Old,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admission!$W$2</c:f>
              <c:strCache>
                <c:ptCount val="1"/>
                <c:pt idx="0">
                  <c:v>Chi_o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admission!$W$3:$W$34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3-4E36-8104-B9E16EABD149}"/>
            </c:ext>
          </c:extLst>
        </c:ser>
        <c:ser>
          <c:idx val="1"/>
          <c:order val="1"/>
          <c:tx>
            <c:strRef>
              <c:f>admission!$T$2</c:f>
              <c:strCache>
                <c:ptCount val="1"/>
                <c:pt idx="0">
                  <c:v>DP_o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admission!$T$3:$T$34</c:f>
              <c:numCache>
                <c:formatCode>General</c:formatCode>
                <c:ptCount val="32"/>
                <c:pt idx="0">
                  <c:v>0.4213355289841918</c:v>
                </c:pt>
                <c:pt idx="1">
                  <c:v>0.20167310162571717</c:v>
                </c:pt>
                <c:pt idx="2">
                  <c:v>0.10277715870875144</c:v>
                </c:pt>
                <c:pt idx="3">
                  <c:v>7.0151841721198246E-2</c:v>
                </c:pt>
                <c:pt idx="4">
                  <c:v>4.7051161400504492E-2</c:v>
                </c:pt>
                <c:pt idx="5">
                  <c:v>3.2855614471013296E-2</c:v>
                </c:pt>
                <c:pt idx="6">
                  <c:v>2.4188833946040364E-2</c:v>
                </c:pt>
                <c:pt idx="7">
                  <c:v>1.8973970509798505E-2</c:v>
                </c:pt>
                <c:pt idx="8">
                  <c:v>1.5657848783864656E-2</c:v>
                </c:pt>
                <c:pt idx="9">
                  <c:v>1.3026371909995574E-2</c:v>
                </c:pt>
                <c:pt idx="10">
                  <c:v>1.0549850816832821E-2</c:v>
                </c:pt>
                <c:pt idx="11">
                  <c:v>8.6978976202255077E-3</c:v>
                </c:pt>
                <c:pt idx="12">
                  <c:v>7.3529210729652321E-3</c:v>
                </c:pt>
                <c:pt idx="13">
                  <c:v>5.5985046689169165E-3</c:v>
                </c:pt>
                <c:pt idx="14">
                  <c:v>4.3190044773458247E-3</c:v>
                </c:pt>
                <c:pt idx="15">
                  <c:v>3.7005055264407549E-3</c:v>
                </c:pt>
                <c:pt idx="16">
                  <c:v>2.9928398957855037E-3</c:v>
                </c:pt>
                <c:pt idx="17">
                  <c:v>2.4926333809634793E-3</c:v>
                </c:pt>
                <c:pt idx="18">
                  <c:v>1.9585203844648415E-3</c:v>
                </c:pt>
                <c:pt idx="19">
                  <c:v>1.7173798643879423E-3</c:v>
                </c:pt>
                <c:pt idx="20">
                  <c:v>1.2336864180740796E-3</c:v>
                </c:pt>
                <c:pt idx="21">
                  <c:v>8.738246593777882E-4</c:v>
                </c:pt>
                <c:pt idx="22">
                  <c:v>4.1910060672728527E-4</c:v>
                </c:pt>
                <c:pt idx="23">
                  <c:v>2.7131528961617051E-4</c:v>
                </c:pt>
                <c:pt idx="24">
                  <c:v>8.8177469125255399E-5</c:v>
                </c:pt>
                <c:pt idx="25">
                  <c:v>2.8657677465708E-5</c:v>
                </c:pt>
                <c:pt idx="26">
                  <c:v>9.3137451763550989E-6</c:v>
                </c:pt>
                <c:pt idx="27">
                  <c:v>3.0269671823154069E-6</c:v>
                </c:pt>
                <c:pt idx="28">
                  <c:v>9.837643342525071E-7</c:v>
                </c:pt>
                <c:pt idx="29">
                  <c:v>3.1972340863206475E-7</c:v>
                </c:pt>
                <c:pt idx="30">
                  <c:v>1.0391010780542102E-7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3-4E36-8104-B9E16EABD149}"/>
            </c:ext>
          </c:extLst>
        </c:ser>
        <c:ser>
          <c:idx val="2"/>
          <c:order val="2"/>
          <c:tx>
            <c:strRef>
              <c:f>admission!$R$2</c:f>
              <c:strCache>
                <c:ptCount val="1"/>
                <c:pt idx="0">
                  <c:v>DP_o_raw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admission!$R$3:$R$33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0.12031805817116548</c:v>
                </c:pt>
                <c:pt idx="2">
                  <c:v>6.9198577108181558E-2</c:v>
                </c:pt>
                <c:pt idx="3">
                  <c:v>6.829880728185822E-2</c:v>
                </c:pt>
                <c:pt idx="4">
                  <c:v>4.507219083490277E-2</c:v>
                </c:pt>
                <c:pt idx="5">
                  <c:v>3.2642812303829261E-2</c:v>
                </c:pt>
                <c:pt idx="6">
                  <c:v>2.5109855618330235E-2</c:v>
                </c:pt>
                <c:pt idx="7">
                  <c:v>2.065285624607649E-2</c:v>
                </c:pt>
                <c:pt idx="8">
                  <c:v>1.7639673571877013E-2</c:v>
                </c:pt>
                <c:pt idx="9">
                  <c:v>1.4752040175768921E-2</c:v>
                </c:pt>
                <c:pt idx="10">
                  <c:v>1.1738857501569333E-2</c:v>
                </c:pt>
                <c:pt idx="11">
                  <c:v>9.7928436911488559E-3</c:v>
                </c:pt>
                <c:pt idx="12">
                  <c:v>8.4118016321406142E-3</c:v>
                </c:pt>
                <c:pt idx="13">
                  <c:v>5.9635907093533724E-3</c:v>
                </c:pt>
                <c:pt idx="14">
                  <c:v>4.6453232893911567E-3</c:v>
                </c:pt>
                <c:pt idx="15">
                  <c:v>4.268675455116111E-3</c:v>
                </c:pt>
                <c:pt idx="16">
                  <c:v>3.3270558694286079E-3</c:v>
                </c:pt>
                <c:pt idx="17">
                  <c:v>2.8248587570622874E-3</c:v>
                </c:pt>
                <c:pt idx="18">
                  <c:v>2.134337727558111E-3</c:v>
                </c:pt>
                <c:pt idx="19">
                  <c:v>2.0087884494663921E-3</c:v>
                </c:pt>
                <c:pt idx="20">
                  <c:v>1.2554927809164118E-3</c:v>
                </c:pt>
                <c:pt idx="21">
                  <c:v>8.7884494664169921E-4</c:v>
                </c:pt>
                <c:pt idx="22">
                  <c:v>2.5109855618310473E-4</c:v>
                </c:pt>
                <c:pt idx="23">
                  <c:v>2.5109855618365984E-4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3-4E36-8104-B9E16EABD149}"/>
            </c:ext>
          </c:extLst>
        </c:ser>
        <c:ser>
          <c:idx val="3"/>
          <c:order val="3"/>
          <c:tx>
            <c:strRef>
              <c:f>admission!$X$2</c:f>
              <c:strCache>
                <c:ptCount val="1"/>
                <c:pt idx="0">
                  <c:v>Pois_o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admission!$X$3:$X$33</c:f>
              <c:numCache>
                <c:formatCode>General</c:formatCode>
                <c:ptCount val="31"/>
                <c:pt idx="0">
                  <c:v>0.61522168764070195</c:v>
                </c:pt>
                <c:pt idx="1">
                  <c:v>0.29885784396180087</c:v>
                </c:pt>
                <c:pt idx="2">
                  <c:v>7.2588477204056159E-2</c:v>
                </c:pt>
                <c:pt idx="3">
                  <c:v>1.1753831304217579E-2</c:v>
                </c:pt>
                <c:pt idx="4">
                  <c:v>1.4274223228947138E-3</c:v>
                </c:pt>
                <c:pt idx="5">
                  <c:v>1.3868053302191059E-4</c:v>
                </c:pt>
                <c:pt idx="6">
                  <c:v>1.122786737718909E-5</c:v>
                </c:pt>
                <c:pt idx="7">
                  <c:v>7.7917006040162587E-7</c:v>
                </c:pt>
                <c:pt idx="8">
                  <c:v>4.7312434080511917E-8</c:v>
                </c:pt>
                <c:pt idx="9">
                  <c:v>2.5536760571101461E-9</c:v>
                </c:pt>
                <c:pt idx="10">
                  <c:v>1.2405058793221904E-10</c:v>
                </c:pt>
                <c:pt idx="11">
                  <c:v>5.4782161523521061E-12</c:v>
                </c:pt>
                <c:pt idx="12">
                  <c:v>2.2176394581807165E-13</c:v>
                </c:pt>
                <c:pt idx="13">
                  <c:v>8.2866808010434104E-15</c:v>
                </c:pt>
                <c:pt idx="14">
                  <c:v>2.8753161056193552E-16</c:v>
                </c:pt>
                <c:pt idx="15">
                  <c:v>9.3116653643923731E-18</c:v>
                </c:pt>
                <c:pt idx="16">
                  <c:v>2.8270949829971218E-19</c:v>
                </c:pt>
                <c:pt idx="17">
                  <c:v>8.0783841420100666E-21</c:v>
                </c:pt>
                <c:pt idx="18">
                  <c:v>2.1801431869351614E-22</c:v>
                </c:pt>
                <c:pt idx="19">
                  <c:v>5.5739675928771838E-24</c:v>
                </c:pt>
                <c:pt idx="20">
                  <c:v>1.3538403884203513E-25</c:v>
                </c:pt>
                <c:pt idx="21">
                  <c:v>3.1317075088921421E-27</c:v>
                </c:pt>
                <c:pt idx="22">
                  <c:v>6.9149896609234128E-29</c:v>
                </c:pt>
                <c:pt idx="23">
                  <c:v>1.4604837238192835E-30</c:v>
                </c:pt>
                <c:pt idx="24">
                  <c:v>2.9560957836445908E-32</c:v>
                </c:pt>
                <c:pt idx="25">
                  <c:v>5.7439614382420224E-34</c:v>
                </c:pt>
                <c:pt idx="26">
                  <c:v>1.0731765886611276E-35</c:v>
                </c:pt>
                <c:pt idx="27">
                  <c:v>1.9308140398860478E-37</c:v>
                </c:pt>
                <c:pt idx="28">
                  <c:v>3.3497734733195514E-39</c:v>
                </c:pt>
                <c:pt idx="29">
                  <c:v>5.6111317163816708E-41</c:v>
                </c:pt>
                <c:pt idx="30">
                  <c:v>9.0857803001837366E-43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3-4E36-8104-B9E16EABD149}"/>
            </c:ext>
          </c:extLst>
        </c:ser>
        <c:ser>
          <c:idx val="4"/>
          <c:order val="4"/>
          <c:tx>
            <c:strRef>
              <c:f>admission!$U$2</c:f>
              <c:strCache>
                <c:ptCount val="1"/>
                <c:pt idx="0">
                  <c:v>L_o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admission!$V$3:$V$33</c:f>
              <c:numCache>
                <c:formatCode>General</c:formatCode>
                <c:ptCount val="31"/>
                <c:pt idx="0">
                  <c:v>0.41291506334369904</c:v>
                </c:pt>
                <c:pt idx="1">
                  <c:v>0.18219877170040721</c:v>
                </c:pt>
                <c:pt idx="2">
                  <c:v>0.10719361068373957</c:v>
                </c:pt>
                <c:pt idx="3">
                  <c:v>7.0948771071300126E-2</c:v>
                </c:pt>
                <c:pt idx="4">
                  <c:v>5.0089832376337885E-2</c:v>
                </c:pt>
                <c:pt idx="5">
                  <c:v>3.6836897560098489E-2</c:v>
                </c:pt>
                <c:pt idx="6">
                  <c:v>2.7864481797245929E-2</c:v>
                </c:pt>
                <c:pt idx="7">
                  <c:v>2.1516604537810836E-2</c:v>
                </c:pt>
                <c:pt idx="8">
                  <c:v>1.6878580892993832E-2</c:v>
                </c:pt>
                <c:pt idx="9">
                  <c:v>1.3405812874260353E-2</c:v>
                </c:pt>
                <c:pt idx="10">
                  <c:v>1.0755118055940689E-2</c:v>
                </c:pt>
                <c:pt idx="11">
                  <c:v>8.7004423773370202E-3</c:v>
                </c:pt>
                <c:pt idx="12">
                  <c:v>7.0875142135383871E-3</c:v>
                </c:pt>
                <c:pt idx="13">
                  <c:v>5.8079647724870826E-3</c:v>
                </c:pt>
                <c:pt idx="14">
                  <c:v>4.7838269842718608E-3</c:v>
                </c:pt>
                <c:pt idx="15">
                  <c:v>3.9578693565186715E-3</c:v>
                </c:pt>
                <c:pt idx="16">
                  <c:v>3.2873597243555084E-3</c:v>
                </c:pt>
                <c:pt idx="17">
                  <c:v>2.7399230147024172E-3</c:v>
                </c:pt>
                <c:pt idx="18">
                  <c:v>2.2907198467656789E-3</c:v>
                </c:pt>
                <c:pt idx="19">
                  <c:v>1.920482251532176E-3</c:v>
                </c:pt>
                <c:pt idx="20">
                  <c:v>1.6141196066449001E-3</c:v>
                </c:pt>
                <c:pt idx="21">
                  <c:v>1.3597123459157549E-3</c:v>
                </c:pt>
                <c:pt idx="22">
                  <c:v>1.147774573737147E-3</c:v>
                </c:pt>
                <c:pt idx="23">
                  <c:v>9.7070643376790582E-4</c:v>
                </c:pt>
                <c:pt idx="24">
                  <c:v>8.2238249068816976E-4</c:v>
                </c:pt>
                <c:pt idx="25">
                  <c:v>6.9783898849260569E-4</c:v>
                </c:pt>
                <c:pt idx="26">
                  <c:v>5.9303391077640132E-4</c:v>
                </c:pt>
                <c:pt idx="27">
                  <c:v>5.0466126817945369E-4</c:v>
                </c:pt>
                <c:pt idx="28">
                  <c:v>4.3000620471428613E-4</c:v>
                </c:pt>
                <c:pt idx="29">
                  <c:v>3.6683112647167886E-4</c:v>
                </c:pt>
                <c:pt idx="30">
                  <c:v>3.1328561526895813E-4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3-4E36-8104-B9E16EAB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592664</xdr:colOff>
      <xdr:row>31</xdr:row>
      <xdr:rowOff>35981</xdr:rowOff>
    </xdr:from>
    <xdr:to>
      <xdr:col>13</xdr:col>
      <xdr:colOff>158750</xdr:colOff>
      <xdr:row>52</xdr:row>
      <xdr:rowOff>116414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11805B-130E-44CA-9BC7-543891130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571501</xdr:colOff>
      <xdr:row>30</xdr:row>
      <xdr:rowOff>148167</xdr:rowOff>
    </xdr:from>
    <xdr:to>
      <xdr:col>23</xdr:col>
      <xdr:colOff>211668</xdr:colOff>
      <xdr:row>52</xdr:row>
      <xdr:rowOff>52916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5E69CD-2E85-4269-A64B-EB136F7F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23</xdr:row>
      <xdr:rowOff>87630</xdr:rowOff>
    </xdr:from>
    <xdr:to>
      <xdr:col>11</xdr:col>
      <xdr:colOff>99060</xdr:colOff>
      <xdr:row>38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B417F-C152-4E49-8EC1-93C660B5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13</xdr:row>
      <xdr:rowOff>3810</xdr:rowOff>
    </xdr:from>
    <xdr:to>
      <xdr:col>11</xdr:col>
      <xdr:colOff>45720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143711</xdr:rowOff>
    </xdr:from>
    <xdr:to>
      <xdr:col>7</xdr:col>
      <xdr:colOff>304800</xdr:colOff>
      <xdr:row>49</xdr:row>
      <xdr:rowOff>143711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164685</xdr:rowOff>
    </xdr:from>
    <xdr:to>
      <xdr:col>7</xdr:col>
      <xdr:colOff>304800</xdr:colOff>
      <xdr:row>57</xdr:row>
      <xdr:rowOff>173247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586482</xdr:colOff>
      <xdr:row>18</xdr:row>
      <xdr:rowOff>32536</xdr:rowOff>
    </xdr:from>
    <xdr:to>
      <xdr:col>16</xdr:col>
      <xdr:colOff>295381</xdr:colOff>
      <xdr:row>33</xdr:row>
      <xdr:rowOff>70209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513709</xdr:colOff>
      <xdr:row>18</xdr:row>
      <xdr:rowOff>51372</xdr:rowOff>
    </xdr:from>
    <xdr:to>
      <xdr:col>26</xdr:col>
      <xdr:colOff>222607</xdr:colOff>
      <xdr:row>33</xdr:row>
      <xdr:rowOff>89045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20B23-26C1-4CD3-A9A9-B1F80AEC9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7" unboundColumnsRight="3">
    <queryTableFields count="7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15" dataBound="0" tableColumnId="6"/>
      <queryTableField id="16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G42" tableType="queryTable" totalsRowCount="1">
  <autoFilter ref="A1:G41" xr:uid="{1284F2EF-7F58-419E-AFA0-2D5A4BD2C07F}"/>
  <tableColumns count="7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>
      <calculatedColumnFormula>P_smrt_vyliecenie_hosp_Y[[#This Row],[P_rec]]-B1</calculatedColumnFormula>
    </tableColumn>
    <tableColumn id="6" xr3:uid="{FD18434D-FD64-4C50-ACC5-59D67D99182F}" uniqueName="6" name="Column1" queryTableFieldId="15"/>
    <tableColumn id="7" xr3:uid="{F93F5DD2-5CB5-4FD5-91F6-9F54B3A483A0}" uniqueName="7" name="Column2" queryTableFieldId="16" dataDxfId="0">
      <calculatedColumnFormula>P_smrt_vyliecenie_hosp_Y[[#This Row],[Column1]]/0.029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B46"/>
  <sheetViews>
    <sheetView tabSelected="1" topLeftCell="F18" zoomScale="72" workbookViewId="0">
      <selection activeCell="M27" sqref="M27"/>
    </sheetView>
  </sheetViews>
  <sheetFormatPr defaultRowHeight="14.4" x14ac:dyDescent="0.3"/>
  <cols>
    <col min="9" max="9" width="22" customWidth="1"/>
    <col min="14" max="15" width="8.88671875" style="5"/>
  </cols>
  <sheetData>
    <row r="1" spans="1:28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58</v>
      </c>
      <c r="G1" t="s">
        <v>59</v>
      </c>
      <c r="I1" s="2" t="s">
        <v>15</v>
      </c>
      <c r="O1" s="42" t="s">
        <v>21</v>
      </c>
      <c r="P1" s="42"/>
      <c r="Q1" s="42"/>
      <c r="R1" s="42"/>
      <c r="S1" s="42"/>
      <c r="T1" s="42"/>
      <c r="U1" s="42"/>
      <c r="V1" s="42"/>
      <c r="X1" s="41" t="s">
        <v>23</v>
      </c>
      <c r="Y1" s="41"/>
      <c r="Z1" s="41"/>
      <c r="AA1" s="41"/>
      <c r="AB1" s="41"/>
    </row>
    <row r="2" spans="1:28" x14ac:dyDescent="0.3">
      <c r="B2">
        <v>0</v>
      </c>
      <c r="C2">
        <v>0</v>
      </c>
      <c r="D2">
        <v>0</v>
      </c>
      <c r="E2">
        <v>0</v>
      </c>
      <c r="F2">
        <v>0</v>
      </c>
      <c r="G2">
        <f>P_smrt_vyliecenie_hosp_Y[[#This Row],[Column1]]/0.029</f>
        <v>0</v>
      </c>
      <c r="I2" s="2"/>
      <c r="O2" s="11" t="s">
        <v>18</v>
      </c>
      <c r="P2" s="11"/>
      <c r="Q2" s="11" t="s">
        <v>20</v>
      </c>
      <c r="R2" s="11"/>
      <c r="S2" s="11" t="s">
        <v>60</v>
      </c>
      <c r="T2" s="11" t="s">
        <v>61</v>
      </c>
      <c r="U2" s="11"/>
      <c r="V2" s="11" t="s">
        <v>62</v>
      </c>
      <c r="X2" s="11" t="s">
        <v>18</v>
      </c>
      <c r="Y2" s="11"/>
      <c r="Z2" s="11" t="s">
        <v>20</v>
      </c>
      <c r="AA2" s="11"/>
      <c r="AB2" s="11" t="s">
        <v>68</v>
      </c>
    </row>
    <row r="3" spans="1:28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F3">
        <v>4.0000000000000001E-3</v>
      </c>
      <c r="G3">
        <f>P_smrt_vyliecenie_hosp_Y[[#This Row],[Column1]]/0.029</f>
        <v>0.13793103448275862</v>
      </c>
      <c r="I3" s="49" t="s">
        <v>24</v>
      </c>
      <c r="J3" s="50">
        <v>0.45</v>
      </c>
      <c r="N3" s="6">
        <v>0</v>
      </c>
      <c r="O3" s="7">
        <f>(P_smrt_vyliecenie_hosp_Y[[#This Row],[P_death]]-C2)/$C$41</f>
        <v>0.13793103448275862</v>
      </c>
      <c r="P3">
        <f>O3</f>
        <v>0.13793103448275862</v>
      </c>
      <c r="Q3">
        <f>P3/$P$42</f>
        <v>0.11808894718190492</v>
      </c>
      <c r="R3">
        <f>-1/LN(1-$J$4)*$J$4^(1+N3)/(1+N3)</f>
        <v>8.6858027791652234E-2</v>
      </c>
      <c r="S3">
        <f>R3/$R$42</f>
        <v>0.23511733110353703</v>
      </c>
      <c r="T3">
        <f>P_smrt_vyliecenie_hosp_Y[[#This Row],[Column2]]</f>
        <v>0.13793103448275862</v>
      </c>
      <c r="U3">
        <f>1/(1+N3)^$J$5</f>
        <v>1</v>
      </c>
      <c r="V3">
        <f>U3/$U$42</f>
        <v>0.15182229301225417</v>
      </c>
      <c r="X3">
        <f>P_smrt_vyliecenie_hosp_Y[[#This Row],[P_rec]]-B2</f>
        <v>0</v>
      </c>
      <c r="Y3">
        <f>X3</f>
        <v>0</v>
      </c>
      <c r="Z3">
        <f>X3/$X$42</f>
        <v>0</v>
      </c>
      <c r="AA3">
        <f>_xlfn.GAMMA.DIST(N3,$J$7,$J$8,FALSE)</f>
        <v>0</v>
      </c>
      <c r="AB3">
        <f>AA3/$AA$42</f>
        <v>0</v>
      </c>
    </row>
    <row r="4" spans="1:28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F4">
        <v>7.0000000000000001E-3</v>
      </c>
      <c r="G4">
        <f>P_smrt_vyliecenie_hosp_Y[[#This Row],[Column1]]/0.029</f>
        <v>0.24137931034482757</v>
      </c>
      <c r="I4" s="49" t="s">
        <v>64</v>
      </c>
      <c r="J4" s="50">
        <f>1-0.00001</f>
        <v>0.99999000000000005</v>
      </c>
      <c r="N4" s="6">
        <v>1</v>
      </c>
      <c r="O4" s="7">
        <f>(P_smrt_vyliecenie_hosp_Y[[#This Row],[P_death]]-C3)/$C$41</f>
        <v>0.10344827586206896</v>
      </c>
      <c r="P4">
        <f>$J$3*O4+(1-$J$3)*P3</f>
        <v>0.12241379310344827</v>
      </c>
      <c r="Q4">
        <f t="shared" ref="Q4:Q41" si="0">P4/$P$42</f>
        <v>0.10480394062394062</v>
      </c>
      <c r="R4">
        <f t="shared" ref="R4:R41" si="1">-1/LN(1-$J$4)*$J$4^(1+N4)/(1+N4)</f>
        <v>4.3428579605687155E-2</v>
      </c>
      <c r="S4">
        <f t="shared" ref="S4:S41" si="2">R4/$R$42</f>
        <v>0.11755748996511298</v>
      </c>
      <c r="T4">
        <f>P_smrt_vyliecenie_hosp_Y[[#This Row],[Column2]]-G3</f>
        <v>0.10344827586206895</v>
      </c>
      <c r="U4">
        <f t="shared" ref="U4:U41" si="3">1/(1+N4)^$J$5</f>
        <v>0.59460355750136051</v>
      </c>
      <c r="V4">
        <f t="shared" ref="V4:V41" si="4">U4/$U$42</f>
        <v>9.0274075533100268E-2</v>
      </c>
      <c r="X4">
        <f>(P_smrt_vyliecenie_hosp_Y[[#This Row],[P_rec]]-B3)/$B$41</f>
        <v>2.9866117404737387E-2</v>
      </c>
      <c r="Y4">
        <f>$J$6*X4*$B$41+(1-$J$6)*Y3</f>
        <v>1.8849999999999999E-2</v>
      </c>
      <c r="Z4">
        <f>Y4/$Y$42</f>
        <v>1.9449301294080876E-2</v>
      </c>
      <c r="AA4">
        <f>_xlfn.GAMMA.DIST(N4,$J$7,$J$8,FALSE)</f>
        <v>1.7620325650696305E-2</v>
      </c>
      <c r="AB4">
        <f t="shared" ref="AB4:AB41" si="5">AA4/$AA$42</f>
        <v>1.7621970136716743E-2</v>
      </c>
    </row>
    <row r="5" spans="1:28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F5">
        <v>8.9999999999999993E-3</v>
      </c>
      <c r="G5">
        <f>P_smrt_vyliecenie_hosp_Y[[#This Row],[Column1]]/0.029</f>
        <v>0.31034482758620685</v>
      </c>
      <c r="I5" s="51" t="s">
        <v>65</v>
      </c>
      <c r="J5" s="52">
        <v>0.75</v>
      </c>
      <c r="N5" s="6">
        <v>2</v>
      </c>
      <c r="O5" s="7">
        <f>(P_smrt_vyliecenie_hosp_Y[[#This Row],[P_death]]-C4)/$C$41</f>
        <v>6.8965517241379282E-2</v>
      </c>
      <c r="P5">
        <f t="shared" ref="P5:P41" si="6">$J$3*O5+(1-$J$3)*P4</f>
        <v>9.8362068965517233E-2</v>
      </c>
      <c r="Q5">
        <f t="shared" si="0"/>
        <v>8.4212180459095939E-2</v>
      </c>
      <c r="R5">
        <f t="shared" si="1"/>
        <v>2.8952096879927402E-2</v>
      </c>
      <c r="S5">
        <f t="shared" si="2"/>
        <v>7.8370876260142233E-2</v>
      </c>
      <c r="T5">
        <f>P_smrt_vyliecenie_hosp_Y[[#This Row],[Column2]]-G4</f>
        <v>6.8965517241379282E-2</v>
      </c>
      <c r="U5">
        <f t="shared" si="3"/>
        <v>0.43869133765083085</v>
      </c>
      <c r="V5">
        <f t="shared" si="4"/>
        <v>6.6603124806762171E-2</v>
      </c>
      <c r="X5">
        <f>(P_smrt_vyliecenie_hosp_Y[[#This Row],[P_rec]]-B4)/$B$41</f>
        <v>8.1359423274974252E-2</v>
      </c>
      <c r="Y5">
        <f t="shared" ref="Y5:Y41" si="7">$J$6*X5*$B$41+(1-$J$6)*Y4</f>
        <v>5.7947499999999999E-2</v>
      </c>
      <c r="Z5">
        <f t="shared" ref="Z5:Z41" si="8">Y5/$Y$42</f>
        <v>5.9789834840252076E-2</v>
      </c>
      <c r="AA5">
        <f>_xlfn.GAMMA.DIST(N5,$J$7,$J$8,FALSE)</f>
        <v>4.9669419292988473E-2</v>
      </c>
      <c r="AB5">
        <f t="shared" si="5"/>
        <v>4.9674054886409941E-2</v>
      </c>
    </row>
    <row r="6" spans="1:28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9">D5*E5</f>
        <v>0.84780715200000001</v>
      </c>
      <c r="F6">
        <v>0.01</v>
      </c>
      <c r="G6">
        <f>P_smrt_vyliecenie_hosp_Y[[#This Row],[Column1]]/0.029</f>
        <v>0.34482758620689652</v>
      </c>
      <c r="I6" s="49" t="s">
        <v>25</v>
      </c>
      <c r="J6" s="50">
        <v>0.65</v>
      </c>
      <c r="N6" s="6">
        <v>3</v>
      </c>
      <c r="O6" s="7">
        <f>(P_smrt_vyliecenie_hosp_Y[[#This Row],[P_death]]-C5)/$C$41</f>
        <v>3.4482758620689682E-2</v>
      </c>
      <c r="P6">
        <f t="shared" si="6"/>
        <v>6.9616379310344839E-2</v>
      </c>
      <c r="Q6">
        <f t="shared" si="0"/>
        <v>5.9601705810467087E-2</v>
      </c>
      <c r="R6">
        <f t="shared" si="1"/>
        <v>2.1713855519218953E-2</v>
      </c>
      <c r="S6">
        <f t="shared" si="2"/>
        <v>5.8777569413534722E-2</v>
      </c>
      <c r="T6">
        <f>P_smrt_vyliecenie_hosp_Y[[#This Row],[Column2]]-G5</f>
        <v>3.4482758620689669E-2</v>
      </c>
      <c r="U6">
        <f t="shared" si="3"/>
        <v>0.35355339059327379</v>
      </c>
      <c r="V6">
        <f t="shared" si="4"/>
        <v>5.3677286462127959E-2</v>
      </c>
      <c r="X6">
        <f>(P_smrt_vyliecenie_hosp_Y[[#This Row],[P_rec]]-B5)/$B$41</f>
        <v>8.9598352214212168E-2</v>
      </c>
      <c r="Y6">
        <f t="shared" si="7"/>
        <v>7.6831625000000014E-2</v>
      </c>
      <c r="Z6">
        <f t="shared" si="8"/>
        <v>7.9274346076330882E-2</v>
      </c>
      <c r="AA6">
        <f>_xlfn.GAMMA.DIST(N6,$J$7,$J$8,FALSE)</f>
        <v>7.7631830097341259E-2</v>
      </c>
      <c r="AB6">
        <f t="shared" si="5"/>
        <v>7.7639075392454807E-2</v>
      </c>
    </row>
    <row r="7" spans="1:28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9"/>
        <v>0.67400668584000001</v>
      </c>
      <c r="F7">
        <v>1.0999999999999999E-2</v>
      </c>
      <c r="G7">
        <f>P_smrt_vyliecenie_hosp_Y[[#This Row],[Column1]]/0.029</f>
        <v>0.37931034482758619</v>
      </c>
      <c r="I7" s="51" t="s">
        <v>66</v>
      </c>
      <c r="J7" s="52">
        <v>3.05</v>
      </c>
      <c r="N7" s="6">
        <v>4</v>
      </c>
      <c r="O7" s="7">
        <f>(P_smrt_vyliecenie_hosp_Y[[#This Row],[P_death]]-C6)/$C$41</f>
        <v>3.4482758620689627E-2</v>
      </c>
      <c r="P7">
        <f t="shared" si="6"/>
        <v>5.380625E-2</v>
      </c>
      <c r="Q7">
        <f t="shared" si="0"/>
        <v>4.6065944753721194E-2</v>
      </c>
      <c r="R7">
        <f t="shared" si="1"/>
        <v>1.7370910704531013E-2</v>
      </c>
      <c r="S7">
        <f t="shared" si="2"/>
        <v>4.7021585310272486E-2</v>
      </c>
      <c r="T7">
        <f>P_smrt_vyliecenie_hosp_Y[[#This Row],[Column2]]-G6</f>
        <v>3.4482758620689669E-2</v>
      </c>
      <c r="U7">
        <f t="shared" si="3"/>
        <v>0.29906975624424414</v>
      </c>
      <c r="V7">
        <f t="shared" si="4"/>
        <v>4.5405456163617061E-2</v>
      </c>
      <c r="X7">
        <f>(P_smrt_vyliecenie_hosp_Y[[#This Row],[P_rec]]-B6)/$B$41</f>
        <v>8.4449021627188481E-2</v>
      </c>
      <c r="Y7">
        <f t="shared" si="7"/>
        <v>8.0191068750000011E-2</v>
      </c>
      <c r="Z7">
        <f t="shared" si="8"/>
        <v>8.2740597199634155E-2</v>
      </c>
      <c r="AA7">
        <f>_xlfn.GAMMA.DIST(N7,$J$7,$J$8,FALSE)</f>
        <v>9.5307679393272102E-2</v>
      </c>
      <c r="AB7">
        <f t="shared" si="5"/>
        <v>9.5316574356368103E-2</v>
      </c>
    </row>
    <row r="8" spans="1:28" x14ac:dyDescent="0.3">
      <c r="A8">
        <v>5</v>
      </c>
      <c r="B8">
        <v>0.375</v>
      </c>
      <c r="C8">
        <v>1.4E-2</v>
      </c>
      <c r="D8">
        <v>0.61099999999999999</v>
      </c>
      <c r="E8">
        <f t="shared" si="9"/>
        <v>0.47989276031807998</v>
      </c>
      <c r="F8">
        <v>1.4E-2</v>
      </c>
      <c r="G8">
        <f>P_smrt_vyliecenie_hosp_Y[[#This Row],[Column1]]/0.029</f>
        <v>0.48275862068965514</v>
      </c>
      <c r="I8" s="51" t="s">
        <v>67</v>
      </c>
      <c r="J8" s="52">
        <v>2.6</v>
      </c>
      <c r="N8" s="6">
        <v>5</v>
      </c>
      <c r="O8" s="7">
        <f>(P_smrt_vyliecenie_hosp_Y[[#This Row],[P_death]]-C7)/$C$41</f>
        <v>0.10344827586206899</v>
      </c>
      <c r="P8">
        <f t="shared" si="6"/>
        <v>7.6145161637931044E-2</v>
      </c>
      <c r="Q8">
        <f t="shared" si="0"/>
        <v>6.5191289288439577E-2</v>
      </c>
      <c r="R8">
        <f t="shared" si="1"/>
        <v>1.4475614162853305E-2</v>
      </c>
      <c r="S8">
        <f t="shared" si="2"/>
        <v>3.9184262578682814E-2</v>
      </c>
      <c r="T8">
        <f>P_smrt_vyliecenie_hosp_Y[[#This Row],[Column2]]-G7</f>
        <v>0.10344827586206895</v>
      </c>
      <c r="U8">
        <f t="shared" si="3"/>
        <v>0.2608474300122145</v>
      </c>
      <c r="V8">
        <f t="shared" si="4"/>
        <v>3.9602454950807893E-2</v>
      </c>
      <c r="X8">
        <f>(P_smrt_vyliecenie_hosp_Y[[#This Row],[P_rec]]-B7)/$B$41</f>
        <v>0.10092687950566424</v>
      </c>
      <c r="Y8">
        <f t="shared" si="7"/>
        <v>9.176687406249999E-2</v>
      </c>
      <c r="Z8">
        <f t="shared" si="8"/>
        <v>9.4684434082628013E-2</v>
      </c>
      <c r="AA8">
        <f>_xlfn.GAMMA.DIST(N8,$J$7,$J$8,FALSE)</f>
        <v>0.10250784008053557</v>
      </c>
      <c r="AB8">
        <f t="shared" si="5"/>
        <v>0.1025174070268758</v>
      </c>
    </row>
    <row r="9" spans="1:28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9"/>
        <v>0.29321447655434685</v>
      </c>
      <c r="F9">
        <v>1.6E-2</v>
      </c>
      <c r="G9">
        <f>P_smrt_vyliecenie_hosp_Y[[#This Row],[Column1]]/0.029</f>
        <v>0.55172413793103448</v>
      </c>
      <c r="N9" s="6">
        <v>6</v>
      </c>
      <c r="O9" s="7">
        <f>(P_smrt_vyliecenie_hosp_Y[[#This Row],[P_death]]-C8)/$C$41</f>
        <v>0.10344827586206899</v>
      </c>
      <c r="P9">
        <f t="shared" si="6"/>
        <v>8.8431563038793126E-2</v>
      </c>
      <c r="Q9">
        <f t="shared" si="0"/>
        <v>7.5710228782534694E-2</v>
      </c>
      <c r="R9">
        <f t="shared" si="1"/>
        <v>1.2407545205752867E-2</v>
      </c>
      <c r="S9">
        <f t="shared" si="2"/>
        <v>3.3586174916620311E-2</v>
      </c>
      <c r="T9">
        <f>P_smrt_vyliecenie_hosp_Y[[#This Row],[Column2]]-G8</f>
        <v>6.8965517241379337E-2</v>
      </c>
      <c r="U9">
        <f t="shared" si="3"/>
        <v>0.23236808024254085</v>
      </c>
      <c r="V9">
        <f t="shared" si="4"/>
        <v>3.5278654765278028E-2</v>
      </c>
      <c r="X9">
        <f>(P_smrt_vyliecenie_hosp_Y[[#This Row],[P_rec]]-B8)/$B$41</f>
        <v>9.2687950566426397E-2</v>
      </c>
      <c r="Y9">
        <f t="shared" si="7"/>
        <v>9.0618405921875006E-2</v>
      </c>
      <c r="Z9">
        <f t="shared" si="8"/>
        <v>9.3499452496757021E-2</v>
      </c>
      <c r="AA9">
        <f>_xlfn.GAMMA.DIST(N9,$J$7,$J$8,FALSE)</f>
        <v>0.10140101399483767</v>
      </c>
      <c r="AB9">
        <f t="shared" si="5"/>
        <v>0.10141047764229109</v>
      </c>
    </row>
    <row r="10" spans="1:28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9"/>
        <v>0.15188509885515167</v>
      </c>
      <c r="F10">
        <v>1.7999999999999999E-2</v>
      </c>
      <c r="G10">
        <f>P_smrt_vyliecenie_hosp_Y[[#This Row],[Column1]]/0.029</f>
        <v>0.6206896551724137</v>
      </c>
      <c r="N10" s="6">
        <v>7</v>
      </c>
      <c r="O10" s="7">
        <f>(P_smrt_vyliecenie_hosp_Y[[#This Row],[P_death]]-C9)/$C$41</f>
        <v>0</v>
      </c>
      <c r="P10">
        <f t="shared" si="6"/>
        <v>4.8637359671336221E-2</v>
      </c>
      <c r="Q10">
        <f t="shared" si="0"/>
        <v>4.1640625830394087E-2</v>
      </c>
      <c r="R10">
        <f t="shared" si="1"/>
        <v>1.0856493489013208E-2</v>
      </c>
      <c r="S10">
        <f t="shared" si="2"/>
        <v>2.9387609173012252E-2</v>
      </c>
      <c r="T10">
        <f>P_smrt_vyliecenie_hosp_Y[[#This Row],[Column2]]-G9</f>
        <v>6.8965517241379226E-2</v>
      </c>
      <c r="U10">
        <f t="shared" si="3"/>
        <v>0.21022410381342868</v>
      </c>
      <c r="V10">
        <f t="shared" si="4"/>
        <v>3.1916705487400908E-2</v>
      </c>
      <c r="X10">
        <f>(P_smrt_vyliecenie_hosp_Y[[#This Row],[P_rec]]-B9)/$B$41</f>
        <v>7.9299691040164794E-2</v>
      </c>
      <c r="Y10">
        <f t="shared" si="7"/>
        <v>8.1766442072656265E-2</v>
      </c>
      <c r="Z10">
        <f t="shared" si="8"/>
        <v>8.4366056637459025E-2</v>
      </c>
      <c r="AA10">
        <f>_xlfn.GAMMA.DIST(N10,$J$7,$J$8,FALSE)</f>
        <v>9.4677520878400451E-2</v>
      </c>
      <c r="AB10">
        <f t="shared" si="5"/>
        <v>9.4686357029480778E-2</v>
      </c>
    </row>
    <row r="11" spans="1:28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9"/>
        <v>6.6981328595121889E-2</v>
      </c>
      <c r="F11">
        <v>1.7999999999999999E-2</v>
      </c>
      <c r="G11">
        <f>P_smrt_vyliecenie_hosp_Y[[#This Row],[Column1]]/0.029</f>
        <v>0.6206896551724137</v>
      </c>
      <c r="N11" s="6">
        <v>8</v>
      </c>
      <c r="O11" s="7">
        <f>(P_smrt_vyliecenie_hosp_Y[[#This Row],[P_death]]-C10)/$C$41</f>
        <v>0</v>
      </c>
      <c r="P11">
        <f t="shared" si="6"/>
        <v>2.6750547819234922E-2</v>
      </c>
      <c r="Q11">
        <f t="shared" si="0"/>
        <v>2.2902344206716746E-2</v>
      </c>
      <c r="R11">
        <f t="shared" si="1"/>
        <v>9.6501199325140594E-3</v>
      </c>
      <c r="S11">
        <f t="shared" si="2"/>
        <v>2.6122058041707127E-2</v>
      </c>
      <c r="T11">
        <f>P_smrt_vyliecenie_hosp_Y[[#This Row],[Column2]]-G10</f>
        <v>0</v>
      </c>
      <c r="U11">
        <f t="shared" si="3"/>
        <v>0.19245008972987526</v>
      </c>
      <c r="V11">
        <f t="shared" si="4"/>
        <v>2.9218213913203728E-2</v>
      </c>
      <c r="X11">
        <f>(P_smrt_vyliecenie_hosp_Y[[#This Row],[P_rec]]-B10)/$B$41</f>
        <v>7.518022657054578E-2</v>
      </c>
      <c r="Y11">
        <f t="shared" si="7"/>
        <v>7.6068254725429663E-2</v>
      </c>
      <c r="Z11">
        <f t="shared" si="8"/>
        <v>7.848670583924526E-2</v>
      </c>
      <c r="AA11">
        <f>_xlfn.GAMMA.DIST(N11,$J$7,$J$8,FALSE)</f>
        <v>8.4741086810446453E-2</v>
      </c>
      <c r="AB11">
        <f t="shared" si="5"/>
        <v>8.474899560483419E-2</v>
      </c>
    </row>
    <row r="12" spans="1:28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9"/>
        <v>2.4649128923004856E-2</v>
      </c>
      <c r="F12">
        <v>1.9E-2</v>
      </c>
      <c r="G12">
        <f>P_smrt_vyliecenie_hosp_Y[[#This Row],[Column1]]/0.029</f>
        <v>0.65517241379310343</v>
      </c>
      <c r="I12" s="1"/>
      <c r="N12" s="6">
        <v>9</v>
      </c>
      <c r="O12" s="7">
        <f>(P_smrt_vyliecenie_hosp_Y[[#This Row],[P_death]]-C11)/$C$41</f>
        <v>0</v>
      </c>
      <c r="P12">
        <f t="shared" si="6"/>
        <v>1.4712801300579208E-2</v>
      </c>
      <c r="Q12">
        <f t="shared" si="0"/>
        <v>1.2596289313694211E-2</v>
      </c>
      <c r="R12">
        <f t="shared" si="1"/>
        <v>8.6850210881832621E-3</v>
      </c>
      <c r="S12">
        <f t="shared" si="2"/>
        <v>2.3509617139014043E-2</v>
      </c>
      <c r="T12">
        <f>P_smrt_vyliecenie_hosp_Y[[#This Row],[Column2]]-G11</f>
        <v>3.4482758620689724E-2</v>
      </c>
      <c r="U12">
        <f t="shared" si="3"/>
        <v>0.17782794100389224</v>
      </c>
      <c r="V12">
        <f t="shared" si="4"/>
        <v>2.6998245764858774E-2</v>
      </c>
      <c r="X12">
        <f>(P_smrt_vyliecenie_hosp_Y[[#This Row],[P_rec]]-B11)/$B$41</f>
        <v>6.4881565396498517E-2</v>
      </c>
      <c r="Y12">
        <f t="shared" si="7"/>
        <v>6.7573889153900418E-2</v>
      </c>
      <c r="Z12">
        <f t="shared" si="8"/>
        <v>6.9722277441221919E-2</v>
      </c>
      <c r="AA12">
        <f>_xlfn.GAMMA.DIST(N12,$J$7,$J$8,FALSE)</f>
        <v>7.3437918924919979E-2</v>
      </c>
      <c r="AB12">
        <f t="shared" si="5"/>
        <v>7.3444772806819561E-2</v>
      </c>
    </row>
    <row r="13" spans="1:28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9"/>
        <v>7.5179843215164811E-3</v>
      </c>
      <c r="F13">
        <v>1.9E-2</v>
      </c>
      <c r="G13">
        <f>P_smrt_vyliecenie_hosp_Y[[#This Row],[Column1]]/0.029</f>
        <v>0.65517241379310343</v>
      </c>
      <c r="I13" s="1"/>
      <c r="N13" s="6">
        <v>10</v>
      </c>
      <c r="O13" s="7">
        <f>(P_smrt_vyliecenie_hosp_Y[[#This Row],[P_death]]-C12)/$C$41</f>
        <v>0</v>
      </c>
      <c r="P13">
        <f t="shared" si="6"/>
        <v>8.0920407153185648E-3</v>
      </c>
      <c r="Q13">
        <f t="shared" si="0"/>
        <v>6.9279591225318163E-3</v>
      </c>
      <c r="R13">
        <f t="shared" si="1"/>
        <v>7.8953947617930731E-3</v>
      </c>
      <c r="S13">
        <f t="shared" si="2"/>
        <v>2.1372165493493321E-2</v>
      </c>
      <c r="T13">
        <f>P_smrt_vyliecenie_hosp_Y[[#This Row],[Column2]]-G12</f>
        <v>0</v>
      </c>
      <c r="U13">
        <f t="shared" si="3"/>
        <v>0.16556002607617015</v>
      </c>
      <c r="V13">
        <f t="shared" si="4"/>
        <v>2.5135702790052745E-2</v>
      </c>
      <c r="X13">
        <f>(P_smrt_vyliecenie_hosp_Y[[#This Row],[P_rec]]-B12)/$B$41</f>
        <v>5.6642636457260497E-2</v>
      </c>
      <c r="Y13">
        <f t="shared" si="7"/>
        <v>5.9400861203865105E-2</v>
      </c>
      <c r="Z13">
        <f t="shared" si="8"/>
        <v>6.1289403006994814E-2</v>
      </c>
      <c r="AA13">
        <f>_xlfn.GAMMA.DIST(N13,$J$7,$J$8,FALSE)</f>
        <v>6.2042155493572004E-2</v>
      </c>
      <c r="AB13">
        <f t="shared" si="5"/>
        <v>6.2047945821140829E-2</v>
      </c>
    </row>
    <row r="14" spans="1:28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9"/>
        <v>1.8794960803791203E-3</v>
      </c>
      <c r="F14">
        <v>2.1000000000000001E-2</v>
      </c>
      <c r="G14">
        <f>P_smrt_vyliecenie_hosp_Y[[#This Row],[Column1]]/0.029</f>
        <v>0.72413793103448276</v>
      </c>
      <c r="I14" s="1"/>
      <c r="N14" s="6">
        <v>11</v>
      </c>
      <c r="O14" s="7">
        <f>(P_smrt_vyliecenie_hosp_Y[[#This Row],[P_death]]-C13)/$C$41</f>
        <v>3.4482758620689564E-2</v>
      </c>
      <c r="P14">
        <f t="shared" si="6"/>
        <v>1.9967863772735517E-2</v>
      </c>
      <c r="Q14">
        <f t="shared" si="0"/>
        <v>1.7095384075356771E-2</v>
      </c>
      <c r="R14">
        <f t="shared" si="1"/>
        <v>7.2373728238583354E-3</v>
      </c>
      <c r="S14">
        <f t="shared" si="2"/>
        <v>1.959095579085186E-2</v>
      </c>
      <c r="T14">
        <f>P_smrt_vyliecenie_hosp_Y[[#This Row],[Column2]]-G13</f>
        <v>6.8965517241379337E-2</v>
      </c>
      <c r="U14">
        <f t="shared" si="3"/>
        <v>0.15510080985034991</v>
      </c>
      <c r="V14">
        <f t="shared" si="4"/>
        <v>2.354776059953774E-2</v>
      </c>
      <c r="X14">
        <f>(P_smrt_vyliecenie_hosp_Y[[#This Row],[P_rec]]-B13)/$B$41</f>
        <v>4.6343975283213226E-2</v>
      </c>
      <c r="Y14">
        <f t="shared" si="7"/>
        <v>5.0040301421352809E-2</v>
      </c>
      <c r="Z14">
        <f t="shared" si="8"/>
        <v>5.1631241336366811E-2</v>
      </c>
      <c r="AA14">
        <f>_xlfn.GAMMA.DIST(N14,$J$7,$J$8,FALSE)</f>
        <v>5.1345873111082109E-2</v>
      </c>
      <c r="AB14">
        <f t="shared" si="5"/>
        <v>5.1350665166133312E-2</v>
      </c>
    </row>
    <row r="15" spans="1:28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9"/>
        <v>3.8341720039734053E-4</v>
      </c>
      <c r="F15">
        <v>2.1999999999999999E-2</v>
      </c>
      <c r="G15">
        <f>P_smrt_vyliecenie_hosp_Y[[#This Row],[Column1]]/0.029</f>
        <v>0.75862068965517238</v>
      </c>
      <c r="I15" s="1"/>
      <c r="N15" s="6">
        <v>12</v>
      </c>
      <c r="O15" s="7">
        <f>(P_smrt_vyliecenie_hosp_Y[[#This Row],[P_death]]-C14)/$C$41</f>
        <v>0</v>
      </c>
      <c r="P15">
        <f t="shared" si="6"/>
        <v>1.0982325075004535E-2</v>
      </c>
      <c r="Q15">
        <f t="shared" si="0"/>
        <v>9.402461241446225E-3</v>
      </c>
      <c r="R15">
        <f t="shared" si="1"/>
        <v>6.6805850308893199E-3</v>
      </c>
      <c r="S15">
        <f t="shared" si="2"/>
        <v>1.8083778351963644E-2</v>
      </c>
      <c r="T15">
        <f>P_smrt_vyliecenie_hosp_Y[[#This Row],[Column2]]-G14</f>
        <v>3.4482758620689613E-2</v>
      </c>
      <c r="U15">
        <f t="shared" si="3"/>
        <v>0.14606376323968781</v>
      </c>
      <c r="V15">
        <f t="shared" si="4"/>
        <v>2.2175735461048403E-2</v>
      </c>
      <c r="X15">
        <f>(P_smrt_vyliecenie_hosp_Y[[#This Row],[P_rec]]-B14)/$B$41</f>
        <v>3.7075180226570463E-2</v>
      </c>
      <c r="Y15">
        <f t="shared" si="7"/>
        <v>4.091410549747343E-2</v>
      </c>
      <c r="Z15">
        <f t="shared" si="8"/>
        <v>4.2214894694863211E-2</v>
      </c>
      <c r="AA15">
        <f>_xlfn.GAMMA.DIST(N15,$J$7,$J$8,FALSE)</f>
        <v>4.1776856063971857E-2</v>
      </c>
      <c r="AB15">
        <f t="shared" si="5"/>
        <v>4.178075505296542E-2</v>
      </c>
    </row>
    <row r="16" spans="1:28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9"/>
        <v>6.4414089666753213E-5</v>
      </c>
      <c r="F16">
        <v>2.4E-2</v>
      </c>
      <c r="G16">
        <f>P_smrt_vyliecenie_hosp_Y[[#This Row],[Column1]]/0.029</f>
        <v>0.82758620689655171</v>
      </c>
      <c r="N16" s="6">
        <v>13</v>
      </c>
      <c r="O16" s="7">
        <f>(P_smrt_vyliecenie_hosp_Y[[#This Row],[P_death]]-C15)/$C$41</f>
        <v>3.4482758620689682E-2</v>
      </c>
      <c r="P16">
        <f t="shared" si="6"/>
        <v>2.1557520170562852E-2</v>
      </c>
      <c r="Q16">
        <f t="shared" si="0"/>
        <v>1.845636024075974E-2</v>
      </c>
      <c r="R16">
        <f t="shared" si="1"/>
        <v>6.203338351821938E-3</v>
      </c>
      <c r="S16">
        <f t="shared" si="2"/>
        <v>1.6791911977452972E-2</v>
      </c>
      <c r="T16">
        <f>P_smrt_vyliecenie_hosp_Y[[#This Row],[Column2]]-G15</f>
        <v>6.8965517241379337E-2</v>
      </c>
      <c r="U16">
        <f t="shared" si="3"/>
        <v>0.13816688716197642</v>
      </c>
      <c r="V16">
        <f t="shared" si="4"/>
        <v>2.0976813627296642E-2</v>
      </c>
      <c r="X16">
        <f>(P_smrt_vyliecenie_hosp_Y[[#This Row],[P_rec]]-B15)/$B$41</f>
        <v>2.7806385169927936E-2</v>
      </c>
      <c r="Y16">
        <f t="shared" si="7"/>
        <v>3.1869936924115716E-2</v>
      </c>
      <c r="Z16">
        <f t="shared" si="8"/>
        <v>3.2883183313553305E-2</v>
      </c>
      <c r="AA16">
        <f>_xlfn.GAMMA.DIST(N16,$J$7,$J$8,FALSE)</f>
        <v>3.3509020445905688E-2</v>
      </c>
      <c r="AB16">
        <f t="shared" si="5"/>
        <v>3.3512147806703342E-2</v>
      </c>
    </row>
    <row r="17" spans="1:28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9"/>
        <v>9.0179725533454511E-6</v>
      </c>
      <c r="F17">
        <v>2.5000000000000001E-2</v>
      </c>
      <c r="G17">
        <f>P_smrt_vyliecenie_hosp_Y[[#This Row],[Column1]]/0.029</f>
        <v>0.86206896551724144</v>
      </c>
      <c r="N17" s="6">
        <v>14</v>
      </c>
      <c r="O17" s="7">
        <f>(P_smrt_vyliecenie_hosp_Y[[#This Row],[P_death]]-C16)/$C$41</f>
        <v>0</v>
      </c>
      <c r="P17">
        <f t="shared" si="6"/>
        <v>1.185663609380957E-2</v>
      </c>
      <c r="Q17">
        <f t="shared" si="0"/>
        <v>1.0150998132417858E-2</v>
      </c>
      <c r="R17">
        <f t="shared" si="1"/>
        <v>5.7897245638758596E-3</v>
      </c>
      <c r="S17">
        <f t="shared" si="2"/>
        <v>1.5672294454444319E-2</v>
      </c>
      <c r="T17">
        <f>P_smrt_vyliecenie_hosp_Y[[#This Row],[Column2]]-G16</f>
        <v>3.4482758620689724E-2</v>
      </c>
      <c r="U17">
        <f t="shared" si="3"/>
        <v>0.13119931141769536</v>
      </c>
      <c r="V17">
        <f t="shared" si="4"/>
        <v>1.991898030106333E-2</v>
      </c>
      <c r="X17">
        <f>(P_smrt_vyliecenie_hosp_Y[[#This Row],[P_rec]]-B16)/$B$41</f>
        <v>1.7507723995880551E-2</v>
      </c>
      <c r="Y17">
        <f t="shared" si="7"/>
        <v>2.2204477923440512E-2</v>
      </c>
      <c r="Z17">
        <f t="shared" si="8"/>
        <v>2.2910428711446253E-2</v>
      </c>
      <c r="AA17">
        <f>_xlfn.GAMMA.DIST(N17,$J$7,$J$8,FALSE)</f>
        <v>2.6552412979987658E-2</v>
      </c>
      <c r="AB17">
        <f t="shared" si="5"/>
        <v>2.6554891088100985E-2</v>
      </c>
    </row>
    <row r="18" spans="1:28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F18">
        <v>2.5999999999999999E-2</v>
      </c>
      <c r="G18">
        <f>P_smrt_vyliecenie_hosp_Y[[#This Row],[Column1]]/0.029</f>
        <v>0.89655172413793094</v>
      </c>
      <c r="N18" s="6">
        <v>15</v>
      </c>
      <c r="O18" s="7">
        <f>(P_smrt_vyliecenie_hosp_Y[[#This Row],[P_death]]-C17)/$C$41</f>
        <v>0</v>
      </c>
      <c r="P18">
        <f t="shared" si="6"/>
        <v>6.5211498515952643E-3</v>
      </c>
      <c r="Q18">
        <f t="shared" si="0"/>
        <v>5.5830489728298221E-3</v>
      </c>
      <c r="R18">
        <f t="shared" si="1"/>
        <v>5.4278124999658324E-3</v>
      </c>
      <c r="S18">
        <f t="shared" si="2"/>
        <v>1.469262912328104E-2</v>
      </c>
      <c r="T18">
        <f>P_smrt_vyliecenie_hosp_Y[[#This Row],[Column2]]-G17</f>
        <v>3.4482758620689502E-2</v>
      </c>
      <c r="U18">
        <f t="shared" si="3"/>
        <v>0.12500000000000003</v>
      </c>
      <c r="V18">
        <f t="shared" si="4"/>
        <v>1.8977786626531774E-2</v>
      </c>
      <c r="X18">
        <f>(P_smrt_vyliecenie_hosp_Y[[#This Row],[P_rec]]-B17)/$B$41</f>
        <v>1.7507723995880551E-2</v>
      </c>
      <c r="Y18">
        <f t="shared" si="7"/>
        <v>1.8821567273204189E-2</v>
      </c>
      <c r="Z18">
        <f t="shared" si="8"/>
        <v>1.9419964600708783E-2</v>
      </c>
      <c r="AA18">
        <f>_xlfn.GAMMA.DIST(N18,$J$7,$J$8,FALSE)</f>
        <v>2.0820553125477231E-2</v>
      </c>
      <c r="AB18">
        <f t="shared" si="5"/>
        <v>2.0822496285282072E-2</v>
      </c>
    </row>
    <row r="19" spans="1:28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9"/>
        <v>1.1757632615051799E-7</v>
      </c>
      <c r="F19">
        <v>2.7E-2</v>
      </c>
      <c r="G19">
        <f>P_smrt_vyliecenie_hosp_Y[[#This Row],[Column1]]/0.029</f>
        <v>0.93103448275862066</v>
      </c>
      <c r="N19" s="6">
        <v>16</v>
      </c>
      <c r="O19" s="7">
        <f>(P_smrt_vyliecenie_hosp_Y[[#This Row],[P_death]]-C18)/$C$41</f>
        <v>0</v>
      </c>
      <c r="P19">
        <f t="shared" si="6"/>
        <v>3.5866324183773958E-3</v>
      </c>
      <c r="Q19">
        <f t="shared" si="0"/>
        <v>3.0706769350564026E-3</v>
      </c>
      <c r="R19">
        <f t="shared" si="1"/>
        <v>5.1084783264384315E-3</v>
      </c>
      <c r="S19">
        <f t="shared" si="2"/>
        <v>1.3828218538343351E-2</v>
      </c>
      <c r="T19">
        <f>P_smrt_vyliecenie_hosp_Y[[#This Row],[Column2]]-G18</f>
        <v>3.4482758620689724E-2</v>
      </c>
      <c r="U19">
        <f t="shared" si="3"/>
        <v>0.1194437167569959</v>
      </c>
      <c r="V19">
        <f t="shared" si="4"/>
        <v>1.8134218963953324E-2</v>
      </c>
      <c r="X19">
        <f>(P_smrt_vyliecenie_hosp_Y[[#This Row],[P_rec]]-B18)/$B$41</f>
        <v>2.2657054582904242E-2</v>
      </c>
      <c r="Y19">
        <f t="shared" si="7"/>
        <v>2.0887548545621477E-2</v>
      </c>
      <c r="Z19">
        <f t="shared" si="8"/>
        <v>2.1551629971274959E-2</v>
      </c>
      <c r="AA19">
        <f>_xlfn.GAMMA.DIST(N19,$J$7,$J$8,FALSE)</f>
        <v>1.6177626599577468E-2</v>
      </c>
      <c r="AB19">
        <f t="shared" si="5"/>
        <v>1.6179136440048879E-2</v>
      </c>
    </row>
    <row r="20" spans="1:28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9"/>
        <v>9.8764113966435118E-9</v>
      </c>
      <c r="F20">
        <v>2.7E-2</v>
      </c>
      <c r="G20">
        <f>P_smrt_vyliecenie_hosp_Y[[#This Row],[Column1]]/0.029</f>
        <v>0.93103448275862066</v>
      </c>
      <c r="N20" s="6">
        <v>17</v>
      </c>
      <c r="O20" s="7">
        <f>(P_smrt_vyliecenie_hosp_Y[[#This Row],[P_death]]-C19)/$C$41</f>
        <v>0</v>
      </c>
      <c r="P20">
        <f t="shared" si="6"/>
        <v>1.9726478301075679E-3</v>
      </c>
      <c r="Q20">
        <f t="shared" si="0"/>
        <v>1.6888723142810217E-3</v>
      </c>
      <c r="R20">
        <f t="shared" si="1"/>
        <v>4.82462572822988E-3</v>
      </c>
      <c r="S20">
        <f t="shared" si="2"/>
        <v>1.3059853575260303E-2</v>
      </c>
      <c r="T20">
        <f>P_smrt_vyliecenie_hosp_Y[[#This Row],[Column2]]-G19</f>
        <v>0</v>
      </c>
      <c r="U20">
        <f t="shared" si="3"/>
        <v>0.11443150799483991</v>
      </c>
      <c r="V20">
        <f t="shared" si="4"/>
        <v>1.7373253936626688E-2</v>
      </c>
      <c r="X20">
        <f>(P_smrt_vyliecenie_hosp_Y[[#This Row],[P_rec]]-B19)/$B$41</f>
        <v>7.2090628218331679E-3</v>
      </c>
      <c r="Y20">
        <f t="shared" si="7"/>
        <v>1.1860641990967521E-2</v>
      </c>
      <c r="Z20">
        <f t="shared" si="8"/>
        <v>1.2237729423000245E-2</v>
      </c>
      <c r="AA20">
        <f>_xlfn.GAMMA.DIST(N20,$J$7,$J$8,FALSE)</f>
        <v>1.2469607749758659E-2</v>
      </c>
      <c r="AB20">
        <f t="shared" si="5"/>
        <v>1.2470771524823395E-2</v>
      </c>
    </row>
    <row r="21" spans="1:28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9"/>
        <v>7.6048367754155036E-10</v>
      </c>
      <c r="F21">
        <v>2.8000000000000001E-2</v>
      </c>
      <c r="G21">
        <f>P_smrt_vyliecenie_hosp_Y[[#This Row],[Column1]]/0.029</f>
        <v>0.96551724137931028</v>
      </c>
      <c r="N21" s="6">
        <v>18</v>
      </c>
      <c r="O21" s="7">
        <f>(P_smrt_vyliecenie_hosp_Y[[#This Row],[P_death]]-C20)/$C$41</f>
        <v>6.8965517241379365E-2</v>
      </c>
      <c r="P21">
        <f t="shared" si="6"/>
        <v>3.2119439065179875E-2</v>
      </c>
      <c r="Q21">
        <f t="shared" si="0"/>
        <v>2.749889288878319E-2</v>
      </c>
      <c r="R21">
        <f t="shared" si="1"/>
        <v>4.5706523513424609E-3</v>
      </c>
      <c r="S21">
        <f t="shared" si="2"/>
        <v>1.2372369135844309E-2</v>
      </c>
      <c r="T21">
        <f>P_smrt_vyliecenie_hosp_Y[[#This Row],[Column2]]-G20</f>
        <v>3.4482758620689613E-2</v>
      </c>
      <c r="U21">
        <f t="shared" si="3"/>
        <v>0.10988408578578128</v>
      </c>
      <c r="V21">
        <f t="shared" si="4"/>
        <v>1.6682853869552559E-2</v>
      </c>
      <c r="X21">
        <f>(P_smrt_vyliecenie_hosp_Y[[#This Row],[P_rec]]-B20)/$B$41</f>
        <v>5.1493305870236915E-3</v>
      </c>
      <c r="Y21">
        <f t="shared" si="7"/>
        <v>7.4012246968386351E-3</v>
      </c>
      <c r="Z21">
        <f t="shared" si="8"/>
        <v>7.6365331073743777E-3</v>
      </c>
      <c r="AA21">
        <f>_xlfn.GAMMA.DIST(N21,$J$7,$J$8,FALSE)</f>
        <v>9.5434367549900728E-3</v>
      </c>
      <c r="AB21">
        <f t="shared" si="5"/>
        <v>9.5443274336665974E-3</v>
      </c>
    </row>
    <row r="22" spans="1:28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9"/>
        <v>5.3233857427908528E-11</v>
      </c>
      <c r="F22">
        <v>2.8000000000000001E-2</v>
      </c>
      <c r="G22">
        <f>P_smrt_vyliecenie_hosp_Y[[#This Row],[Column1]]/0.029</f>
        <v>0.96551724137931028</v>
      </c>
      <c r="N22" s="6">
        <v>19</v>
      </c>
      <c r="O22" s="7">
        <f>(P_smrt_vyliecenie_hosp_Y[[#This Row],[P_death]]-C21)/$C$41</f>
        <v>3.4482758620689564E-2</v>
      </c>
      <c r="P22">
        <f t="shared" si="6"/>
        <v>3.3182932865159234E-2</v>
      </c>
      <c r="Q22">
        <f t="shared" si="0"/>
        <v>2.8409397646795023E-2</v>
      </c>
      <c r="R22">
        <f t="shared" si="1"/>
        <v>4.3420763125780002E-3</v>
      </c>
      <c r="S22">
        <f t="shared" si="2"/>
        <v>1.1753633141545304E-2</v>
      </c>
      <c r="T22">
        <f>P_smrt_vyliecenie_hosp_Y[[#This Row],[Column2]]-G21</f>
        <v>0</v>
      </c>
      <c r="U22">
        <f t="shared" si="3"/>
        <v>0.10573712634405641</v>
      </c>
      <c r="V22">
        <f t="shared" si="4"/>
        <v>1.6053252978081071E-2</v>
      </c>
      <c r="X22">
        <f>(P_smrt_vyliecenie_hosp_Y[[#This Row],[P_rec]]-B21)/$B$41</f>
        <v>1.235839340885686E-2</v>
      </c>
      <c r="Y22">
        <f t="shared" si="7"/>
        <v>1.0390428643893531E-2</v>
      </c>
      <c r="Z22">
        <f t="shared" si="8"/>
        <v>1.0720773329959335E-2</v>
      </c>
      <c r="AA22">
        <f>_xlfn.GAMMA.DIST(N22,$J$7,$J$8,FALSE)</f>
        <v>7.2577951649942284E-3</v>
      </c>
      <c r="AB22">
        <f t="shared" si="5"/>
        <v>7.2584725272022057E-3</v>
      </c>
    </row>
    <row r="23" spans="1:28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9"/>
        <v>3.0343298733907863E-12</v>
      </c>
      <c r="F23">
        <v>2.9000000000000001E-2</v>
      </c>
      <c r="G23">
        <f>P_smrt_vyliecenie_hosp_Y[[#This Row],[Column1]]/0.029</f>
        <v>1</v>
      </c>
      <c r="N23" s="6">
        <v>20</v>
      </c>
      <c r="O23" s="7">
        <f>(P_smrt_vyliecenie_hosp_Y[[#This Row],[P_death]]-C22)/$C$41</f>
        <v>0</v>
      </c>
      <c r="P23">
        <f t="shared" si="6"/>
        <v>1.8250613075837582E-2</v>
      </c>
      <c r="Q23">
        <f t="shared" si="0"/>
        <v>1.5625168705737266E-2</v>
      </c>
      <c r="R23">
        <f t="shared" si="1"/>
        <v>4.1352694207760715E-3</v>
      </c>
      <c r="S23">
        <f t="shared" si="2"/>
        <v>1.1193824385917992E-2</v>
      </c>
      <c r="T23">
        <f>P_smrt_vyliecenie_hosp_Y[[#This Row],[Column2]]-G22</f>
        <v>3.4482758620689724E-2</v>
      </c>
      <c r="U23">
        <f t="shared" si="3"/>
        <v>0.10193786394895582</v>
      </c>
      <c r="V23">
        <f t="shared" si="4"/>
        <v>1.547644024950167E-2</v>
      </c>
      <c r="X23">
        <f>(P_smrt_vyliecenie_hosp_Y[[#This Row],[P_rec]]-B22)/$B$41</f>
        <v>1.1328527291452121E-2</v>
      </c>
      <c r="Y23">
        <f t="shared" si="7"/>
        <v>1.0786650025362741E-2</v>
      </c>
      <c r="Z23">
        <f t="shared" si="8"/>
        <v>1.1129591845999209E-2</v>
      </c>
      <c r="AA23">
        <f>_xlfn.GAMMA.DIST(N23,$J$7,$J$8,FALSE)</f>
        <v>5.4882637864303099E-3</v>
      </c>
      <c r="AB23">
        <f t="shared" si="5"/>
        <v>5.4887760001800538E-3</v>
      </c>
    </row>
    <row r="24" spans="1:28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9"/>
        <v>1.3957917417597617E-13</v>
      </c>
      <c r="F24">
        <v>2.9000000000000001E-2</v>
      </c>
      <c r="G24">
        <f>P_smrt_vyliecenie_hosp_Y[[#This Row],[Column1]]/0.029</f>
        <v>1</v>
      </c>
      <c r="N24" s="6">
        <v>21</v>
      </c>
      <c r="O24" s="7">
        <f>(P_smrt_vyliecenie_hosp_Y[[#This Row],[P_death]]-C23)/$C$41</f>
        <v>6.8965517241379365E-2</v>
      </c>
      <c r="P24">
        <f t="shared" si="6"/>
        <v>4.1072319950331386E-2</v>
      </c>
      <c r="Q24">
        <f t="shared" si="0"/>
        <v>3.5163855904084128E-2</v>
      </c>
      <c r="R24">
        <f t="shared" si="1"/>
        <v>3.947263155896324E-3</v>
      </c>
      <c r="S24">
        <f t="shared" si="2"/>
        <v>1.0684907336416215E-2</v>
      </c>
      <c r="T24">
        <f>P_smrt_vyliecenie_hosp_Y[[#This Row],[Column2]]-G23</f>
        <v>0</v>
      </c>
      <c r="U24">
        <f t="shared" si="3"/>
        <v>9.8442580484908795E-2</v>
      </c>
      <c r="V24">
        <f t="shared" si="4"/>
        <v>1.4945778299262236E-2</v>
      </c>
      <c r="X24">
        <f>(P_smrt_vyliecenie_hosp_Y[[#This Row],[P_rec]]-B23)/$B$41</f>
        <v>2.0597322348094769E-3</v>
      </c>
      <c r="Y24">
        <f t="shared" si="7"/>
        <v>5.0753275088769607E-3</v>
      </c>
      <c r="Z24">
        <f t="shared" si="8"/>
        <v>5.2366882698294407E-3</v>
      </c>
      <c r="AA24">
        <f>_xlfn.GAMMA.DIST(N24,$J$7,$J$8,FALSE)</f>
        <v>4.1289222117640387E-3</v>
      </c>
      <c r="AB24">
        <f t="shared" si="5"/>
        <v>4.1293075596282791E-3</v>
      </c>
    </row>
    <row r="25" spans="1:28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9"/>
        <v>5.8623253153909997E-15</v>
      </c>
      <c r="F25">
        <v>2.9000000000000001E-2</v>
      </c>
      <c r="G25">
        <f>P_smrt_vyliecenie_hosp_Y[[#This Row],[Column1]]/0.029</f>
        <v>1</v>
      </c>
      <c r="N25" s="6">
        <v>22</v>
      </c>
      <c r="O25" s="7">
        <f>(P_smrt_vyliecenie_hosp_Y[[#This Row],[P_death]]-C24)/$C$41</f>
        <v>0</v>
      </c>
      <c r="P25">
        <f t="shared" si="6"/>
        <v>2.2589775972682264E-2</v>
      </c>
      <c r="Q25">
        <f t="shared" si="0"/>
        <v>1.9340120747246271E-2</v>
      </c>
      <c r="R25">
        <f t="shared" si="1"/>
        <v>3.7756052622532547E-3</v>
      </c>
      <c r="S25">
        <f t="shared" si="2"/>
        <v>1.0220243944414904E-2</v>
      </c>
      <c r="T25">
        <f>P_smrt_vyliecenie_hosp_Y[[#This Row],[Column2]]-G24</f>
        <v>0</v>
      </c>
      <c r="U25">
        <f t="shared" si="3"/>
        <v>9.5214726221514889E-2</v>
      </c>
      <c r="V25">
        <f t="shared" si="4"/>
        <v>1.4455718063484394E-2</v>
      </c>
      <c r="X25">
        <f>(P_smrt_vyliecenie_hosp_Y[[#This Row],[P_rec]]-B24)/$B$41</f>
        <v>2.0597322348094769E-3</v>
      </c>
      <c r="Y25">
        <f t="shared" si="7"/>
        <v>3.0763646281069378E-3</v>
      </c>
      <c r="Z25">
        <f t="shared" si="8"/>
        <v>3.1741720181700218E-3</v>
      </c>
      <c r="AA25">
        <f>_xlfn.GAMMA.DIST(N25,$J$7,$J$8,FALSE)</f>
        <v>3.0918420768922851E-3</v>
      </c>
      <c r="AB25">
        <f t="shared" si="5"/>
        <v>3.0921306351842058E-3</v>
      </c>
    </row>
    <row r="26" spans="1:28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9"/>
        <v>2.3449301261564E-16</v>
      </c>
      <c r="F26">
        <v>2.9000000000000001E-2</v>
      </c>
      <c r="G26">
        <f>P_smrt_vyliecenie_hosp_Y[[#This Row],[Column1]]/0.029</f>
        <v>1</v>
      </c>
      <c r="N26" s="6">
        <v>23</v>
      </c>
      <c r="O26" s="7">
        <f>(P_smrt_vyliecenie_hosp_Y[[#This Row],[P_death]]-C25)/$C$41</f>
        <v>0</v>
      </c>
      <c r="P26">
        <f t="shared" si="6"/>
        <v>1.2424376784975245E-2</v>
      </c>
      <c r="Q26">
        <f t="shared" si="0"/>
        <v>1.0637066410985449E-2</v>
      </c>
      <c r="R26">
        <f t="shared" si="1"/>
        <v>3.6182521934422719E-3</v>
      </c>
      <c r="S26">
        <f t="shared" si="2"/>
        <v>9.7943025027264815E-3</v>
      </c>
      <c r="T26">
        <f>P_smrt_vyliecenie_hosp_Y[[#This Row],[Column2]]-G25</f>
        <v>0</v>
      </c>
      <c r="U26">
        <f t="shared" si="3"/>
        <v>9.2223493308360119E-2</v>
      </c>
      <c r="V26">
        <f t="shared" si="4"/>
        <v>1.4001582223675511E-2</v>
      </c>
      <c r="X26">
        <f>(P_smrt_vyliecenie_hosp_Y[[#This Row],[P_rec]]-B25)/$B$41</f>
        <v>2.0597322348093624E-3</v>
      </c>
      <c r="Y26">
        <f t="shared" si="7"/>
        <v>2.3767276198373571E-3</v>
      </c>
      <c r="Z26">
        <f t="shared" si="8"/>
        <v>2.4522913300891501E-3</v>
      </c>
      <c r="AA26">
        <f>_xlfn.GAMMA.DIST(N26,$J$7,$J$8,FALSE)</f>
        <v>2.3054543761447895E-3</v>
      </c>
      <c r="AB26">
        <f t="shared" si="5"/>
        <v>2.3056695417193358E-3</v>
      </c>
    </row>
    <row r="27" spans="1:28" x14ac:dyDescent="0.3">
      <c r="A27">
        <v>24</v>
      </c>
      <c r="B27">
        <v>0.94399999999999995</v>
      </c>
      <c r="C27">
        <v>2.5000000000000001E-2</v>
      </c>
      <c r="D27">
        <v>0.03</v>
      </c>
      <c r="E27">
        <f t="shared" si="9"/>
        <v>8.9107344793943191E-18</v>
      </c>
      <c r="F27">
        <v>2.9000000000000001E-2</v>
      </c>
      <c r="G27">
        <f>P_smrt_vyliecenie_hosp_Y[[#This Row],[Column1]]/0.029</f>
        <v>1</v>
      </c>
      <c r="N27" s="6">
        <v>24</v>
      </c>
      <c r="O27" s="7">
        <f>(P_smrt_vyliecenie_hosp_Y[[#This Row],[P_death]]-C26)/$C$41</f>
        <v>3.4482758620689682E-2</v>
      </c>
      <c r="P27">
        <f t="shared" si="6"/>
        <v>2.2350648611046742E-2</v>
      </c>
      <c r="Q27">
        <f t="shared" si="0"/>
        <v>1.9135393084006313E-2</v>
      </c>
      <c r="R27">
        <f t="shared" si="1"/>
        <v>3.4734873704835244E-3</v>
      </c>
      <c r="S27">
        <f t="shared" si="2"/>
        <v>9.4024363773133977E-3</v>
      </c>
      <c r="T27">
        <f>P_smrt_vyliecenie_hosp_Y[[#This Row],[Column2]]-G26</f>
        <v>0</v>
      </c>
      <c r="U27">
        <f t="shared" si="3"/>
        <v>8.9442719099991616E-2</v>
      </c>
      <c r="V27">
        <f t="shared" si="4"/>
        <v>1.3579398707011669E-2</v>
      </c>
      <c r="X27">
        <f>(P_smrt_vyliecenie_hosp_Y[[#This Row],[P_rec]]-B26)/$B$41</f>
        <v>6.1791967044284302E-3</v>
      </c>
      <c r="Y27">
        <f t="shared" si="7"/>
        <v>4.7318546669430795E-3</v>
      </c>
      <c r="Z27">
        <f t="shared" si="8"/>
        <v>4.8822953367203548E-3</v>
      </c>
      <c r="AA27">
        <f>_xlfn.GAMMA.DIST(N27,$J$7,$J$8,FALSE)</f>
        <v>1.7124234822788688E-3</v>
      </c>
      <c r="AB27">
        <f t="shared" si="5"/>
        <v>1.7125833009186318E-3</v>
      </c>
    </row>
    <row r="28" spans="1:28" x14ac:dyDescent="0.3">
      <c r="A28">
        <v>25</v>
      </c>
      <c r="B28">
        <v>0.94399999999999995</v>
      </c>
      <c r="C28">
        <v>2.5000000000000001E-2</v>
      </c>
      <c r="D28">
        <v>0.03</v>
      </c>
      <c r="E28">
        <f t="shared" si="9"/>
        <v>2.6732203438182955E-19</v>
      </c>
      <c r="F28">
        <v>2.9000000000000001E-2</v>
      </c>
      <c r="G28">
        <f>P_smrt_vyliecenie_hosp_Y[[#This Row],[Column1]]/0.029</f>
        <v>1</v>
      </c>
      <c r="N28" s="6">
        <v>25</v>
      </c>
      <c r="O28" s="7">
        <f>(P_smrt_vyliecenie_hosp_Y[[#This Row],[P_death]]-C27)/$C$41</f>
        <v>0</v>
      </c>
      <c r="P28">
        <f t="shared" si="6"/>
        <v>1.2292856736075709E-2</v>
      </c>
      <c r="Q28">
        <f t="shared" si="0"/>
        <v>1.0524466196203472E-2</v>
      </c>
      <c r="R28">
        <f t="shared" si="1"/>
        <v>3.3398583034709804E-3</v>
      </c>
      <c r="S28">
        <f t="shared" si="2"/>
        <v>9.0407138009131003E-3</v>
      </c>
      <c r="T28">
        <f>P_smrt_vyliecenie_hosp_Y[[#This Row],[Column2]]-G27</f>
        <v>0</v>
      </c>
      <c r="U28">
        <f t="shared" si="3"/>
        <v>8.6850033244354807E-2</v>
      </c>
      <c r="V28">
        <f t="shared" si="4"/>
        <v>1.3185771195348452E-2</v>
      </c>
      <c r="X28">
        <f>(P_smrt_vyliecenie_hosp_Y[[#This Row],[P_rec]]-B27)/$B$41</f>
        <v>0</v>
      </c>
      <c r="Y28">
        <f t="shared" si="7"/>
        <v>1.6561491334300777E-3</v>
      </c>
      <c r="Z28">
        <f t="shared" si="8"/>
        <v>1.708803367852124E-3</v>
      </c>
      <c r="AA28">
        <f>_xlfn.GAMMA.DIST(N28,$J$7,$J$8,FALSE)</f>
        <v>1.2674148977647925E-3</v>
      </c>
      <c r="AB28">
        <f t="shared" si="5"/>
        <v>1.2675331842325222E-3</v>
      </c>
    </row>
    <row r="29" spans="1:28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9"/>
        <v>8.0196610314548865E-21</v>
      </c>
      <c r="F29">
        <v>2.9000000000000001E-2</v>
      </c>
      <c r="G29">
        <f>P_smrt_vyliecenie_hosp_Y[[#This Row],[Column1]]/0.029</f>
        <v>1</v>
      </c>
      <c r="N29" s="6">
        <v>26</v>
      </c>
      <c r="O29" s="7">
        <f>(P_smrt_vyliecenie_hosp_Y[[#This Row],[P_death]]-C28)/$C$41</f>
        <v>3.4482758620689564E-2</v>
      </c>
      <c r="P29">
        <f t="shared" si="6"/>
        <v>2.2278312584151944E-2</v>
      </c>
      <c r="Q29">
        <f t="shared" si="0"/>
        <v>1.907346296587618E-2</v>
      </c>
      <c r="R29">
        <f t="shared" si="1"/>
        <v>3.2161276861883922E-3</v>
      </c>
      <c r="S29">
        <f t="shared" si="2"/>
        <v>8.7057854903019385E-3</v>
      </c>
      <c r="T29">
        <f>P_smrt_vyliecenie_hosp_Y[[#This Row],[Column2]]-G28</f>
        <v>0</v>
      </c>
      <c r="U29">
        <f t="shared" si="3"/>
        <v>8.4426187294621396E-2</v>
      </c>
      <c r="V29">
        <f t="shared" si="4"/>
        <v>1.281777734535146E-2</v>
      </c>
      <c r="X29">
        <f>(P_smrt_vyliecenie_hosp_Y[[#This Row],[P_rec]]-B28)/$B$41</f>
        <v>5.1493305870236915E-3</v>
      </c>
      <c r="Y29">
        <f t="shared" si="7"/>
        <v>3.8296521967005302E-3</v>
      </c>
      <c r="Z29">
        <f t="shared" si="8"/>
        <v>3.9514089880725361E-3</v>
      </c>
      <c r="AA29">
        <f>_xlfn.GAMMA.DIST(N29,$J$7,$J$8,FALSE)</f>
        <v>9.3497675569194003E-4</v>
      </c>
      <c r="AB29">
        <f t="shared" si="5"/>
        <v>9.3506401606582011E-4</v>
      </c>
    </row>
    <row r="30" spans="1:28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9"/>
        <v>2.0049152578637216E-22</v>
      </c>
      <c r="F30">
        <v>2.9000000000000001E-2</v>
      </c>
      <c r="G30">
        <f>P_smrt_vyliecenie_hosp_Y[[#This Row],[Column1]]/0.029</f>
        <v>1</v>
      </c>
      <c r="N30" s="6">
        <v>27</v>
      </c>
      <c r="O30" s="7">
        <f>(P_smrt_vyliecenie_hosp_Y[[#This Row],[P_death]]-C29)/$C$41</f>
        <v>0</v>
      </c>
      <c r="P30">
        <f t="shared" si="6"/>
        <v>1.2253071921283569E-2</v>
      </c>
      <c r="Q30">
        <f t="shared" si="0"/>
        <v>1.0490404631231898E-2</v>
      </c>
      <c r="R30">
        <f t="shared" si="1"/>
        <v>3.101234970450405E-3</v>
      </c>
      <c r="S30">
        <f t="shared" si="2"/>
        <v>8.3947806312882154E-3</v>
      </c>
      <c r="T30">
        <f>P_smrt_vyliecenie_hosp_Y[[#This Row],[Column2]]-G29</f>
        <v>0</v>
      </c>
      <c r="U30">
        <f t="shared" si="3"/>
        <v>8.2154522635400226E-2</v>
      </c>
      <c r="V30">
        <f t="shared" si="4"/>
        <v>1.24728880078336E-2</v>
      </c>
      <c r="X30">
        <f>(P_smrt_vyliecenie_hosp_Y[[#This Row],[P_rec]]-B29)/$B$41</f>
        <v>0</v>
      </c>
      <c r="Y30">
        <f t="shared" si="7"/>
        <v>1.3403782688451854E-3</v>
      </c>
      <c r="Z30">
        <f t="shared" si="8"/>
        <v>1.3829931458253875E-3</v>
      </c>
      <c r="AA30">
        <f>_xlfn.GAMMA.DIST(N30,$J$7,$J$8,FALSE)</f>
        <v>6.8764585275813881E-4</v>
      </c>
      <c r="AB30">
        <f t="shared" si="5"/>
        <v>6.8771003000515961E-4</v>
      </c>
    </row>
    <row r="31" spans="1:28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9"/>
        <v>5.0122881446593042E-24</v>
      </c>
      <c r="F31">
        <v>2.9000000000000001E-2</v>
      </c>
      <c r="G31">
        <f>P_smrt_vyliecenie_hosp_Y[[#This Row],[Column1]]/0.029</f>
        <v>1</v>
      </c>
      <c r="N31" s="6">
        <v>28</v>
      </c>
      <c r="O31" s="7">
        <f>(P_smrt_vyliecenie_hosp_Y[[#This Row],[P_death]]-C30)/$C$41</f>
        <v>0</v>
      </c>
      <c r="P31">
        <f t="shared" si="6"/>
        <v>6.7391895567059639E-3</v>
      </c>
      <c r="Q31">
        <f t="shared" si="0"/>
        <v>5.7697225471775452E-3</v>
      </c>
      <c r="R31">
        <f t="shared" si="1"/>
        <v>2.9942658905799864E-3</v>
      </c>
      <c r="S31">
        <f t="shared" si="2"/>
        <v>8.1052243840514914E-3</v>
      </c>
      <c r="T31">
        <f>P_smrt_vyliecenie_hosp_Y[[#This Row],[Column2]]-G30</f>
        <v>0</v>
      </c>
      <c r="U31">
        <f t="shared" si="3"/>
        <v>8.0020544382968406E-2</v>
      </c>
      <c r="V31">
        <f t="shared" si="4"/>
        <v>1.2148902536311118E-2</v>
      </c>
      <c r="X31">
        <f>(P_smrt_vyliecenie_hosp_Y[[#This Row],[P_rec]]-B30)/$B$41</f>
        <v>0</v>
      </c>
      <c r="Y31">
        <f t="shared" si="7"/>
        <v>4.6913239409581488E-4</v>
      </c>
      <c r="Z31">
        <f t="shared" si="8"/>
        <v>4.8404760103888558E-4</v>
      </c>
      <c r="AA31">
        <f>_xlfn.GAMMA.DIST(N31,$J$7,$J$8,FALSE)</f>
        <v>5.0432063302893531E-4</v>
      </c>
      <c r="AB31">
        <f t="shared" si="5"/>
        <v>5.0436770073059272E-4</v>
      </c>
    </row>
    <row r="32" spans="1:28" x14ac:dyDescent="0.3">
      <c r="A32">
        <v>29</v>
      </c>
      <c r="B32">
        <v>0.95099999999999996</v>
      </c>
      <c r="C32">
        <v>2.7E-2</v>
      </c>
      <c r="D32">
        <v>2.3E-2</v>
      </c>
      <c r="E32">
        <f t="shared" si="9"/>
        <v>1.2530720361648262E-25</v>
      </c>
      <c r="F32">
        <v>2.9000000000000001E-2</v>
      </c>
      <c r="G32">
        <f>P_smrt_vyliecenie_hosp_Y[[#This Row],[Column1]]/0.029</f>
        <v>1</v>
      </c>
      <c r="N32" s="6">
        <v>29</v>
      </c>
      <c r="O32" s="7">
        <f>(P_smrt_vyliecenie_hosp_Y[[#This Row],[P_death]]-C31)/$C$41</f>
        <v>3.4482758620689682E-2</v>
      </c>
      <c r="P32">
        <f t="shared" si="6"/>
        <v>1.9223795635498638E-2</v>
      </c>
      <c r="Q32">
        <f t="shared" si="0"/>
        <v>1.6458353958911966E-2</v>
      </c>
      <c r="R32">
        <f t="shared" si="1"/>
        <v>2.8944280829903781E-3</v>
      </c>
      <c r="S32">
        <f t="shared" si="2"/>
        <v>7.8349718874140637E-3</v>
      </c>
      <c r="T32">
        <f>P_smrt_vyliecenie_hosp_Y[[#This Row],[Column2]]-G31</f>
        <v>0</v>
      </c>
      <c r="U32">
        <f t="shared" si="3"/>
        <v>7.8011577310690541E-2</v>
      </c>
      <c r="V32">
        <f t="shared" si="4"/>
        <v>1.1843896548811779E-2</v>
      </c>
      <c r="X32">
        <f>(P_smrt_vyliecenie_hosp_Y[[#This Row],[P_rec]]-B31)/$B$41</f>
        <v>2.0597322348094769E-3</v>
      </c>
      <c r="Y32">
        <f t="shared" si="7"/>
        <v>1.4641963379335367E-3</v>
      </c>
      <c r="Z32">
        <f t="shared" si="8"/>
        <v>1.5107477840933272E-3</v>
      </c>
      <c r="AA32">
        <f>_xlfn.GAMMA.DIST(N32,$J$7,$J$8,FALSE)</f>
        <v>3.6890312047801717E-4</v>
      </c>
      <c r="AB32">
        <f t="shared" si="5"/>
        <v>3.6893754980903793E-4</v>
      </c>
    </row>
    <row r="33" spans="1:28" x14ac:dyDescent="0.3">
      <c r="A33">
        <v>30</v>
      </c>
      <c r="B33">
        <v>0.95099999999999996</v>
      </c>
      <c r="C33">
        <v>2.8000000000000001E-2</v>
      </c>
      <c r="D33">
        <v>2.3E-2</v>
      </c>
      <c r="E33">
        <f t="shared" si="9"/>
        <v>2.8820656831791002E-27</v>
      </c>
      <c r="F33">
        <v>2.9000000000000001E-2</v>
      </c>
      <c r="G33">
        <f>P_smrt_vyliecenie_hosp_Y[[#This Row],[Column1]]/0.029</f>
        <v>1</v>
      </c>
      <c r="N33" s="6">
        <v>30</v>
      </c>
      <c r="O33" s="7">
        <f>(P_smrt_vyliecenie_hosp_Y[[#This Row],[P_death]]-C32)/$C$41</f>
        <v>3.4482758620689682E-2</v>
      </c>
      <c r="P33">
        <f t="shared" si="6"/>
        <v>2.6090328978834607E-2</v>
      </c>
      <c r="Q33">
        <f t="shared" si="0"/>
        <v>2.2337101235365895E-2</v>
      </c>
      <c r="R33">
        <f t="shared" si="1"/>
        <v>2.801031424557628E-3</v>
      </c>
      <c r="S33">
        <f t="shared" si="2"/>
        <v>7.5821550364792174E-3</v>
      </c>
      <c r="T33">
        <f>P_smrt_vyliecenie_hosp_Y[[#This Row],[Column2]]-G32</f>
        <v>0</v>
      </c>
      <c r="U33">
        <f t="shared" si="3"/>
        <v>7.611648586356666E-2</v>
      </c>
      <c r="V33">
        <f t="shared" si="4"/>
        <v>1.1556179419841519E-2</v>
      </c>
      <c r="X33">
        <f>(P_smrt_vyliecenie_hosp_Y[[#This Row],[P_rec]]-B32)/$B$41</f>
        <v>0</v>
      </c>
      <c r="Y33">
        <f t="shared" si="7"/>
        <v>5.1246871827673787E-4</v>
      </c>
      <c r="Z33">
        <f t="shared" si="8"/>
        <v>5.2876172443266456E-4</v>
      </c>
      <c r="AA33">
        <f>_xlfn.GAMMA.DIST(N33,$J$7,$J$8,FALSE)</f>
        <v>2.6918984111896964E-4</v>
      </c>
      <c r="AB33">
        <f t="shared" si="5"/>
        <v>2.6921496431699332E-4</v>
      </c>
    </row>
    <row r="34" spans="1:28" x14ac:dyDescent="0.3">
      <c r="A34">
        <v>31</v>
      </c>
      <c r="B34">
        <v>0.95599999999999996</v>
      </c>
      <c r="C34">
        <v>2.9000000000000001E-2</v>
      </c>
      <c r="D34">
        <v>1.7999999999999999E-2</v>
      </c>
      <c r="E34">
        <f t="shared" si="9"/>
        <v>6.6287510713119301E-29</v>
      </c>
      <c r="F34">
        <v>2.9000000000000001E-2</v>
      </c>
      <c r="G34">
        <f>P_smrt_vyliecenie_hosp_Y[[#This Row],[Column1]]/0.029</f>
        <v>1</v>
      </c>
      <c r="N34" s="6">
        <v>31</v>
      </c>
      <c r="O34" s="7">
        <f>(P_smrt_vyliecenie_hosp_Y[[#This Row],[P_death]]-C33)/$C$41</f>
        <v>3.4482758620689682E-2</v>
      </c>
      <c r="P34">
        <f t="shared" si="6"/>
        <v>2.9866922317669391E-2</v>
      </c>
      <c r="Q34">
        <f t="shared" si="0"/>
        <v>2.5570412237415557E-2</v>
      </c>
      <c r="R34">
        <f t="shared" si="1"/>
        <v>2.7134720575482762E-3</v>
      </c>
      <c r="S34">
        <f t="shared" si="2"/>
        <v>7.3451392394623246E-3</v>
      </c>
      <c r="T34">
        <f>P_smrt_vyliecenie_hosp_Y[[#This Row],[Column2]]-G33</f>
        <v>0</v>
      </c>
      <c r="U34">
        <f t="shared" si="3"/>
        <v>7.4325444687670064E-2</v>
      </c>
      <c r="V34">
        <f t="shared" si="4"/>
        <v>1.1284259441637533E-2</v>
      </c>
      <c r="X34">
        <f>(P_smrt_vyliecenie_hosp_Y[[#This Row],[P_rec]]-B33)/$B$41</f>
        <v>5.1493305870236915E-3</v>
      </c>
      <c r="Y34">
        <f t="shared" si="7"/>
        <v>3.429364051396861E-3</v>
      </c>
      <c r="Z34">
        <f t="shared" si="8"/>
        <v>3.5383944128757248E-3</v>
      </c>
      <c r="AA34">
        <f>_xlfn.GAMMA.DIST(N34,$J$7,$J$8,FALSE)</f>
        <v>1.959815675960147E-4</v>
      </c>
      <c r="AB34">
        <f t="shared" si="5"/>
        <v>1.9599985834469686E-4</v>
      </c>
    </row>
    <row r="35" spans="1:28" x14ac:dyDescent="0.3">
      <c r="A35">
        <v>32</v>
      </c>
      <c r="B35">
        <v>0.95799999999999996</v>
      </c>
      <c r="C35">
        <v>2.9000000000000001E-2</v>
      </c>
      <c r="D35">
        <v>1.4999999999999999E-2</v>
      </c>
      <c r="E35">
        <f t="shared" si="9"/>
        <v>1.1931751928361473E-30</v>
      </c>
      <c r="F35">
        <v>2.9000000000000001E-2</v>
      </c>
      <c r="G35">
        <f>P_smrt_vyliecenie_hosp_Y[[#This Row],[Column1]]/0.029</f>
        <v>1</v>
      </c>
      <c r="N35" s="6">
        <v>32</v>
      </c>
      <c r="O35" s="7">
        <f>(P_smrt_vyliecenie_hosp_Y[[#This Row],[P_death]]-C34)/$C$41</f>
        <v>0</v>
      </c>
      <c r="P35">
        <f t="shared" si="6"/>
        <v>1.6426807274718166E-2</v>
      </c>
      <c r="Q35">
        <f t="shared" si="0"/>
        <v>1.4063726730578558E-2</v>
      </c>
      <c r="R35">
        <f t="shared" si="1"/>
        <v>2.6312193191056492E-3</v>
      </c>
      <c r="S35">
        <f t="shared" si="2"/>
        <v>7.1224880369162953E-3</v>
      </c>
      <c r="T35">
        <f>P_smrt_vyliecenie_hosp_Y[[#This Row],[Column2]]-G34</f>
        <v>0</v>
      </c>
      <c r="U35">
        <f t="shared" si="3"/>
        <v>7.2629749300861524E-2</v>
      </c>
      <c r="V35">
        <f t="shared" si="4"/>
        <v>1.102681507976196E-2</v>
      </c>
      <c r="X35">
        <f>(P_smrt_vyliecenie_hosp_Y[[#This Row],[P_rec]]-B34)/$B$41</f>
        <v>2.0597322348094769E-3</v>
      </c>
      <c r="Y35">
        <f t="shared" si="7"/>
        <v>2.5002774179889026E-3</v>
      </c>
      <c r="Z35">
        <f t="shared" si="8"/>
        <v>2.5797691682362205E-3</v>
      </c>
      <c r="AA35">
        <f>_xlfn.GAMMA.DIST(N35,$J$7,$J$8,FALSE)</f>
        <v>1.4237865012788964E-4</v>
      </c>
      <c r="AB35">
        <f t="shared" si="5"/>
        <v>1.4239193817400104E-4</v>
      </c>
    </row>
    <row r="36" spans="1:28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9"/>
        <v>1.7897627892542209E-32</v>
      </c>
      <c r="F36">
        <v>2.9000000000000001E-2</v>
      </c>
      <c r="G36">
        <f>P_smrt_vyliecenie_hosp_Y[[#This Row],[Column1]]/0.029</f>
        <v>1</v>
      </c>
      <c r="N36" s="6">
        <v>33</v>
      </c>
      <c r="O36" s="7">
        <f>(P_smrt_vyliecenie_hosp_Y[[#This Row],[P_death]]-C35)/$C$41</f>
        <v>0</v>
      </c>
      <c r="P36">
        <f t="shared" si="6"/>
        <v>9.034744001094993E-3</v>
      </c>
      <c r="Q36">
        <f t="shared" si="0"/>
        <v>7.7350497018182076E-3</v>
      </c>
      <c r="R36">
        <f t="shared" si="1"/>
        <v>2.553804977297386E-3</v>
      </c>
      <c r="S36">
        <f t="shared" si="2"/>
        <v>6.9129339646231058E-3</v>
      </c>
      <c r="T36">
        <f>P_smrt_vyliecenie_hosp_Y[[#This Row],[Column2]]-G35</f>
        <v>0</v>
      </c>
      <c r="U36">
        <f t="shared" si="3"/>
        <v>7.1021658904894647E-2</v>
      </c>
      <c r="V36">
        <f t="shared" si="4"/>
        <v>1.0782671108475285E-2</v>
      </c>
      <c r="X36">
        <f>(P_smrt_vyliecenie_hosp_Y[[#This Row],[P_rec]]-B35)/$B$41</f>
        <v>3.0895983522142151E-3</v>
      </c>
      <c r="Y36">
        <f t="shared" si="7"/>
        <v>2.8250970962961182E-3</v>
      </c>
      <c r="Z36">
        <f t="shared" si="8"/>
        <v>2.9149158944772532E-3</v>
      </c>
      <c r="AA36">
        <f>_xlfn.GAMMA.DIST(N36,$J$7,$J$8,FALSE)</f>
        <v>1.032296971271546E-4</v>
      </c>
      <c r="AB36">
        <f t="shared" si="5"/>
        <v>1.0323933144363574E-4</v>
      </c>
    </row>
    <row r="37" spans="1:28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9"/>
        <v>1.7897627892542208E-34</v>
      </c>
      <c r="F37">
        <v>2.9000000000000001E-2</v>
      </c>
      <c r="G37">
        <f>P_smrt_vyliecenie_hosp_Y[[#This Row],[Column1]]/0.029</f>
        <v>1</v>
      </c>
      <c r="N37" s="6">
        <v>34</v>
      </c>
      <c r="O37" s="7">
        <f>(P_smrt_vyliecenie_hosp_Y[[#This Row],[P_death]]-C36)/$C$41</f>
        <v>0</v>
      </c>
      <c r="P37">
        <f t="shared" si="6"/>
        <v>4.9691092006022468E-3</v>
      </c>
      <c r="Q37">
        <f t="shared" si="0"/>
        <v>4.254277336000015E-3</v>
      </c>
      <c r="R37">
        <f t="shared" si="1"/>
        <v>2.4808143124119674E-3</v>
      </c>
      <c r="S37">
        <f t="shared" si="2"/>
        <v>6.7153544114182187E-3</v>
      </c>
      <c r="T37">
        <f>P_smrt_vyliecenie_hosp_Y[[#This Row],[Column2]]-G36</f>
        <v>0</v>
      </c>
      <c r="U37">
        <f t="shared" si="3"/>
        <v>6.9494265117079637E-2</v>
      </c>
      <c r="V37">
        <f t="shared" si="4"/>
        <v>1.0550778681276539E-2</v>
      </c>
      <c r="X37">
        <f>(P_smrt_vyliecenie_hosp_Y[[#This Row],[P_rec]]-B36)/$B$41</f>
        <v>2.0597322348094769E-3</v>
      </c>
      <c r="Y37">
        <f t="shared" si="7"/>
        <v>2.2887839837036428E-3</v>
      </c>
      <c r="Z37">
        <f t="shared" si="8"/>
        <v>2.3615516867967557E-3</v>
      </c>
      <c r="AA37">
        <f>_xlfn.GAMMA.DIST(N37,$J$7,$J$8,FALSE)</f>
        <v>7.4704457647412352E-5</v>
      </c>
      <c r="AB37">
        <f t="shared" si="5"/>
        <v>7.4711429734007165E-5</v>
      </c>
    </row>
    <row r="38" spans="1:28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9"/>
        <v>1.4318102314033767E-36</v>
      </c>
      <c r="F38">
        <v>2.9000000000000001E-2</v>
      </c>
      <c r="G38">
        <f>P_smrt_vyliecenie_hosp_Y[[#This Row],[Column1]]/0.029</f>
        <v>1</v>
      </c>
      <c r="N38" s="6">
        <v>35</v>
      </c>
      <c r="O38" s="7">
        <f>(P_smrt_vyliecenie_hosp_Y[[#This Row],[P_death]]-C37)/$C$41</f>
        <v>0</v>
      </c>
      <c r="P38">
        <f t="shared" si="6"/>
        <v>2.7330100603312358E-3</v>
      </c>
      <c r="Q38">
        <f t="shared" si="0"/>
        <v>2.3398525348000084E-3</v>
      </c>
      <c r="R38">
        <f t="shared" si="1"/>
        <v>2.4118786847058199E-3</v>
      </c>
      <c r="S38">
        <f t="shared" si="2"/>
        <v>6.5287515007109356E-3</v>
      </c>
      <c r="T38">
        <f>P_smrt_vyliecenie_hosp_Y[[#This Row],[Column2]]-G37</f>
        <v>0</v>
      </c>
      <c r="U38">
        <f t="shared" si="3"/>
        <v>6.8041381743977156E-2</v>
      </c>
      <c r="V38">
        <f t="shared" si="4"/>
        <v>1.0330198596092742E-2</v>
      </c>
      <c r="X38">
        <f>(P_smrt_vyliecenie_hosp_Y[[#This Row],[P_rec]]-B37)/$B$41</f>
        <v>3.0895983522142151E-3</v>
      </c>
      <c r="Y38">
        <f t="shared" si="7"/>
        <v>2.7510743942962771E-3</v>
      </c>
      <c r="Z38">
        <f t="shared" si="8"/>
        <v>2.8385397759734402E-3</v>
      </c>
      <c r="AA38">
        <f>_xlfn.GAMMA.DIST(N38,$J$7,$J$8,FALSE)</f>
        <v>5.3965709215422551E-5</v>
      </c>
      <c r="AB38">
        <f t="shared" si="5"/>
        <v>5.3970745776956486E-5</v>
      </c>
    </row>
    <row r="39" spans="1:28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9"/>
        <v>7.1590511570168833E-39</v>
      </c>
      <c r="F39">
        <v>2.9000000000000001E-2</v>
      </c>
      <c r="G39">
        <f>P_smrt_vyliecenie_hosp_Y[[#This Row],[Column1]]/0.029</f>
        <v>1</v>
      </c>
      <c r="N39" s="6">
        <v>36</v>
      </c>
      <c r="O39" s="7">
        <f>(P_smrt_vyliecenie_hosp_Y[[#This Row],[P_death]]-C38)/$C$41</f>
        <v>0</v>
      </c>
      <c r="P39">
        <f t="shared" si="6"/>
        <v>1.5031555331821798E-3</v>
      </c>
      <c r="Q39">
        <f t="shared" si="0"/>
        <v>1.2869188941400046E-3</v>
      </c>
      <c r="R39">
        <f t="shared" si="1"/>
        <v>2.3466693073806227E-3</v>
      </c>
      <c r="S39">
        <f t="shared" si="2"/>
        <v>6.3522352344609042E-3</v>
      </c>
      <c r="T39">
        <f>P_smrt_vyliecenie_hosp_Y[[#This Row],[Column2]]-G38</f>
        <v>0</v>
      </c>
      <c r="U39">
        <f t="shared" si="3"/>
        <v>6.6657451744855684E-2</v>
      </c>
      <c r="V39">
        <f t="shared" si="4"/>
        <v>1.0120087170257672E-2</v>
      </c>
      <c r="X39">
        <f>(P_smrt_vyliecenie_hosp_Y[[#This Row],[P_rec]]-B38)/$B$41</f>
        <v>0</v>
      </c>
      <c r="Y39">
        <f t="shared" si="7"/>
        <v>9.6287603800369697E-4</v>
      </c>
      <c r="Z39">
        <f t="shared" si="8"/>
        <v>9.9348892159070419E-4</v>
      </c>
      <c r="AA39">
        <f>_xlfn.GAMMA.DIST(N39,$J$7,$J$8,FALSE)</f>
        <v>3.8919045933682555E-5</v>
      </c>
      <c r="AB39">
        <f t="shared" si="5"/>
        <v>3.8922678206333783E-5</v>
      </c>
    </row>
    <row r="40" spans="1:28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9"/>
        <v>3.5795255785084417E-41</v>
      </c>
      <c r="F40">
        <v>2.9000000000000001E-2</v>
      </c>
      <c r="G40">
        <f>P_smrt_vyliecenie_hosp_Y[[#This Row],[Column1]]/0.029</f>
        <v>1</v>
      </c>
      <c r="N40" s="6">
        <v>37</v>
      </c>
      <c r="O40" s="7">
        <f>(P_smrt_vyliecenie_hosp_Y[[#This Row],[P_death]]-C39)/$C$41</f>
        <v>0</v>
      </c>
      <c r="P40">
        <f t="shared" si="6"/>
        <v>8.2673554325019894E-4</v>
      </c>
      <c r="Q40">
        <f t="shared" si="0"/>
        <v>7.0780539177700259E-4</v>
      </c>
      <c r="R40">
        <f t="shared" si="1"/>
        <v>2.2848920027747181E-3</v>
      </c>
      <c r="S40">
        <f t="shared" si="2"/>
        <v>6.1850092986320167E-3</v>
      </c>
      <c r="T40">
        <f>P_smrt_vyliecenie_hosp_Y[[#This Row],[Column2]]-G39</f>
        <v>0</v>
      </c>
      <c r="U40">
        <f t="shared" si="3"/>
        <v>6.5337468321010228E-2</v>
      </c>
      <c r="V40">
        <f t="shared" si="4"/>
        <v>9.9196842601112882E-3</v>
      </c>
      <c r="X40">
        <f>(P_smrt_vyliecenie_hosp_Y[[#This Row],[P_rec]]-B39)/$B$41</f>
        <v>0</v>
      </c>
      <c r="Y40">
        <f t="shared" si="7"/>
        <v>3.3700661330129391E-4</v>
      </c>
      <c r="Z40">
        <f t="shared" si="8"/>
        <v>3.4772112255674644E-4</v>
      </c>
      <c r="AA40">
        <f>_xlfn.GAMMA.DIST(N40,$J$7,$J$8,FALSE)</f>
        <v>2.8023298570001878E-5</v>
      </c>
      <c r="AB40">
        <f t="shared" si="5"/>
        <v>2.8025913954283559E-5</v>
      </c>
    </row>
    <row r="41" spans="1:28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F41">
        <v>2.9000000000000001E-2</v>
      </c>
      <c r="G41">
        <f>P_smrt_vyliecenie_hosp_Y[[#This Row],[Column1]]/0.029</f>
        <v>1</v>
      </c>
      <c r="N41" s="6">
        <v>38</v>
      </c>
      <c r="O41" s="7">
        <f>(P_smrt_vyliecenie_hosp_Y[[#This Row],[P_death]]-C40)/$C$41</f>
        <v>0</v>
      </c>
      <c r="P41">
        <f t="shared" si="6"/>
        <v>4.5470454878760943E-4</v>
      </c>
      <c r="Q41">
        <f t="shared" si="0"/>
        <v>3.8929296547735145E-4</v>
      </c>
      <c r="R41">
        <f t="shared" si="1"/>
        <v>2.2262827652943145E-3</v>
      </c>
      <c r="S41">
        <f t="shared" si="2"/>
        <v>6.0263590524226472E-3</v>
      </c>
      <c r="T41">
        <f>P_smrt_vyliecenie_hosp_Y[[#This Row],[Column2]]-G40</f>
        <v>0</v>
      </c>
      <c r="U41">
        <f t="shared" si="3"/>
        <v>6.4076907677932934E-2</v>
      </c>
      <c r="V41">
        <f t="shared" si="4"/>
        <v>9.7283030527982924E-3</v>
      </c>
      <c r="X41">
        <f>(P_smrt_vyliecenie_hosp_Y[[#This Row],[P_rec]]-B40)/$B$41</f>
        <v>5.1493305870236915E-3</v>
      </c>
      <c r="Y41">
        <f t="shared" si="7"/>
        <v>3.3679523146554558E-3</v>
      </c>
      <c r="Z41">
        <f t="shared" si="8"/>
        <v>3.4750302022191538E-3</v>
      </c>
      <c r="AA41">
        <f>_xlfn.GAMMA.DIST(N41,$J$7,$J$8,FALSE)</f>
        <v>2.0147712892726814E-5</v>
      </c>
      <c r="AB41">
        <f t="shared" si="5"/>
        <v>2.0149593257077205E-5</v>
      </c>
    </row>
    <row r="42" spans="1:28" x14ac:dyDescent="0.3">
      <c r="B42">
        <f>SUMPRODUCT(P_smrt_vyliecenie_hosp_Y[P_rec],P_smrt_vyliecenie_hosp_Y[P_cont_cum])</f>
        <v>0.94848169283601969</v>
      </c>
      <c r="C42">
        <f>SUMPRODUCT(P_smrt_vyliecenie_hosp_Y[P_death],P_smrt_vyliecenie_hosp_Y[P_cont_cum])</f>
        <v>5.151830716398012E-2</v>
      </c>
      <c r="N42" t="s">
        <v>63</v>
      </c>
      <c r="O42" s="8">
        <f t="shared" ref="O42:V42" si="10">SUM(O3:O41)</f>
        <v>1.0000000000000002</v>
      </c>
      <c r="P42" s="8">
        <f t="shared" si="10"/>
        <v>1.1680266254748535</v>
      </c>
      <c r="Q42" s="8">
        <f t="shared" si="10"/>
        <v>1</v>
      </c>
      <c r="R42" s="8">
        <f t="shared" si="10"/>
        <v>0.36942418231773461</v>
      </c>
      <c r="S42" s="8">
        <f t="shared" si="10"/>
        <v>1</v>
      </c>
      <c r="T42" s="8">
        <f t="shared" si="10"/>
        <v>1</v>
      </c>
      <c r="U42" s="8">
        <f t="shared" si="10"/>
        <v>6.5866479827128295</v>
      </c>
      <c r="V42" s="8">
        <f t="shared" si="10"/>
        <v>1.0000000000000002</v>
      </c>
      <c r="W42" s="8"/>
      <c r="X42" s="8">
        <f>SUM(X3:X41)</f>
        <v>1</v>
      </c>
      <c r="Y42" s="8">
        <f>SUM(Y3:Y41)</f>
        <v>0.96918648721518508</v>
      </c>
      <c r="Z42" s="8">
        <f>SUM(Z3:Z41)</f>
        <v>1.0000000000000002</v>
      </c>
      <c r="AA42" s="8">
        <f>SUM(AA3:AA41)</f>
        <v>0.99990667978621695</v>
      </c>
      <c r="AB42" s="8">
        <f>SUM(AB3:AB41)</f>
        <v>0.99999999999999944</v>
      </c>
    </row>
    <row r="43" spans="1:28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9" t="s">
        <v>31</v>
      </c>
      <c r="R43" s="24">
        <f>1/R44</f>
        <v>5.6721497447532609</v>
      </c>
      <c r="S43" s="24"/>
      <c r="T43" s="26">
        <f>SUM(T4:T41)</f>
        <v>0.86206896551724133</v>
      </c>
      <c r="U43" s="26"/>
      <c r="V43" s="24"/>
      <c r="W43" s="24"/>
    </row>
    <row r="44" spans="1:28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9" t="s">
        <v>32</v>
      </c>
      <c r="R44" s="9">
        <v>0.17630000000000001</v>
      </c>
      <c r="S44" s="9"/>
      <c r="T44" s="9"/>
      <c r="U44" s="9"/>
      <c r="V44" s="9"/>
      <c r="W44" s="9"/>
      <c r="AA44">
        <f>SUMPRODUCT(AA4:AA41,N4:N41)</f>
        <v>7.9280996600581055</v>
      </c>
      <c r="AB44" s="9"/>
    </row>
    <row r="45" spans="1:28" x14ac:dyDescent="0.3">
      <c r="Q45" t="s">
        <v>28</v>
      </c>
      <c r="R45">
        <f>SUMPRODUCT(V4:V41,N4:N41)</f>
        <v>10.978652088506564</v>
      </c>
      <c r="T45">
        <f>1/R45</f>
        <v>9.1085862994683062E-2</v>
      </c>
      <c r="AA45">
        <f>(SUMPRODUCT(N4:N41,N4:N41,AA4:AA41)-AA44^2)^0.5</f>
        <v>4.5343579602771875</v>
      </c>
      <c r="AB45" s="9"/>
    </row>
    <row r="46" spans="1:28" x14ac:dyDescent="0.3">
      <c r="Q46" t="s">
        <v>33</v>
      </c>
      <c r="R46" t="e">
        <f>(SUMPRODUCT(T4:T41,N4:N41,N4:N41)-R45^2)^0.5</f>
        <v>#NUM!</v>
      </c>
    </row>
  </sheetData>
  <mergeCells count="2">
    <mergeCell ref="O1:V1"/>
    <mergeCell ref="X1:AB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W63"/>
  <sheetViews>
    <sheetView topLeftCell="F38" workbookViewId="0">
      <selection activeCell="R59" sqref="R59"/>
    </sheetView>
  </sheetViews>
  <sheetFormatPr defaultRowHeight="14.4" x14ac:dyDescent="0.3"/>
  <cols>
    <col min="9" max="9" width="24.21875" customWidth="1"/>
    <col min="14" max="14" width="8.88671875" style="5"/>
    <col min="23" max="23" width="12" bestFit="1" customWidth="1"/>
  </cols>
  <sheetData>
    <row r="1" spans="1:23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2" t="s">
        <v>9</v>
      </c>
      <c r="N1" s="41" t="s">
        <v>21</v>
      </c>
      <c r="O1" s="41"/>
      <c r="P1" s="41"/>
      <c r="Q1" s="41"/>
      <c r="R1" s="25"/>
      <c r="S1" s="41" t="s">
        <v>23</v>
      </c>
      <c r="T1" s="41"/>
      <c r="U1" s="41"/>
      <c r="V1" s="41"/>
      <c r="W1" s="41"/>
    </row>
    <row r="2" spans="1:23" x14ac:dyDescent="0.3">
      <c r="B2">
        <v>0</v>
      </c>
      <c r="C2">
        <v>0</v>
      </c>
      <c r="D2">
        <v>1</v>
      </c>
      <c r="I2" s="1" t="s">
        <v>1</v>
      </c>
      <c r="J2">
        <f>B59</f>
        <v>5.6533128722692334</v>
      </c>
      <c r="N2" s="11" t="s">
        <v>18</v>
      </c>
      <c r="O2" s="11" t="s">
        <v>19</v>
      </c>
      <c r="P2" s="11" t="s">
        <v>20</v>
      </c>
      <c r="Q2" s="11" t="s">
        <v>22</v>
      </c>
      <c r="R2" s="11" t="s">
        <v>30</v>
      </c>
      <c r="S2" s="11" t="s">
        <v>18</v>
      </c>
      <c r="T2" s="11" t="s">
        <v>19</v>
      </c>
      <c r="U2" s="11" t="s">
        <v>20</v>
      </c>
      <c r="V2" s="11" t="s">
        <v>22</v>
      </c>
      <c r="W2" s="11" t="s">
        <v>30</v>
      </c>
    </row>
    <row r="3" spans="1:23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I3" s="1" t="s">
        <v>2</v>
      </c>
      <c r="J3">
        <f>P_smrt_vyliecenie_hosp_O[[#Totals],[P_death]]</f>
        <v>0.37161160021454559</v>
      </c>
      <c r="M3">
        <v>0</v>
      </c>
      <c r="N3" s="12">
        <v>1.7999999999999999E-2</v>
      </c>
      <c r="O3" s="13">
        <f>N3/$N$58</f>
        <v>8.4507042253521084E-2</v>
      </c>
      <c r="P3" s="13"/>
      <c r="Q3" s="14"/>
      <c r="R3" s="13"/>
      <c r="S3" s="21">
        <f>P_smrt_vyliecenie_hosp_O[[#This Row],[P_rec]]-B2</f>
        <v>0</v>
      </c>
      <c r="T3" s="13">
        <f>S3/$S$58</f>
        <v>0</v>
      </c>
      <c r="U3" s="13"/>
      <c r="V3" s="13"/>
      <c r="W3" s="14"/>
    </row>
    <row r="4" spans="1:23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I4" s="1" t="s">
        <v>4</v>
      </c>
      <c r="J4">
        <f>P_smrt_vyliecenie_hosp_O[[#Totals],[P_rec]]</f>
        <v>0.62765674035457053</v>
      </c>
      <c r="M4">
        <v>1</v>
      </c>
      <c r="N4" s="15">
        <v>1.7000000000000001E-2</v>
      </c>
      <c r="O4" s="16">
        <f t="shared" ref="O4:O57" si="0">N4/$N$58</f>
        <v>7.9812206572769925E-2</v>
      </c>
      <c r="P4" s="16">
        <f>N3</f>
        <v>1.7999999999999999E-2</v>
      </c>
      <c r="Q4" s="17">
        <f>P4/$P$58</f>
        <v>7.7922077922915514E-2</v>
      </c>
      <c r="R4" s="16">
        <f>_xlfn.EXPON.DIST(M4,$Q$60,FALSE)</f>
        <v>9.7937977539138091E-2</v>
      </c>
      <c r="S4" s="22">
        <v>0.01</v>
      </c>
      <c r="T4" s="16">
        <f t="shared" ref="T4:T57" si="1">S4/$S$58</f>
        <v>1.2820512820512818E-2</v>
      </c>
      <c r="U4" s="16">
        <f>S3</f>
        <v>0</v>
      </c>
      <c r="V4" s="16">
        <f>U4/$U$58</f>
        <v>0</v>
      </c>
      <c r="W4" s="17">
        <f>_xlfn.GAMMA.DIST(M5,$J$11,$J$12,FALSE)</f>
        <v>1.3263549077736014E-3</v>
      </c>
    </row>
    <row r="5" spans="1:23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2">D4*E4</f>
        <v>0.9387359999999999</v>
      </c>
      <c r="I5" s="1" t="s">
        <v>3</v>
      </c>
      <c r="J5">
        <f>1/(J3/J6+J4/J2)</f>
        <v>5.2099817543944464</v>
      </c>
      <c r="M5">
        <v>2</v>
      </c>
      <c r="N5" s="15">
        <f>(P_smrt_vyliecenie_hosp_O[[#This Row],[P_death]]-C4)</f>
        <v>1.7999999999999999E-2</v>
      </c>
      <c r="O5" s="16">
        <f t="shared" si="0"/>
        <v>8.4507042253521084E-2</v>
      </c>
      <c r="P5" s="16">
        <f>(1-$J$9)*N4+$J$9*P4</f>
        <v>1.7500000000000002E-2</v>
      </c>
      <c r="Q5" s="17">
        <f t="shared" ref="Q5:Q57" si="3">P5/$P$58</f>
        <v>7.5757575758390094E-2</v>
      </c>
      <c r="R5" s="16">
        <f t="shared" ref="R5:R57" si="4">_xlfn.EXPON.DIST(M5,$Q$60,FALSE)</f>
        <v>8.7802596457579235E-2</v>
      </c>
      <c r="S5" s="22">
        <f>P_smrt_vyliecenie_hosp_O[[#This Row],[P_rec]]-B4</f>
        <v>2.7999999999999997E-2</v>
      </c>
      <c r="T5" s="16">
        <f t="shared" si="1"/>
        <v>3.5897435897435888E-2</v>
      </c>
      <c r="U5" s="16">
        <f>(1-$J$10)*S4+$J$10*U4</f>
        <v>5.0000000000000001E-3</v>
      </c>
      <c r="V5" s="16">
        <f t="shared" ref="V5:V57" si="5">U5/$U$58</f>
        <v>6.4102565025348944E-3</v>
      </c>
      <c r="W5" s="17">
        <f t="shared" ref="W5:W57" si="6">_xlfn.GAMMA.DIST(M6,$J$11,$J$12,FALSE)</f>
        <v>5.0240556932217096E-3</v>
      </c>
    </row>
    <row r="6" spans="1:23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2"/>
        <v>0.85331102399999992</v>
      </c>
      <c r="I6" s="1" t="s">
        <v>5</v>
      </c>
      <c r="J6">
        <f>C59</f>
        <v>4.5926361058787624</v>
      </c>
      <c r="M6">
        <v>3</v>
      </c>
      <c r="N6" s="15">
        <v>1.6E-2</v>
      </c>
      <c r="O6" s="16">
        <f t="shared" si="0"/>
        <v>7.5117370892018753E-2</v>
      </c>
      <c r="P6" s="16">
        <f t="shared" ref="P6:P57" si="7">(1-$J$9)*N5+$J$9*P5</f>
        <v>1.7750000000000002E-2</v>
      </c>
      <c r="Q6" s="17">
        <f t="shared" si="3"/>
        <v>7.6839826840652811E-2</v>
      </c>
      <c r="R6" s="16">
        <f t="shared" si="4"/>
        <v>7.8716103174702651E-2</v>
      </c>
      <c r="S6" s="22">
        <v>3.2000000000000001E-2</v>
      </c>
      <c r="T6" s="16">
        <f t="shared" si="1"/>
        <v>4.1025641025641019E-2</v>
      </c>
      <c r="U6" s="16">
        <f>(1-$J$10)*S5+$J$10*U5</f>
        <v>1.6499999999999997E-2</v>
      </c>
      <c r="V6" s="16">
        <f t="shared" si="5"/>
        <v>2.1153846458365148E-2</v>
      </c>
      <c r="W6" s="17">
        <f t="shared" si="6"/>
        <v>1.1672561565225082E-2</v>
      </c>
    </row>
    <row r="7" spans="1:23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2"/>
        <v>0.72958092551999987</v>
      </c>
      <c r="I7" s="1" t="s">
        <v>10</v>
      </c>
      <c r="J7">
        <v>2524</v>
      </c>
      <c r="M7">
        <v>4</v>
      </c>
      <c r="N7" s="15">
        <v>1.4999999999999999E-2</v>
      </c>
      <c r="O7" s="16">
        <f t="shared" si="0"/>
        <v>7.0422535211267581E-2</v>
      </c>
      <c r="P7" s="16">
        <f t="shared" si="7"/>
        <v>1.6875000000000001E-2</v>
      </c>
      <c r="Q7" s="17">
        <f t="shared" si="3"/>
        <v>7.3051948052733309E-2</v>
      </c>
      <c r="R7" s="16">
        <f t="shared" si="4"/>
        <v>7.056995065065147E-2</v>
      </c>
      <c r="S7" s="22">
        <v>4.3999999999999997E-2</v>
      </c>
      <c r="T7" s="16">
        <f t="shared" si="1"/>
        <v>5.6410256410256397E-2</v>
      </c>
      <c r="U7" s="16">
        <f t="shared" ref="U7:U57" si="8">(1-$J$10)*S6+$J$10*U6</f>
        <v>2.4250000000000001E-2</v>
      </c>
      <c r="V7" s="16">
        <f t="shared" si="5"/>
        <v>3.108974403729424E-2</v>
      </c>
      <c r="W7" s="17">
        <f t="shared" si="6"/>
        <v>2.0747162020006666E-2</v>
      </c>
    </row>
    <row r="8" spans="1:23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2"/>
        <v>0.58731264504359992</v>
      </c>
      <c r="M8">
        <v>5</v>
      </c>
      <c r="N8" s="15">
        <v>1.2E-2</v>
      </c>
      <c r="O8" s="16">
        <f t="shared" si="0"/>
        <v>5.6338028169014065E-2</v>
      </c>
      <c r="P8" s="16">
        <f t="shared" si="7"/>
        <v>1.59375E-2</v>
      </c>
      <c r="Q8" s="17">
        <f t="shared" si="3"/>
        <v>6.8993506494248111E-2</v>
      </c>
      <c r="R8" s="16">
        <f t="shared" si="4"/>
        <v>6.3266825134655147E-2</v>
      </c>
      <c r="S8" s="22">
        <v>4.8000000000000001E-2</v>
      </c>
      <c r="T8" s="16">
        <f t="shared" si="1"/>
        <v>6.1538461538461528E-2</v>
      </c>
      <c r="U8" s="16">
        <f t="shared" si="8"/>
        <v>3.4125000000000003E-2</v>
      </c>
      <c r="V8" s="16">
        <f t="shared" si="5"/>
        <v>4.375000062980066E-2</v>
      </c>
      <c r="W8" s="17">
        <f t="shared" si="6"/>
        <v>3.1129836582298519E-2</v>
      </c>
    </row>
    <row r="9" spans="1:23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2"/>
        <v>0.44107179642774352</v>
      </c>
      <c r="I9" s="1" t="s">
        <v>24</v>
      </c>
      <c r="J9">
        <v>0.5</v>
      </c>
      <c r="M9">
        <v>6</v>
      </c>
      <c r="N9" s="15">
        <f>(P_smrt_vyliecenie_hosp_O[[#This Row],[P_death]]-C8)</f>
        <v>1.4999999999999999E-2</v>
      </c>
      <c r="O9" s="16">
        <f t="shared" si="0"/>
        <v>7.0422535211267581E-2</v>
      </c>
      <c r="P9" s="16">
        <f t="shared" si="7"/>
        <v>1.396875E-2</v>
      </c>
      <c r="Q9" s="17">
        <f t="shared" si="3"/>
        <v>6.0470779221429231E-2</v>
      </c>
      <c r="R9" s="16">
        <f t="shared" si="4"/>
        <v>5.6719483657199928E-2</v>
      </c>
      <c r="S9" s="22">
        <f>P_smrt_vyliecenie_hosp_O[[#This Row],[P_rec]]-B8</f>
        <v>3.999999999999998E-2</v>
      </c>
      <c r="T9" s="16">
        <f t="shared" si="1"/>
        <v>5.1282051282051246E-2</v>
      </c>
      <c r="U9" s="16">
        <f t="shared" si="8"/>
        <v>4.1062500000000002E-2</v>
      </c>
      <c r="V9" s="16">
        <f t="shared" si="5"/>
        <v>5.2644231527067827E-2</v>
      </c>
      <c r="W9" s="17">
        <f t="shared" si="6"/>
        <v>4.1554875842604991E-2</v>
      </c>
    </row>
    <row r="10" spans="1:23" x14ac:dyDescent="0.3">
      <c r="A10">
        <v>7</v>
      </c>
      <c r="B10">
        <v>0.246</v>
      </c>
      <c r="C10">
        <v>0.112</v>
      </c>
      <c r="D10">
        <v>0.64300000000000002</v>
      </c>
      <c r="E10">
        <f t="shared" si="2"/>
        <v>0.30742704211013722</v>
      </c>
      <c r="I10" s="1" t="s">
        <v>25</v>
      </c>
      <c r="J10">
        <v>0.5</v>
      </c>
      <c r="M10">
        <v>7</v>
      </c>
      <c r="N10" s="15">
        <f>(P_smrt_vyliecenie_hosp_O[[#This Row],[P_death]]-C9)</f>
        <v>1.3999999999999999E-2</v>
      </c>
      <c r="O10" s="16">
        <f t="shared" si="0"/>
        <v>6.5727699530516395E-2</v>
      </c>
      <c r="P10" s="16">
        <f t="shared" si="7"/>
        <v>1.4484375000000001E-2</v>
      </c>
      <c r="Q10" s="17">
        <f t="shared" si="3"/>
        <v>6.2702922078596082E-2</v>
      </c>
      <c r="R10" s="16">
        <f t="shared" si="4"/>
        <v>5.0849711827520884E-2</v>
      </c>
      <c r="S10" s="22">
        <f>P_smrt_vyliecenie_hosp_O[[#This Row],[P_rec]]-B9</f>
        <v>4.1000000000000009E-2</v>
      </c>
      <c r="T10" s="16">
        <f t="shared" si="1"/>
        <v>5.2564102564102565E-2</v>
      </c>
      <c r="U10" s="16">
        <f t="shared" si="8"/>
        <v>4.0531249999999991E-2</v>
      </c>
      <c r="V10" s="16">
        <f t="shared" si="5"/>
        <v>5.1963141773673477E-2</v>
      </c>
      <c r="W10" s="17">
        <f t="shared" si="6"/>
        <v>5.0921893033842938E-2</v>
      </c>
    </row>
    <row r="11" spans="1:23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2"/>
        <v>0.19767558807681823</v>
      </c>
      <c r="I11" s="1" t="s">
        <v>26</v>
      </c>
      <c r="J11">
        <v>5.15</v>
      </c>
      <c r="M11">
        <v>8</v>
      </c>
      <c r="N11" s="15">
        <v>1.2E-2</v>
      </c>
      <c r="O11" s="16">
        <f t="shared" si="0"/>
        <v>5.6338028169014065E-2</v>
      </c>
      <c r="P11" s="16">
        <f t="shared" si="7"/>
        <v>1.42421875E-2</v>
      </c>
      <c r="Q11" s="17">
        <f t="shared" si="3"/>
        <v>6.1654491342654077E-2</v>
      </c>
      <c r="R11" s="16">
        <f t="shared" si="4"/>
        <v>4.558738948628796E-2</v>
      </c>
      <c r="S11" s="22">
        <f>P_smrt_vyliecenie_hosp_O[[#This Row],[P_rec]]-B10</f>
        <v>5.4999999999999993E-2</v>
      </c>
      <c r="T11" s="16">
        <f t="shared" si="1"/>
        <v>7.0512820512820498E-2</v>
      </c>
      <c r="U11" s="16">
        <f t="shared" si="8"/>
        <v>4.0765625E-2</v>
      </c>
      <c r="V11" s="16">
        <f t="shared" si="5"/>
        <v>5.2263622547229813E-2</v>
      </c>
      <c r="W11" s="17">
        <f t="shared" si="6"/>
        <v>5.8452552374256922E-2</v>
      </c>
    </row>
    <row r="12" spans="1:23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2"/>
        <v>0.11405881432032411</v>
      </c>
      <c r="I12" s="1" t="s">
        <v>27</v>
      </c>
      <c r="J12">
        <v>2.85</v>
      </c>
      <c r="M12">
        <v>9</v>
      </c>
      <c r="N12" s="15">
        <v>1.0999999999999999E-2</v>
      </c>
      <c r="O12" s="16">
        <f t="shared" si="0"/>
        <v>5.1643192488262886E-2</v>
      </c>
      <c r="P12" s="16">
        <f t="shared" si="7"/>
        <v>1.312109375E-2</v>
      </c>
      <c r="Q12" s="17">
        <f t="shared" si="3"/>
        <v>5.6801271645632215E-2</v>
      </c>
      <c r="R12" s="16">
        <f t="shared" si="4"/>
        <v>4.0869653051794658E-2</v>
      </c>
      <c r="S12" s="22">
        <f>P_smrt_vyliecenie_hosp_O[[#This Row],[P_rec]]-B11</f>
        <v>5.4999999999999993E-2</v>
      </c>
      <c r="T12" s="16">
        <f t="shared" si="1"/>
        <v>7.0512820512820498E-2</v>
      </c>
      <c r="U12" s="16">
        <f t="shared" si="8"/>
        <v>4.7882812499999997E-2</v>
      </c>
      <c r="V12" s="16">
        <f t="shared" si="5"/>
        <v>6.1388222037556825E-2</v>
      </c>
      <c r="W12" s="17">
        <f t="shared" si="6"/>
        <v>6.3725468466626509E-2</v>
      </c>
    </row>
    <row r="13" spans="1:23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2"/>
        <v>5.8512171746326266E-2</v>
      </c>
      <c r="M13">
        <v>10</v>
      </c>
      <c r="N13" s="15">
        <v>8.9999999999999993E-3</v>
      </c>
      <c r="O13" s="16">
        <f t="shared" si="0"/>
        <v>4.2253521126760542E-2</v>
      </c>
      <c r="P13" s="16">
        <f t="shared" si="7"/>
        <v>1.2060546875E-2</v>
      </c>
      <c r="Q13" s="17">
        <f t="shared" si="3"/>
        <v>5.221015963259585E-2</v>
      </c>
      <c r="R13" s="16">
        <f t="shared" si="4"/>
        <v>3.6640144553056267E-2</v>
      </c>
      <c r="S13" s="22">
        <f>P_smrt_vyliecenie_hosp_O[[#This Row],[P_rec]]-B12</f>
        <v>4.0000000000000036E-2</v>
      </c>
      <c r="T13" s="16">
        <f t="shared" si="1"/>
        <v>5.1282051282051322E-2</v>
      </c>
      <c r="U13" s="16">
        <f t="shared" si="8"/>
        <v>5.1441406249999995E-2</v>
      </c>
      <c r="V13" s="16">
        <f t="shared" si="5"/>
        <v>6.5950521782720331E-2</v>
      </c>
      <c r="W13" s="17">
        <f t="shared" si="6"/>
        <v>6.6635958870419371E-2</v>
      </c>
    </row>
    <row r="14" spans="1:23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2"/>
        <v>2.7266672033788041E-2</v>
      </c>
      <c r="M14">
        <v>11</v>
      </c>
      <c r="N14" s="15">
        <v>7.0000000000000001E-3</v>
      </c>
      <c r="O14" s="16">
        <f t="shared" si="0"/>
        <v>3.2863849765258205E-2</v>
      </c>
      <c r="P14" s="16">
        <f t="shared" si="7"/>
        <v>1.0530273437499999E-2</v>
      </c>
      <c r="Q14" s="17">
        <f t="shared" si="3"/>
        <v>4.5585599297026803E-2</v>
      </c>
      <c r="R14" s="16">
        <f t="shared" si="4"/>
        <v>3.2848338378784141E-2</v>
      </c>
      <c r="S14" s="22">
        <f>P_smrt_vyliecenie_hosp_O[[#This Row],[P_rec]]-B13</f>
        <v>4.9999999999999989E-2</v>
      </c>
      <c r="T14" s="16">
        <f t="shared" si="1"/>
        <v>6.4102564102564083E-2</v>
      </c>
      <c r="U14" s="16">
        <f t="shared" si="8"/>
        <v>4.5720703125000012E-2</v>
      </c>
      <c r="V14" s="16">
        <f t="shared" si="5"/>
        <v>5.861628690149976E-2</v>
      </c>
      <c r="W14" s="17">
        <f t="shared" si="6"/>
        <v>6.7320471714343258E-2</v>
      </c>
    </row>
    <row r="15" spans="1:23" x14ac:dyDescent="0.3">
      <c r="A15">
        <v>12</v>
      </c>
      <c r="B15">
        <v>0.49099999999999999</v>
      </c>
      <c r="C15">
        <v>0.159</v>
      </c>
      <c r="D15">
        <v>0.35</v>
      </c>
      <c r="E15">
        <f t="shared" si="2"/>
        <v>1.1015735501650369E-2</v>
      </c>
      <c r="M15">
        <v>12</v>
      </c>
      <c r="N15" s="15">
        <v>8.0000000000000002E-3</v>
      </c>
      <c r="O15" s="16">
        <f t="shared" si="0"/>
        <v>3.7558685446009377E-2</v>
      </c>
      <c r="P15" s="16">
        <f t="shared" si="7"/>
        <v>8.7651367187500002E-3</v>
      </c>
      <c r="Q15" s="17">
        <f t="shared" si="3"/>
        <v>3.794431480019142E-2</v>
      </c>
      <c r="R15" s="16">
        <f t="shared" si="4"/>
        <v>2.9448937699594842E-2</v>
      </c>
      <c r="S15" s="22">
        <f>P_smrt_vyliecenie_hosp_O[[#This Row],[P_rec]]-B14</f>
        <v>4.4999999999999984E-2</v>
      </c>
      <c r="T15" s="16">
        <f t="shared" si="1"/>
        <v>5.7692307692307661E-2</v>
      </c>
      <c r="U15" s="16">
        <f t="shared" si="8"/>
        <v>4.78603515625E-2</v>
      </c>
      <c r="V15" s="16">
        <f t="shared" si="5"/>
        <v>6.1359425963424349E-2</v>
      </c>
      <c r="W15" s="17">
        <f t="shared" si="6"/>
        <v>6.6073279410671509E-2</v>
      </c>
    </row>
    <row r="16" spans="1:23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2"/>
        <v>3.8555074255776289E-3</v>
      </c>
      <c r="M16">
        <v>13</v>
      </c>
      <c r="N16" s="15">
        <v>6.0000000000000001E-3</v>
      </c>
      <c r="O16" s="16">
        <f t="shared" si="0"/>
        <v>2.8169014084507032E-2</v>
      </c>
      <c r="P16" s="16">
        <f t="shared" si="7"/>
        <v>8.3825683593750002E-3</v>
      </c>
      <c r="Q16" s="17">
        <f t="shared" si="3"/>
        <v>3.6288174716299158E-2</v>
      </c>
      <c r="R16" s="16">
        <f t="shared" si="4"/>
        <v>2.6401333353127693E-2</v>
      </c>
      <c r="S16" s="22">
        <f>P_smrt_vyliecenie_hosp_O[[#This Row],[P_rec]]-B15</f>
        <v>3.7000000000000033E-2</v>
      </c>
      <c r="T16" s="16">
        <f t="shared" si="1"/>
        <v>4.7435897435897469E-2</v>
      </c>
      <c r="U16" s="16">
        <f t="shared" si="8"/>
        <v>4.6430175781249992E-2</v>
      </c>
      <c r="V16" s="16">
        <f t="shared" si="5"/>
        <v>5.9525867243119188E-2</v>
      </c>
      <c r="W16" s="17">
        <f t="shared" si="6"/>
        <v>6.3271520301686104E-2</v>
      </c>
    </row>
    <row r="17" spans="1:23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2"/>
        <v>1.1913517945034873E-3</v>
      </c>
      <c r="M17">
        <v>14</v>
      </c>
      <c r="N17" s="15">
        <v>5.0000000000000001E-3</v>
      </c>
      <c r="O17" s="16">
        <f t="shared" si="0"/>
        <v>2.347417840375586E-2</v>
      </c>
      <c r="P17" s="16">
        <f t="shared" si="7"/>
        <v>7.1912841796875002E-3</v>
      </c>
      <c r="Q17" s="17">
        <f t="shared" si="3"/>
        <v>3.1131100345302167E-2</v>
      </c>
      <c r="R17" s="16">
        <f t="shared" si="4"/>
        <v>2.3669118727924859E-2</v>
      </c>
      <c r="S17" s="22">
        <v>3.3000000000000002E-2</v>
      </c>
      <c r="T17" s="16">
        <f t="shared" si="1"/>
        <v>4.2307692307692303E-2</v>
      </c>
      <c r="U17" s="16">
        <f t="shared" si="8"/>
        <v>4.1715087890625016E-2</v>
      </c>
      <c r="V17" s="16">
        <f t="shared" si="5"/>
        <v>5.3480882680938729E-2</v>
      </c>
      <c r="W17" s="17">
        <f t="shared" si="6"/>
        <v>5.9315967449638164E-2</v>
      </c>
    </row>
    <row r="18" spans="1:23" x14ac:dyDescent="0.3">
      <c r="A18">
        <v>15</v>
      </c>
      <c r="B18">
        <v>0.60099999999999998</v>
      </c>
      <c r="C18">
        <v>0.17</v>
      </c>
      <c r="D18">
        <v>0.23</v>
      </c>
      <c r="E18">
        <f t="shared" si="2"/>
        <v>3.3357850246097648E-4</v>
      </c>
      <c r="M18">
        <v>15</v>
      </c>
      <c r="N18" s="15">
        <v>5.0000000000000001E-3</v>
      </c>
      <c r="O18" s="16">
        <f t="shared" si="0"/>
        <v>2.347417840375586E-2</v>
      </c>
      <c r="P18" s="16">
        <f t="shared" si="7"/>
        <v>6.0956420898437506E-3</v>
      </c>
      <c r="Q18" s="17">
        <f t="shared" si="3"/>
        <v>2.638806099527824E-2</v>
      </c>
      <c r="R18" s="16">
        <f t="shared" si="4"/>
        <v>2.1219654850887861E-2</v>
      </c>
      <c r="S18" s="22">
        <v>0.04</v>
      </c>
      <c r="T18" s="16">
        <f t="shared" si="1"/>
        <v>5.1282051282051273E-2</v>
      </c>
      <c r="U18" s="16">
        <f t="shared" si="8"/>
        <v>3.7357543945312509E-2</v>
      </c>
      <c r="V18" s="16">
        <f t="shared" si="5"/>
        <v>4.789428779883452E-2</v>
      </c>
      <c r="W18" s="17">
        <f t="shared" si="6"/>
        <v>5.4589207866391487E-2</v>
      </c>
    </row>
    <row r="19" spans="1:23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2"/>
        <v>7.6723055566024591E-5</v>
      </c>
      <c r="M19">
        <v>16</v>
      </c>
      <c r="N19" s="15">
        <v>5.0000000000000001E-3</v>
      </c>
      <c r="O19" s="16">
        <f t="shared" si="0"/>
        <v>2.347417840375586E-2</v>
      </c>
      <c r="P19" s="16">
        <f t="shared" si="7"/>
        <v>5.5478210449218749E-3</v>
      </c>
      <c r="Q19" s="17">
        <f t="shared" si="3"/>
        <v>2.4016541320266274E-2</v>
      </c>
      <c r="R19" s="16">
        <f t="shared" si="4"/>
        <v>1.9023680482855281E-2</v>
      </c>
      <c r="S19" s="22">
        <f>P_smrt_vyliecenie_hosp_O[[#This Row],[P_rec]]-B18</f>
        <v>3.1000000000000028E-2</v>
      </c>
      <c r="T19" s="16">
        <f t="shared" si="1"/>
        <v>3.9743589743589769E-2</v>
      </c>
      <c r="U19" s="16">
        <f t="shared" si="8"/>
        <v>3.8678771972656255E-2</v>
      </c>
      <c r="V19" s="16">
        <f t="shared" si="5"/>
        <v>4.9588169909556841E-2</v>
      </c>
      <c r="W19" s="17">
        <f t="shared" si="6"/>
        <v>4.9429686878060909E-2</v>
      </c>
    </row>
    <row r="20" spans="1:23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2"/>
        <v>1.4960995835374795E-5</v>
      </c>
      <c r="M20">
        <v>17</v>
      </c>
      <c r="N20" s="15">
        <v>4.0000000000000001E-3</v>
      </c>
      <c r="O20" s="16">
        <f t="shared" si="0"/>
        <v>1.8779342723004688E-2</v>
      </c>
      <c r="P20" s="16">
        <f t="shared" si="7"/>
        <v>5.2739105224609371E-3</v>
      </c>
      <c r="Q20" s="17">
        <f t="shared" si="3"/>
        <v>2.2830781482760291E-2</v>
      </c>
      <c r="R20" s="16">
        <f t="shared" si="4"/>
        <v>1.705496256451252E-2</v>
      </c>
      <c r="S20" s="22">
        <f>P_smrt_vyliecenie_hosp_O[[#This Row],[P_rec]]-B19</f>
        <v>1.5000000000000013E-2</v>
      </c>
      <c r="T20" s="16">
        <f t="shared" si="1"/>
        <v>1.9230769230769246E-2</v>
      </c>
      <c r="U20" s="16">
        <f t="shared" si="8"/>
        <v>3.4839385986328145E-2</v>
      </c>
      <c r="V20" s="16">
        <f t="shared" si="5"/>
        <v>4.4665880112636613E-2</v>
      </c>
      <c r="W20" s="17">
        <f t="shared" si="6"/>
        <v>4.411859800837329E-2</v>
      </c>
    </row>
    <row r="21" spans="1:23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2"/>
        <v>2.6331352670259636E-6</v>
      </c>
      <c r="M21">
        <v>18</v>
      </c>
      <c r="N21" s="15">
        <v>4.0000000000000001E-3</v>
      </c>
      <c r="O21" s="16">
        <f t="shared" si="0"/>
        <v>1.8779342723004688E-2</v>
      </c>
      <c r="P21" s="16">
        <f t="shared" si="7"/>
        <v>4.6369552612304686E-3</v>
      </c>
      <c r="Q21" s="17">
        <f t="shared" si="3"/>
        <v>2.007339939948187E-2</v>
      </c>
      <c r="R21" s="16">
        <f t="shared" si="4"/>
        <v>1.5289982836868292E-2</v>
      </c>
      <c r="S21" s="22">
        <f>P_smrt_vyliecenie_hosp_O[[#This Row],[P_rec]]-B20</f>
        <v>1.8000000000000016E-2</v>
      </c>
      <c r="T21" s="16">
        <f t="shared" si="1"/>
        <v>2.3076923076923092E-2</v>
      </c>
      <c r="U21" s="16">
        <f t="shared" si="8"/>
        <v>2.4919692993164079E-2</v>
      </c>
      <c r="V21" s="16">
        <f t="shared" si="5"/>
        <v>3.1948324810120658E-2</v>
      </c>
      <c r="W21" s="17">
        <f t="shared" si="6"/>
        <v>3.8876237095582716E-2</v>
      </c>
    </row>
    <row r="22" spans="1:23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2"/>
        <v>4.1603537219010226E-7</v>
      </c>
      <c r="M22">
        <v>19</v>
      </c>
      <c r="N22" s="15">
        <v>3.0000000000000001E-3</v>
      </c>
      <c r="O22" s="16">
        <f t="shared" si="0"/>
        <v>1.4084507042253516E-2</v>
      </c>
      <c r="P22" s="16">
        <f t="shared" si="7"/>
        <v>4.3184776306152348E-3</v>
      </c>
      <c r="Q22" s="17">
        <f t="shared" si="3"/>
        <v>1.8694708357842663E-2</v>
      </c>
      <c r="R22" s="16">
        <f t="shared" si="4"/>
        <v>1.3707656892673396E-2</v>
      </c>
      <c r="S22" s="22">
        <f>P_smrt_vyliecenie_hosp_O[[#This Row],[P_rec]]-B21</f>
        <v>1.7000000000000015E-2</v>
      </c>
      <c r="T22" s="16">
        <f t="shared" si="1"/>
        <v>2.1794871794871811E-2</v>
      </c>
      <c r="U22" s="16">
        <f t="shared" si="8"/>
        <v>2.1459846496582047E-2</v>
      </c>
      <c r="V22" s="16">
        <f t="shared" si="5"/>
        <v>2.751262410962315E-2</v>
      </c>
      <c r="W22" s="17">
        <f t="shared" si="6"/>
        <v>3.3864699904820335E-2</v>
      </c>
    </row>
    <row r="23" spans="1:23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2"/>
        <v>5.5332704501283602E-8</v>
      </c>
      <c r="M23">
        <v>20</v>
      </c>
      <c r="N23" s="15">
        <v>3.0000000000000001E-3</v>
      </c>
      <c r="O23" s="16">
        <f t="shared" si="0"/>
        <v>1.4084507042253516E-2</v>
      </c>
      <c r="P23" s="16">
        <f t="shared" si="7"/>
        <v>3.6592388153076174E-3</v>
      </c>
      <c r="Q23" s="17">
        <f t="shared" si="3"/>
        <v>1.5840860672497625E-2</v>
      </c>
      <c r="R23" s="16">
        <f t="shared" si="4"/>
        <v>1.2289082302576502E-2</v>
      </c>
      <c r="S23" s="22">
        <f>P_smrt_vyliecenie_hosp_O[[#This Row],[P_rec]]-B22</f>
        <v>1.5999999999999903E-2</v>
      </c>
      <c r="T23" s="16">
        <f t="shared" si="1"/>
        <v>2.0512820512820384E-2</v>
      </c>
      <c r="U23" s="16">
        <f t="shared" si="8"/>
        <v>1.922992324829103E-2</v>
      </c>
      <c r="V23" s="16">
        <f t="shared" si="5"/>
        <v>2.4653748109120903E-2</v>
      </c>
      <c r="W23" s="17">
        <f t="shared" si="6"/>
        <v>2.9194348891569848E-2</v>
      </c>
    </row>
    <row r="24" spans="1:23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2"/>
        <v>6.4185937221488981E-9</v>
      </c>
      <c r="M24">
        <v>21</v>
      </c>
      <c r="N24" s="15">
        <v>2E-3</v>
      </c>
      <c r="O24" s="16">
        <f t="shared" si="0"/>
        <v>9.3896713615023442E-3</v>
      </c>
      <c r="P24" s="16">
        <f t="shared" si="7"/>
        <v>3.329619407653809E-3</v>
      </c>
      <c r="Q24" s="17">
        <f t="shared" si="3"/>
        <v>1.4413936829825107E-2</v>
      </c>
      <c r="R24" s="16">
        <f t="shared" si="4"/>
        <v>1.1017312807137629E-2</v>
      </c>
      <c r="S24" s="22">
        <f>P_smrt_vyliecenie_hosp_O[[#This Row],[P_rec]]-B23</f>
        <v>8.0000000000000071E-3</v>
      </c>
      <c r="T24" s="16">
        <f t="shared" si="1"/>
        <v>1.0256410256410263E-2</v>
      </c>
      <c r="U24" s="16">
        <f t="shared" si="8"/>
        <v>1.7614961624145466E-2</v>
      </c>
      <c r="V24" s="16">
        <f t="shared" si="5"/>
        <v>2.258328445861622E-2</v>
      </c>
      <c r="W24" s="17">
        <f t="shared" si="6"/>
        <v>2.4932097543893247E-2</v>
      </c>
    </row>
    <row r="25" spans="1:23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2"/>
        <v>6.7395234082563432E-10</v>
      </c>
      <c r="M25">
        <v>22</v>
      </c>
      <c r="N25" s="15">
        <v>2E-3</v>
      </c>
      <c r="O25" s="16">
        <f t="shared" si="0"/>
        <v>9.3896713615023442E-3</v>
      </c>
      <c r="P25" s="16">
        <f t="shared" si="7"/>
        <v>2.6648097038269045E-3</v>
      </c>
      <c r="Q25" s="17">
        <f t="shared" si="3"/>
        <v>1.1535972743963415E-2</v>
      </c>
      <c r="R25" s="16">
        <f t="shared" si="4"/>
        <v>9.8771558772025002E-3</v>
      </c>
      <c r="S25" s="22">
        <f>P_smrt_vyliecenie_hosp_O[[#This Row],[P_rec]]-B24</f>
        <v>7.0000000000000062E-3</v>
      </c>
      <c r="T25" s="16">
        <f t="shared" si="1"/>
        <v>8.9743589743589806E-3</v>
      </c>
      <c r="U25" s="16">
        <f t="shared" si="8"/>
        <v>1.2807480812072737E-2</v>
      </c>
      <c r="V25" s="16">
        <f t="shared" si="5"/>
        <v>1.6419847431336031E-2</v>
      </c>
      <c r="W25" s="17">
        <f t="shared" si="6"/>
        <v>2.111014336193091E-2</v>
      </c>
    </row>
    <row r="26" spans="1:23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2"/>
        <v>6.604732940091217E-11</v>
      </c>
      <c r="M26">
        <v>23</v>
      </c>
      <c r="N26" s="15">
        <v>1E-3</v>
      </c>
      <c r="O26" s="16">
        <f t="shared" si="0"/>
        <v>4.6948356807511721E-3</v>
      </c>
      <c r="P26" s="16">
        <f t="shared" si="7"/>
        <v>2.3324048519134523E-3</v>
      </c>
      <c r="Q26" s="17">
        <f t="shared" si="3"/>
        <v>1.0096990701032571E-2</v>
      </c>
      <c r="R26" s="16">
        <f t="shared" si="4"/>
        <v>8.8549912242985706E-3</v>
      </c>
      <c r="S26" s="22">
        <f>P_smrt_vyliecenie_hosp_O[[#This Row],[P_rec]]-B25</f>
        <v>1.3000000000000012E-2</v>
      </c>
      <c r="T26" s="16">
        <f t="shared" si="1"/>
        <v>1.6666666666666677E-2</v>
      </c>
      <c r="U26" s="16">
        <f t="shared" si="8"/>
        <v>9.9037404060363723E-3</v>
      </c>
      <c r="V26" s="16">
        <f t="shared" si="5"/>
        <v>1.2697103267442446E-2</v>
      </c>
      <c r="W26" s="17">
        <f t="shared" si="6"/>
        <v>1.7734268830336172E-2</v>
      </c>
    </row>
    <row r="27" spans="1:23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2"/>
        <v>5.6140229990775349E-12</v>
      </c>
      <c r="M27">
        <v>24</v>
      </c>
      <c r="N27" s="15">
        <v>1E-3</v>
      </c>
      <c r="O27" s="16">
        <f t="shared" si="0"/>
        <v>4.6948356807511721E-3</v>
      </c>
      <c r="P27" s="16">
        <f t="shared" si="7"/>
        <v>1.6662024259567261E-3</v>
      </c>
      <c r="Q27" s="17">
        <f t="shared" si="3"/>
        <v>7.2129975150417164E-3</v>
      </c>
      <c r="R27" s="16">
        <f t="shared" si="4"/>
        <v>7.9386080929820212E-3</v>
      </c>
      <c r="S27" s="22">
        <v>8.9999999999999993E-3</v>
      </c>
      <c r="T27" s="16">
        <f t="shared" si="1"/>
        <v>1.1538461538461536E-2</v>
      </c>
      <c r="U27" s="16">
        <f t="shared" si="8"/>
        <v>1.1451870203018192E-2</v>
      </c>
      <c r="V27" s="16">
        <f t="shared" si="5"/>
        <v>1.4681885087016594E-2</v>
      </c>
      <c r="W27" s="17">
        <f t="shared" si="6"/>
        <v>1.4791207910647239E-2</v>
      </c>
    </row>
    <row r="28" spans="1:23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2"/>
        <v>4.4350781692712526E-13</v>
      </c>
      <c r="M28">
        <v>25</v>
      </c>
      <c r="N28" s="15">
        <v>0</v>
      </c>
      <c r="O28" s="16">
        <f t="shared" si="0"/>
        <v>0</v>
      </c>
      <c r="P28" s="16">
        <f t="shared" si="7"/>
        <v>1.333101212978363E-3</v>
      </c>
      <c r="Q28" s="17">
        <f t="shared" si="3"/>
        <v>5.7710009220462884E-3</v>
      </c>
      <c r="R28" s="16">
        <f t="shared" si="4"/>
        <v>7.1170593914339766E-3</v>
      </c>
      <c r="S28" s="22">
        <v>8.0000000000000002E-3</v>
      </c>
      <c r="T28" s="16">
        <f t="shared" si="1"/>
        <v>1.0256410256410255E-2</v>
      </c>
      <c r="U28" s="16">
        <f t="shared" si="8"/>
        <v>1.0225935101509095E-2</v>
      </c>
      <c r="V28" s="16">
        <f t="shared" si="5"/>
        <v>1.3110173395789701E-2</v>
      </c>
      <c r="W28" s="17">
        <f t="shared" si="6"/>
        <v>1.225484918818521E-2</v>
      </c>
    </row>
    <row r="29" spans="1:23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2"/>
        <v>3.1489055001825891E-14</v>
      </c>
      <c r="M29">
        <v>26</v>
      </c>
      <c r="N29" s="15">
        <v>0</v>
      </c>
      <c r="O29" s="16">
        <f t="shared" si="0"/>
        <v>0</v>
      </c>
      <c r="P29" s="16">
        <f t="shared" si="7"/>
        <v>6.6655060648918149E-4</v>
      </c>
      <c r="Q29" s="17">
        <f t="shared" si="3"/>
        <v>2.8855004610231442E-3</v>
      </c>
      <c r="R29" s="16">
        <f t="shared" si="4"/>
        <v>6.3805309177533322E-3</v>
      </c>
      <c r="S29" s="22">
        <f>P_smrt_vyliecenie_hosp_O[[#This Row],[P_rec]]-B28</f>
        <v>7.0000000000000062E-3</v>
      </c>
      <c r="T29" s="16">
        <f t="shared" si="1"/>
        <v>8.9743589743589806E-3</v>
      </c>
      <c r="U29" s="16">
        <f t="shared" si="8"/>
        <v>9.1129675507545475E-3</v>
      </c>
      <c r="V29" s="16">
        <f t="shared" si="5"/>
        <v>1.1683291899922767E-2</v>
      </c>
      <c r="W29" s="17">
        <f t="shared" si="6"/>
        <v>1.0091231504551825E-2</v>
      </c>
    </row>
    <row r="30" spans="1:23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2"/>
        <v>1.9523214101132054E-15</v>
      </c>
      <c r="M30">
        <v>27</v>
      </c>
      <c r="N30" s="15">
        <v>0</v>
      </c>
      <c r="O30" s="16">
        <f t="shared" si="0"/>
        <v>0</v>
      </c>
      <c r="P30" s="16">
        <f t="shared" si="7"/>
        <v>3.3327530324459074E-4</v>
      </c>
      <c r="Q30" s="17">
        <f t="shared" si="3"/>
        <v>1.4427502305115721E-3</v>
      </c>
      <c r="R30" s="16">
        <f t="shared" si="4"/>
        <v>5.7202241197264357E-3</v>
      </c>
      <c r="S30" s="22">
        <v>5.0000000000000001E-3</v>
      </c>
      <c r="T30" s="16">
        <f t="shared" si="1"/>
        <v>6.4102564102564092E-3</v>
      </c>
      <c r="U30" s="16">
        <f t="shared" si="8"/>
        <v>8.056483775377276E-3</v>
      </c>
      <c r="V30" s="16">
        <f t="shared" si="5"/>
        <v>1.0328825501735812E-2</v>
      </c>
      <c r="W30" s="17">
        <f t="shared" si="6"/>
        <v>8.262402536570566E-3</v>
      </c>
    </row>
    <row r="31" spans="1:23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2"/>
        <v>1.0542535614611309E-16</v>
      </c>
      <c r="M31">
        <v>28</v>
      </c>
      <c r="N31" s="15">
        <v>0</v>
      </c>
      <c r="O31" s="16">
        <f t="shared" si="0"/>
        <v>0</v>
      </c>
      <c r="P31" s="16">
        <f t="shared" si="7"/>
        <v>1.6663765162229537E-4</v>
      </c>
      <c r="Q31" s="17">
        <f t="shared" si="3"/>
        <v>7.2137511525578605E-4</v>
      </c>
      <c r="R31" s="16">
        <f t="shared" si="4"/>
        <v>5.1282509875246454E-3</v>
      </c>
      <c r="S31" s="22">
        <f>P_smrt_vyliecenie_hosp_O[[#This Row],[P_rec]]-B30</f>
        <v>3.0000000000000027E-3</v>
      </c>
      <c r="T31" s="16">
        <f t="shared" si="1"/>
        <v>3.846153846153849E-3</v>
      </c>
      <c r="U31" s="16">
        <f t="shared" si="8"/>
        <v>6.5282418876886385E-3</v>
      </c>
      <c r="V31" s="16">
        <f t="shared" si="5"/>
        <v>8.3695410021353538E-3</v>
      </c>
      <c r="W31" s="17">
        <f t="shared" si="6"/>
        <v>6.7292735344292118E-3</v>
      </c>
    </row>
    <row r="32" spans="1:23" x14ac:dyDescent="0.3">
      <c r="A32">
        <v>29</v>
      </c>
      <c r="B32">
        <v>0.754</v>
      </c>
      <c r="C32">
        <v>0.20599999999999999</v>
      </c>
      <c r="D32">
        <v>0.04</v>
      </c>
      <c r="E32">
        <f t="shared" si="2"/>
        <v>5.1658424511595413E-18</v>
      </c>
      <c r="M32">
        <v>29</v>
      </c>
      <c r="N32" s="15">
        <v>0</v>
      </c>
      <c r="O32" s="16">
        <f t="shared" si="0"/>
        <v>0</v>
      </c>
      <c r="P32" s="16">
        <f t="shared" si="7"/>
        <v>8.3318825811147686E-5</v>
      </c>
      <c r="Q32" s="17">
        <f t="shared" si="3"/>
        <v>3.6068755762789302E-4</v>
      </c>
      <c r="R32" s="16">
        <f t="shared" si="4"/>
        <v>4.5975398237202694E-3</v>
      </c>
      <c r="S32" s="22">
        <f>P_smrt_vyliecenie_hosp_O[[#This Row],[P_rec]]-B31</f>
        <v>6.0000000000000053E-3</v>
      </c>
      <c r="T32" s="16">
        <f t="shared" si="1"/>
        <v>7.6923076923076979E-3</v>
      </c>
      <c r="U32" s="16">
        <f t="shared" si="8"/>
        <v>4.7641209438443206E-3</v>
      </c>
      <c r="V32" s="16">
        <f t="shared" si="5"/>
        <v>6.1078474518281474E-3</v>
      </c>
      <c r="W32" s="17">
        <f t="shared" si="6"/>
        <v>5.4536299887266949E-3</v>
      </c>
    </row>
    <row r="33" spans="1:23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2"/>
        <v>2.0663369804638166E-19</v>
      </c>
      <c r="M33">
        <v>30</v>
      </c>
      <c r="N33" s="15">
        <f>(P_smrt_vyliecenie_hosp_O[[#This Row],[P_death]]-C32)</f>
        <v>0</v>
      </c>
      <c r="O33" s="16">
        <f t="shared" si="0"/>
        <v>0</v>
      </c>
      <c r="P33" s="16">
        <f t="shared" si="7"/>
        <v>4.1659412905573843E-5</v>
      </c>
      <c r="Q33" s="17">
        <f t="shared" si="3"/>
        <v>1.8034377881394651E-4</v>
      </c>
      <c r="R33" s="16">
        <f t="shared" si="4"/>
        <v>4.1217507649516597E-3</v>
      </c>
      <c r="S33" s="22">
        <v>5.0000000000000001E-3</v>
      </c>
      <c r="T33" s="16">
        <f t="shared" si="1"/>
        <v>6.4102564102564092E-3</v>
      </c>
      <c r="U33" s="16">
        <f t="shared" si="8"/>
        <v>5.3820604719221629E-3</v>
      </c>
      <c r="V33" s="16">
        <f t="shared" si="5"/>
        <v>6.9000776274350138E-3</v>
      </c>
      <c r="W33" s="17">
        <f t="shared" si="6"/>
        <v>4.3994609043124487E-3</v>
      </c>
    </row>
    <row r="34" spans="1:23" x14ac:dyDescent="0.3">
      <c r="A34">
        <v>31</v>
      </c>
      <c r="B34">
        <v>0.76</v>
      </c>
      <c r="C34">
        <v>0.20899999999999999</v>
      </c>
      <c r="D34">
        <v>0.03</v>
      </c>
      <c r="E34">
        <f t="shared" si="2"/>
        <v>7.6454468277161206E-21</v>
      </c>
      <c r="M34">
        <v>31</v>
      </c>
      <c r="N34" s="15">
        <v>0</v>
      </c>
      <c r="O34" s="16">
        <f t="shared" si="0"/>
        <v>0</v>
      </c>
      <c r="P34" s="16">
        <f t="shared" si="7"/>
        <v>2.0829706452786921E-5</v>
      </c>
      <c r="Q34" s="17">
        <f t="shared" si="3"/>
        <v>9.0171889406973256E-5</v>
      </c>
      <c r="R34" s="16">
        <f t="shared" si="4"/>
        <v>3.6952000460612516E-3</v>
      </c>
      <c r="S34" s="22">
        <f>P_smrt_vyliecenie_hosp_O[[#This Row],[P_rec]]-B33</f>
        <v>3.0000000000000027E-3</v>
      </c>
      <c r="T34" s="16">
        <f t="shared" si="1"/>
        <v>3.846153846153849E-3</v>
      </c>
      <c r="U34" s="16">
        <f t="shared" si="8"/>
        <v>5.1910302359610815E-3</v>
      </c>
      <c r="V34" s="16">
        <f t="shared" si="5"/>
        <v>6.6551670649849541E-3</v>
      </c>
      <c r="W34" s="17">
        <f t="shared" si="6"/>
        <v>3.5337580805223966E-3</v>
      </c>
    </row>
    <row r="35" spans="1:23" x14ac:dyDescent="0.3">
      <c r="A35">
        <v>32</v>
      </c>
      <c r="B35">
        <v>0.76</v>
      </c>
      <c r="C35">
        <v>0.20899999999999999</v>
      </c>
      <c r="D35">
        <v>0.03</v>
      </c>
      <c r="E35">
        <f t="shared" si="2"/>
        <v>2.2936340483148361E-22</v>
      </c>
      <c r="M35">
        <v>32</v>
      </c>
      <c r="N35" s="15">
        <f>(P_smrt_vyliecenie_hosp_O[[#This Row],[P_death]]-C34)</f>
        <v>0</v>
      </c>
      <c r="O35" s="16">
        <f t="shared" si="0"/>
        <v>0</v>
      </c>
      <c r="P35" s="16">
        <f t="shared" si="7"/>
        <v>1.0414853226393461E-5</v>
      </c>
      <c r="Q35" s="17">
        <f t="shared" si="3"/>
        <v>4.5085944703486628E-5</v>
      </c>
      <c r="R35" s="16">
        <f t="shared" si="4"/>
        <v>3.3127921019676762E-3</v>
      </c>
      <c r="S35" s="22">
        <v>3.0000000000000001E-3</v>
      </c>
      <c r="T35" s="16">
        <f t="shared" si="1"/>
        <v>3.8461538461538455E-3</v>
      </c>
      <c r="U35" s="16">
        <f t="shared" si="8"/>
        <v>4.0955151179805421E-3</v>
      </c>
      <c r="V35" s="16">
        <f t="shared" si="5"/>
        <v>5.2506604832529471E-3</v>
      </c>
      <c r="W35" s="17">
        <f t="shared" si="6"/>
        <v>2.826918098662091E-3</v>
      </c>
    </row>
    <row r="36" spans="1:23" x14ac:dyDescent="0.3">
      <c r="A36">
        <v>33</v>
      </c>
      <c r="B36">
        <v>0.76</v>
      </c>
      <c r="C36">
        <v>0.20899999999999999</v>
      </c>
      <c r="D36">
        <v>0.03</v>
      </c>
      <c r="E36">
        <f t="shared" si="2"/>
        <v>6.8809021449445078E-24</v>
      </c>
      <c r="M36">
        <v>33</v>
      </c>
      <c r="N36" s="15">
        <f>(P_smrt_vyliecenie_hosp_O[[#This Row],[P_death]]-C35)</f>
        <v>0</v>
      </c>
      <c r="O36" s="16">
        <f t="shared" si="0"/>
        <v>0</v>
      </c>
      <c r="P36" s="16">
        <f t="shared" si="7"/>
        <v>5.2074266131967304E-6</v>
      </c>
      <c r="Q36" s="17">
        <f t="shared" si="3"/>
        <v>2.2542972351743314E-5</v>
      </c>
      <c r="R36" s="16">
        <f t="shared" si="4"/>
        <v>2.9699586961624263E-3</v>
      </c>
      <c r="S36" s="22">
        <v>4.0000000000000001E-3</v>
      </c>
      <c r="T36" s="16">
        <f t="shared" si="1"/>
        <v>5.1282051282051273E-3</v>
      </c>
      <c r="U36" s="16">
        <f t="shared" si="8"/>
        <v>3.5477575589902711E-3</v>
      </c>
      <c r="V36" s="16">
        <f t="shared" si="5"/>
        <v>4.5484071923869423E-3</v>
      </c>
      <c r="W36" s="17">
        <f t="shared" si="6"/>
        <v>2.2528581777013453E-3</v>
      </c>
    </row>
    <row r="37" spans="1:23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2"/>
        <v>2.0642706434833523E-25</v>
      </c>
      <c r="M37">
        <v>34</v>
      </c>
      <c r="N37" s="15">
        <v>0</v>
      </c>
      <c r="O37" s="16">
        <f t="shared" si="0"/>
        <v>0</v>
      </c>
      <c r="P37" s="16">
        <f t="shared" si="7"/>
        <v>2.6037133065983652E-6</v>
      </c>
      <c r="Q37" s="17">
        <f t="shared" si="3"/>
        <v>1.1271486175871657E-5</v>
      </c>
      <c r="R37" s="16">
        <f t="shared" si="4"/>
        <v>2.6626043486615634E-3</v>
      </c>
      <c r="S37" s="22">
        <v>2E-3</v>
      </c>
      <c r="T37" s="16">
        <f t="shared" si="1"/>
        <v>2.5641025641025637E-3</v>
      </c>
      <c r="U37" s="16">
        <f t="shared" si="8"/>
        <v>3.7738787794951356E-3</v>
      </c>
      <c r="V37" s="16">
        <f t="shared" si="5"/>
        <v>4.8383061972074289E-3</v>
      </c>
      <c r="W37" s="17">
        <f t="shared" si="6"/>
        <v>1.7889355824576882E-3</v>
      </c>
    </row>
    <row r="38" spans="1:23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2"/>
        <v>5.5735307374050514E-27</v>
      </c>
      <c r="M38">
        <v>35</v>
      </c>
      <c r="N38" s="15">
        <f>(P_smrt_vyliecenie_hosp_O[[#This Row],[P_death]]-C37)</f>
        <v>0</v>
      </c>
      <c r="O38" s="16">
        <f t="shared" si="0"/>
        <v>0</v>
      </c>
      <c r="P38" s="16">
        <f t="shared" si="7"/>
        <v>1.3018566532991826E-6</v>
      </c>
      <c r="Q38" s="17">
        <f t="shared" si="3"/>
        <v>5.6357430879358285E-6</v>
      </c>
      <c r="R38" s="16">
        <f t="shared" si="4"/>
        <v>2.387057411495985E-3</v>
      </c>
      <c r="S38" s="22">
        <v>1E-3</v>
      </c>
      <c r="T38" s="16">
        <f t="shared" si="1"/>
        <v>1.2820512820512818E-3</v>
      </c>
      <c r="U38" s="16">
        <f t="shared" si="8"/>
        <v>2.8869393897475678E-3</v>
      </c>
      <c r="V38" s="16">
        <f t="shared" si="5"/>
        <v>3.7012043991106933E-3</v>
      </c>
      <c r="W38" s="17">
        <f t="shared" si="6"/>
        <v>1.4157405381865714E-3</v>
      </c>
    </row>
    <row r="39" spans="1:23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2"/>
        <v>1.2819120696031618E-28</v>
      </c>
      <c r="M39">
        <v>36</v>
      </c>
      <c r="N39" s="15">
        <v>0</v>
      </c>
      <c r="O39" s="16">
        <f t="shared" si="0"/>
        <v>0</v>
      </c>
      <c r="P39" s="16">
        <f t="shared" si="7"/>
        <v>6.509283266495913E-7</v>
      </c>
      <c r="Q39" s="17">
        <f t="shared" si="3"/>
        <v>2.8178715439679142E-6</v>
      </c>
      <c r="R39" s="16">
        <f t="shared" si="4"/>
        <v>2.1400262072891908E-3</v>
      </c>
      <c r="S39" s="22">
        <v>1E-3</v>
      </c>
      <c r="T39" s="16">
        <f t="shared" si="1"/>
        <v>1.2820512820512818E-3</v>
      </c>
      <c r="U39" s="16">
        <f t="shared" si="8"/>
        <v>1.9434696948737839E-3</v>
      </c>
      <c r="V39" s="16">
        <f t="shared" si="5"/>
        <v>2.4916278498088363E-3</v>
      </c>
      <c r="W39" s="17">
        <f t="shared" si="6"/>
        <v>1.1168154561835243E-3</v>
      </c>
    </row>
    <row r="40" spans="1:23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2"/>
        <v>1.9228681044047425E-30</v>
      </c>
      <c r="M40">
        <v>37</v>
      </c>
      <c r="N40" s="15">
        <f>(P_smrt_vyliecenie_hosp_O[[#This Row],[P_death]]-C39)</f>
        <v>0</v>
      </c>
      <c r="O40" s="16">
        <f t="shared" si="0"/>
        <v>0</v>
      </c>
      <c r="P40" s="16">
        <f t="shared" si="7"/>
        <v>3.2546416332479565E-7</v>
      </c>
      <c r="Q40" s="17">
        <f t="shared" si="3"/>
        <v>1.4089357719839571E-6</v>
      </c>
      <c r="R40" s="16">
        <f t="shared" si="4"/>
        <v>1.9185597069550258E-3</v>
      </c>
      <c r="S40" s="22">
        <v>0</v>
      </c>
      <c r="T40" s="16">
        <f t="shared" si="1"/>
        <v>0</v>
      </c>
      <c r="U40" s="16">
        <f t="shared" si="8"/>
        <v>1.4717348474368921E-3</v>
      </c>
      <c r="V40" s="16">
        <f t="shared" si="5"/>
        <v>1.8868395751579076E-3</v>
      </c>
      <c r="W40" s="17">
        <f t="shared" si="6"/>
        <v>8.7833898254502103E-4</v>
      </c>
    </row>
    <row r="41" spans="1:23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2"/>
        <v>1.5382944835237941E-32</v>
      </c>
      <c r="M41">
        <v>38</v>
      </c>
      <c r="N41" s="15">
        <f>(P_smrt_vyliecenie_hosp_O[[#This Row],[P_death]]-C40)</f>
        <v>0</v>
      </c>
      <c r="O41" s="16">
        <f t="shared" si="0"/>
        <v>0</v>
      </c>
      <c r="P41" s="16">
        <f t="shared" si="7"/>
        <v>1.6273208166239782E-7</v>
      </c>
      <c r="Q41" s="17">
        <f t="shared" si="3"/>
        <v>7.0446788599197856E-7</v>
      </c>
      <c r="R41" s="16">
        <f t="shared" si="4"/>
        <v>1.7200122767720566E-3</v>
      </c>
      <c r="S41" s="22">
        <v>0</v>
      </c>
      <c r="T41" s="16">
        <f t="shared" si="1"/>
        <v>0</v>
      </c>
      <c r="U41" s="16">
        <f t="shared" si="8"/>
        <v>7.3586742371844604E-4</v>
      </c>
      <c r="V41" s="16">
        <f t="shared" si="5"/>
        <v>9.434197875789538E-4</v>
      </c>
      <c r="W41" s="17">
        <f t="shared" si="6"/>
        <v>6.8880187801871183E-4</v>
      </c>
    </row>
    <row r="42" spans="1:23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2"/>
        <v>1.2306355868190353E-34</v>
      </c>
      <c r="M42">
        <v>39</v>
      </c>
      <c r="N42" s="15">
        <f>(P_smrt_vyliecenie_hosp_O[[#This Row],[P_death]]-C41)</f>
        <v>0</v>
      </c>
      <c r="O42" s="16">
        <f t="shared" si="0"/>
        <v>0</v>
      </c>
      <c r="P42" s="16">
        <f t="shared" si="7"/>
        <v>8.1366040831198912E-8</v>
      </c>
      <c r="Q42" s="17">
        <f t="shared" si="3"/>
        <v>3.5223394299598928E-7</v>
      </c>
      <c r="R42" s="16">
        <f t="shared" si="4"/>
        <v>1.5420120737039682E-3</v>
      </c>
      <c r="S42" s="22">
        <f>P_smrt_vyliecenie_hosp_O[[#This Row],[P_rec]]-B41</f>
        <v>0</v>
      </c>
      <c r="T42" s="16">
        <f t="shared" si="1"/>
        <v>0</v>
      </c>
      <c r="U42" s="16">
        <f t="shared" si="8"/>
        <v>3.6793371185922302E-4</v>
      </c>
      <c r="V42" s="16">
        <f t="shared" si="5"/>
        <v>4.717098937894769E-4</v>
      </c>
      <c r="W42" s="17">
        <f t="shared" si="6"/>
        <v>5.3869275996572361E-4</v>
      </c>
    </row>
    <row r="43" spans="1:23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2"/>
        <v>9.8450846945522823E-37</v>
      </c>
      <c r="M43">
        <v>40</v>
      </c>
      <c r="N43" s="15">
        <f>(P_smrt_vyliecenie_hosp_O[[#This Row],[P_death]]-C42)</f>
        <v>0</v>
      </c>
      <c r="O43" s="16">
        <f t="shared" si="0"/>
        <v>0</v>
      </c>
      <c r="P43" s="16">
        <f t="shared" si="7"/>
        <v>4.0683020415599456E-8</v>
      </c>
      <c r="Q43" s="17">
        <f t="shared" si="3"/>
        <v>1.7611697149799464E-7</v>
      </c>
      <c r="R43" s="16">
        <f t="shared" si="4"/>
        <v>1.3824327114171689E-3</v>
      </c>
      <c r="S43" s="22">
        <f>P_smrt_vyliecenie_hosp_O[[#This Row],[P_rec]]-B42</f>
        <v>0</v>
      </c>
      <c r="T43" s="16">
        <f t="shared" si="1"/>
        <v>0</v>
      </c>
      <c r="U43" s="16">
        <f t="shared" si="8"/>
        <v>1.8396685592961151E-4</v>
      </c>
      <c r="V43" s="16">
        <f t="shared" si="5"/>
        <v>2.3585494689473845E-4</v>
      </c>
      <c r="W43" s="17">
        <f t="shared" si="6"/>
        <v>4.2020493764240749E-4</v>
      </c>
    </row>
    <row r="44" spans="1:23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2"/>
        <v>7.8760677556418263E-39</v>
      </c>
      <c r="M44">
        <v>41</v>
      </c>
      <c r="N44" s="15">
        <f>(P_smrt_vyliecenie_hosp_O[[#This Row],[P_death]]-C43)</f>
        <v>0</v>
      </c>
      <c r="O44" s="16">
        <f t="shared" si="0"/>
        <v>0</v>
      </c>
      <c r="P44" s="16">
        <f t="shared" si="7"/>
        <v>2.0341510207799728E-8</v>
      </c>
      <c r="Q44" s="17">
        <f t="shared" si="3"/>
        <v>8.805848574899732E-8</v>
      </c>
      <c r="R44" s="16">
        <f t="shared" si="4"/>
        <v>1.2393678585185435E-3</v>
      </c>
      <c r="S44" s="22">
        <v>0</v>
      </c>
      <c r="T44" s="16">
        <f t="shared" si="1"/>
        <v>0</v>
      </c>
      <c r="U44" s="16">
        <f t="shared" si="8"/>
        <v>9.1983427964805755E-5</v>
      </c>
      <c r="V44" s="16">
        <f t="shared" si="5"/>
        <v>1.1792747344736922E-4</v>
      </c>
      <c r="W44" s="17">
        <f t="shared" si="6"/>
        <v>3.2697057597093229E-4</v>
      </c>
    </row>
    <row r="45" spans="1:23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2"/>
        <v>3.1504271022567308E-41</v>
      </c>
      <c r="M45">
        <v>42</v>
      </c>
      <c r="N45" s="15">
        <f>(P_smrt_vyliecenie_hosp_O[[#This Row],[P_death]]-C44)</f>
        <v>0</v>
      </c>
      <c r="O45" s="16">
        <f t="shared" si="0"/>
        <v>0</v>
      </c>
      <c r="P45" s="16">
        <f t="shared" si="7"/>
        <v>1.0170755103899864E-8</v>
      </c>
      <c r="Q45" s="17">
        <f t="shared" si="3"/>
        <v>4.402924287449866E-8</v>
      </c>
      <c r="R45" s="16">
        <f t="shared" si="4"/>
        <v>1.1111084655644555E-3</v>
      </c>
      <c r="S45" s="22">
        <f>P_smrt_vyliecenie_hosp_O[[#This Row],[P_rec]]-B44</f>
        <v>0</v>
      </c>
      <c r="T45" s="16">
        <f t="shared" si="1"/>
        <v>0</v>
      </c>
      <c r="U45" s="16">
        <f t="shared" si="8"/>
        <v>4.5991713982402877E-5</v>
      </c>
      <c r="V45" s="16">
        <f t="shared" si="5"/>
        <v>5.8963736723684612E-5</v>
      </c>
      <c r="W45" s="17">
        <f t="shared" si="6"/>
        <v>2.5382487389747385E-4</v>
      </c>
    </row>
    <row r="46" spans="1:23" x14ac:dyDescent="0.3">
      <c r="A46">
        <v>43</v>
      </c>
      <c r="B46">
        <v>0.77900000000000003</v>
      </c>
      <c r="C46">
        <v>0.217</v>
      </c>
      <c r="D46">
        <v>4.0000000000000001E-3</v>
      </c>
      <c r="E46">
        <f t="shared" si="2"/>
        <v>1.2601708409026923E-43</v>
      </c>
      <c r="M46">
        <v>43</v>
      </c>
      <c r="N46" s="15">
        <f>(P_smrt_vyliecenie_hosp_O[[#This Row],[P_death]]-C45)</f>
        <v>0</v>
      </c>
      <c r="O46" s="16">
        <f t="shared" si="0"/>
        <v>0</v>
      </c>
      <c r="P46" s="16">
        <f t="shared" si="7"/>
        <v>5.085377551949932E-9</v>
      </c>
      <c r="Q46" s="17">
        <f t="shared" si="3"/>
        <v>2.201462143724933E-8</v>
      </c>
      <c r="R46" s="16">
        <f t="shared" si="4"/>
        <v>9.961223487953857E-4</v>
      </c>
      <c r="S46" s="22">
        <f>P_smrt_vyliecenie_hosp_O[[#This Row],[P_rec]]-B45</f>
        <v>0</v>
      </c>
      <c r="T46" s="16">
        <f t="shared" si="1"/>
        <v>0</v>
      </c>
      <c r="U46" s="16">
        <f t="shared" si="8"/>
        <v>2.2995856991201439E-5</v>
      </c>
      <c r="V46" s="16">
        <f t="shared" si="5"/>
        <v>2.9481868361842306E-5</v>
      </c>
      <c r="W46" s="17">
        <f t="shared" si="6"/>
        <v>1.9660052223226392E-4</v>
      </c>
    </row>
    <row r="47" spans="1:23" x14ac:dyDescent="0.3">
      <c r="A47">
        <v>44</v>
      </c>
      <c r="B47">
        <v>0.77900000000000003</v>
      </c>
      <c r="C47">
        <v>0.217</v>
      </c>
      <c r="D47">
        <v>4.0000000000000001E-3</v>
      </c>
      <c r="E47">
        <f t="shared" si="2"/>
        <v>5.0406833636107695E-46</v>
      </c>
      <c r="M47">
        <v>44</v>
      </c>
      <c r="N47" s="15">
        <f>(P_smrt_vyliecenie_hosp_O[[#This Row],[P_death]]-C46)</f>
        <v>0</v>
      </c>
      <c r="O47" s="16">
        <f t="shared" si="0"/>
        <v>0</v>
      </c>
      <c r="P47" s="16">
        <f t="shared" si="7"/>
        <v>2.542688775974966E-9</v>
      </c>
      <c r="Q47" s="17">
        <f t="shared" si="3"/>
        <v>1.1007310718624665E-8</v>
      </c>
      <c r="R47" s="16">
        <f t="shared" si="4"/>
        <v>8.9303588670396484E-4</v>
      </c>
      <c r="S47" s="22">
        <f>P_smrt_vyliecenie_hosp_O[[#This Row],[P_rec]]-B46</f>
        <v>0</v>
      </c>
      <c r="T47" s="16">
        <f t="shared" si="1"/>
        <v>0</v>
      </c>
      <c r="U47" s="16">
        <f t="shared" si="8"/>
        <v>1.1497928495600719E-5</v>
      </c>
      <c r="V47" s="16">
        <f t="shared" si="5"/>
        <v>1.4740934180921153E-5</v>
      </c>
      <c r="W47" s="17">
        <f t="shared" si="6"/>
        <v>1.5195114015640156E-4</v>
      </c>
    </row>
    <row r="48" spans="1:23" x14ac:dyDescent="0.3">
      <c r="A48">
        <v>45</v>
      </c>
      <c r="B48">
        <v>0.77900000000000003</v>
      </c>
      <c r="C48">
        <v>0.217</v>
      </c>
      <c r="D48">
        <v>4.0000000000000001E-3</v>
      </c>
      <c r="E48">
        <f t="shared" si="2"/>
        <v>2.0162733454443079E-48</v>
      </c>
      <c r="M48">
        <v>45</v>
      </c>
      <c r="N48" s="15">
        <f>(P_smrt_vyliecenie_hosp_O[[#This Row],[P_death]]-C47)</f>
        <v>0</v>
      </c>
      <c r="O48" s="16">
        <f t="shared" si="0"/>
        <v>0</v>
      </c>
      <c r="P48" s="16">
        <f t="shared" si="7"/>
        <v>1.271344387987483E-9</v>
      </c>
      <c r="Q48" s="17">
        <f t="shared" si="3"/>
        <v>5.5036553593123325E-9</v>
      </c>
      <c r="R48" s="16">
        <f t="shared" si="4"/>
        <v>8.0061761078402947E-4</v>
      </c>
      <c r="S48" s="22">
        <f>P_smrt_vyliecenie_hosp_O[[#This Row],[P_rec]]-B47</f>
        <v>0</v>
      </c>
      <c r="T48" s="16">
        <f t="shared" si="1"/>
        <v>0</v>
      </c>
      <c r="U48" s="16">
        <f t="shared" si="8"/>
        <v>5.7489642478003597E-6</v>
      </c>
      <c r="V48" s="16">
        <f t="shared" si="5"/>
        <v>7.3704670904605765E-6</v>
      </c>
      <c r="W48" s="17">
        <f t="shared" si="6"/>
        <v>1.172014551161123E-4</v>
      </c>
    </row>
    <row r="49" spans="1:23" x14ac:dyDescent="0.3">
      <c r="A49">
        <v>46</v>
      </c>
      <c r="B49">
        <v>0.77900000000000003</v>
      </c>
      <c r="C49">
        <v>0.217</v>
      </c>
      <c r="D49">
        <v>4.0000000000000001E-3</v>
      </c>
      <c r="E49">
        <f t="shared" si="2"/>
        <v>8.0650933817772323E-51</v>
      </c>
      <c r="M49">
        <v>46</v>
      </c>
      <c r="N49" s="15">
        <f>(P_smrt_vyliecenie_hosp_O[[#This Row],[P_death]]-C48)</f>
        <v>0</v>
      </c>
      <c r="O49" s="16">
        <f t="shared" si="0"/>
        <v>0</v>
      </c>
      <c r="P49" s="16">
        <f t="shared" si="7"/>
        <v>6.356721939937415E-10</v>
      </c>
      <c r="Q49" s="17">
        <f t="shared" si="3"/>
        <v>2.7518276796561663E-9</v>
      </c>
      <c r="R49" s="16">
        <f t="shared" si="4"/>
        <v>7.1776349443615462E-4</v>
      </c>
      <c r="S49" s="22">
        <f>P_smrt_vyliecenie_hosp_O[[#This Row],[P_rec]]-B48</f>
        <v>0</v>
      </c>
      <c r="T49" s="16">
        <f t="shared" si="1"/>
        <v>0</v>
      </c>
      <c r="U49" s="16">
        <f t="shared" si="8"/>
        <v>2.8744821239001798E-6</v>
      </c>
      <c r="V49" s="16">
        <f t="shared" si="5"/>
        <v>3.6852335452302883E-6</v>
      </c>
      <c r="W49" s="17">
        <f t="shared" si="6"/>
        <v>9.0221508440181845E-5</v>
      </c>
    </row>
    <row r="50" spans="1:23" x14ac:dyDescent="0.3">
      <c r="A50">
        <v>47</v>
      </c>
      <c r="B50">
        <v>0.77900000000000003</v>
      </c>
      <c r="C50">
        <v>0.217</v>
      </c>
      <c r="D50">
        <v>4.0000000000000001E-3</v>
      </c>
      <c r="E50">
        <f t="shared" si="2"/>
        <v>3.226037352710893E-53</v>
      </c>
      <c r="M50">
        <v>47</v>
      </c>
      <c r="N50" s="15">
        <f>(P_smrt_vyliecenie_hosp_O[[#This Row],[P_death]]-C49)</f>
        <v>0</v>
      </c>
      <c r="O50" s="16">
        <f t="shared" si="0"/>
        <v>0</v>
      </c>
      <c r="P50" s="16">
        <f t="shared" si="7"/>
        <v>3.1783609699687075E-10</v>
      </c>
      <c r="Q50" s="17">
        <f t="shared" si="3"/>
        <v>1.3759138398280831E-9</v>
      </c>
      <c r="R50" s="16">
        <f t="shared" si="4"/>
        <v>6.434837642912821E-4</v>
      </c>
      <c r="S50" s="22">
        <f>P_smrt_vyliecenie_hosp_O[[#This Row],[P_rec]]-B49</f>
        <v>0</v>
      </c>
      <c r="T50" s="16">
        <f t="shared" si="1"/>
        <v>0</v>
      </c>
      <c r="U50" s="16">
        <f t="shared" si="8"/>
        <v>1.4372410619500899E-6</v>
      </c>
      <c r="V50" s="16">
        <f t="shared" si="5"/>
        <v>1.8426167726151441E-6</v>
      </c>
      <c r="W50" s="17">
        <f t="shared" si="6"/>
        <v>6.9321999339497434E-5</v>
      </c>
    </row>
    <row r="51" spans="1:23" x14ac:dyDescent="0.3">
      <c r="A51">
        <v>48</v>
      </c>
      <c r="B51">
        <v>0.77900000000000003</v>
      </c>
      <c r="C51">
        <v>0.217</v>
      </c>
      <c r="D51">
        <v>4.0000000000000001E-3</v>
      </c>
      <c r="E51">
        <f t="shared" si="2"/>
        <v>1.2904149410843571E-55</v>
      </c>
      <c r="M51">
        <v>48</v>
      </c>
      <c r="N51" s="15">
        <f>(P_smrt_vyliecenie_hosp_O[[#This Row],[P_death]]-C50)</f>
        <v>0</v>
      </c>
      <c r="O51" s="16">
        <f t="shared" si="0"/>
        <v>0</v>
      </c>
      <c r="P51" s="16">
        <f t="shared" si="7"/>
        <v>1.5891804849843538E-10</v>
      </c>
      <c r="Q51" s="17">
        <f t="shared" si="3"/>
        <v>6.8795691991404156E-10</v>
      </c>
      <c r="R51" s="16">
        <f t="shared" si="4"/>
        <v>5.768910764008075E-4</v>
      </c>
      <c r="S51" s="22">
        <f>P_smrt_vyliecenie_hosp_O[[#This Row],[P_rec]]-B50</f>
        <v>0</v>
      </c>
      <c r="T51" s="16">
        <f t="shared" si="1"/>
        <v>0</v>
      </c>
      <c r="U51" s="16">
        <f t="shared" si="8"/>
        <v>7.1862053097504496E-7</v>
      </c>
      <c r="V51" s="16">
        <f t="shared" si="5"/>
        <v>9.2130838630757207E-7</v>
      </c>
      <c r="W51" s="17">
        <f t="shared" si="6"/>
        <v>5.3167917265449917E-5</v>
      </c>
    </row>
    <row r="52" spans="1:23" x14ac:dyDescent="0.3">
      <c r="A52">
        <v>49</v>
      </c>
      <c r="B52">
        <v>0.77900000000000003</v>
      </c>
      <c r="C52">
        <v>0.217</v>
      </c>
      <c r="D52">
        <v>4.0000000000000001E-3</v>
      </c>
      <c r="E52">
        <f t="shared" si="2"/>
        <v>5.1616597643374285E-58</v>
      </c>
      <c r="M52">
        <v>49</v>
      </c>
      <c r="N52" s="15">
        <f>(P_smrt_vyliecenie_hosp_O[[#This Row],[P_death]]-C51)</f>
        <v>0</v>
      </c>
      <c r="O52" s="16">
        <f t="shared" si="0"/>
        <v>0</v>
      </c>
      <c r="P52" s="16">
        <f t="shared" si="7"/>
        <v>7.9459024249217688E-11</v>
      </c>
      <c r="Q52" s="17">
        <f t="shared" si="3"/>
        <v>3.4397845995702078E-10</v>
      </c>
      <c r="R52" s="16">
        <f t="shared" si="4"/>
        <v>5.1718991604617103E-4</v>
      </c>
      <c r="S52" s="22">
        <f>P_smrt_vyliecenie_hosp_O[[#This Row],[P_rec]]-B51</f>
        <v>0</v>
      </c>
      <c r="T52" s="16">
        <f t="shared" si="1"/>
        <v>0</v>
      </c>
      <c r="U52" s="16">
        <f t="shared" si="8"/>
        <v>3.5931026548752248E-7</v>
      </c>
      <c r="V52" s="16">
        <f t="shared" si="5"/>
        <v>4.6065419315378603E-7</v>
      </c>
      <c r="W52" s="17">
        <f t="shared" si="6"/>
        <v>4.0707778735111994E-5</v>
      </c>
    </row>
    <row r="53" spans="1:23" x14ac:dyDescent="0.3">
      <c r="A53">
        <v>50</v>
      </c>
      <c r="B53">
        <v>0.77900000000000003</v>
      </c>
      <c r="C53">
        <v>0.217</v>
      </c>
      <c r="D53">
        <v>4.0000000000000001E-3</v>
      </c>
      <c r="E53">
        <f t="shared" si="2"/>
        <v>2.0646639057349714E-60</v>
      </c>
      <c r="M53">
        <v>50</v>
      </c>
      <c r="N53" s="15">
        <f>(P_smrt_vyliecenie_hosp_O[[#This Row],[P_death]]-C52)</f>
        <v>0</v>
      </c>
      <c r="O53" s="16">
        <f t="shared" si="0"/>
        <v>0</v>
      </c>
      <c r="P53" s="16">
        <f t="shared" si="7"/>
        <v>3.9729512124608844E-11</v>
      </c>
      <c r="Q53" s="17">
        <f t="shared" si="3"/>
        <v>1.7198922997851039E-10</v>
      </c>
      <c r="R53" s="16">
        <f t="shared" si="4"/>
        <v>4.6366709453831795E-4</v>
      </c>
      <c r="S53" s="22">
        <f>P_smrt_vyliecenie_hosp_O[[#This Row],[P_rec]]-B52</f>
        <v>0</v>
      </c>
      <c r="T53" s="16">
        <f t="shared" si="1"/>
        <v>0</v>
      </c>
      <c r="U53" s="16">
        <f t="shared" si="8"/>
        <v>1.7965513274376124E-7</v>
      </c>
      <c r="V53" s="16">
        <f t="shared" si="5"/>
        <v>2.3032709657689302E-7</v>
      </c>
      <c r="W53" s="17">
        <f t="shared" si="6"/>
        <v>3.1116023394627088E-5</v>
      </c>
    </row>
    <row r="54" spans="1:23" x14ac:dyDescent="0.3">
      <c r="A54">
        <v>51</v>
      </c>
      <c r="B54">
        <v>0.77900000000000003</v>
      </c>
      <c r="C54">
        <v>0.217</v>
      </c>
      <c r="D54">
        <v>4.0000000000000001E-3</v>
      </c>
      <c r="E54">
        <f t="shared" si="2"/>
        <v>8.2586556229398853E-63</v>
      </c>
      <c r="M54">
        <v>51</v>
      </c>
      <c r="N54" s="15">
        <f>(P_smrt_vyliecenie_hosp_O[[#This Row],[P_death]]-C53)</f>
        <v>0</v>
      </c>
      <c r="O54" s="16">
        <f t="shared" si="0"/>
        <v>0</v>
      </c>
      <c r="P54" s="16">
        <f t="shared" si="7"/>
        <v>1.9864756062304422E-11</v>
      </c>
      <c r="Q54" s="17">
        <f t="shared" si="3"/>
        <v>8.5994614989255195E-11</v>
      </c>
      <c r="R54" s="16">
        <f t="shared" si="4"/>
        <v>4.1568322948201713E-4</v>
      </c>
      <c r="S54" s="22">
        <f>P_smrt_vyliecenie_hosp_O[[#This Row],[P_rec]]-B53</f>
        <v>0</v>
      </c>
      <c r="T54" s="16">
        <f t="shared" si="1"/>
        <v>0</v>
      </c>
      <c r="U54" s="16">
        <f t="shared" si="8"/>
        <v>8.982756637188062E-8</v>
      </c>
      <c r="V54" s="16">
        <f t="shared" si="5"/>
        <v>1.1516354828844651E-7</v>
      </c>
      <c r="W54" s="17">
        <f t="shared" si="6"/>
        <v>2.3746395998179498E-5</v>
      </c>
    </row>
    <row r="55" spans="1:23" x14ac:dyDescent="0.3">
      <c r="A55">
        <v>52</v>
      </c>
      <c r="B55">
        <v>0.77900000000000003</v>
      </c>
      <c r="C55">
        <v>0.217</v>
      </c>
      <c r="D55">
        <v>4.0000000000000001E-3</v>
      </c>
      <c r="E55">
        <f t="shared" si="2"/>
        <v>3.3034622491759542E-65</v>
      </c>
      <c r="M55">
        <v>52</v>
      </c>
      <c r="N55" s="15">
        <f>(P_smrt_vyliecenie_hosp_O[[#This Row],[P_death]]-C54)</f>
        <v>0</v>
      </c>
      <c r="O55" s="16">
        <f t="shared" si="0"/>
        <v>0</v>
      </c>
      <c r="P55" s="16">
        <f t="shared" si="7"/>
        <v>9.9323780311522109E-12</v>
      </c>
      <c r="Q55" s="17">
        <f t="shared" si="3"/>
        <v>4.2997307494627598E-11</v>
      </c>
      <c r="R55" s="16">
        <f t="shared" si="4"/>
        <v>3.726651067284645E-4</v>
      </c>
      <c r="S55" s="22">
        <f>P_smrt_vyliecenie_hosp_O[[#This Row],[P_rec]]-B54</f>
        <v>0</v>
      </c>
      <c r="T55" s="16">
        <f t="shared" si="1"/>
        <v>0</v>
      </c>
      <c r="U55" s="16">
        <f t="shared" si="8"/>
        <v>4.491378318594031E-8</v>
      </c>
      <c r="V55" s="16">
        <f t="shared" si="5"/>
        <v>5.7581774144223254E-8</v>
      </c>
      <c r="W55" s="17">
        <f t="shared" si="6"/>
        <v>1.8094419714434381E-5</v>
      </c>
    </row>
    <row r="56" spans="1:23" x14ac:dyDescent="0.3">
      <c r="A56">
        <v>53</v>
      </c>
      <c r="B56">
        <v>0.77900000000000003</v>
      </c>
      <c r="C56">
        <v>0.217</v>
      </c>
      <c r="D56">
        <v>4.0000000000000001E-3</v>
      </c>
      <c r="E56">
        <f t="shared" si="2"/>
        <v>1.3213848996703817E-67</v>
      </c>
      <c r="M56">
        <v>53</v>
      </c>
      <c r="N56" s="15">
        <f>(P_smrt_vyliecenie_hosp_O[[#This Row],[P_death]]-C55)</f>
        <v>0</v>
      </c>
      <c r="O56" s="16">
        <f t="shared" si="0"/>
        <v>0</v>
      </c>
      <c r="P56" s="16">
        <f t="shared" si="7"/>
        <v>4.9661890155761055E-12</v>
      </c>
      <c r="Q56" s="17">
        <f t="shared" si="3"/>
        <v>2.1498653747313799E-11</v>
      </c>
      <c r="R56" s="16">
        <f t="shared" si="4"/>
        <v>3.3409883277224175E-4</v>
      </c>
      <c r="S56" s="22">
        <f>P_smrt_vyliecenie_hosp_O[[#This Row],[P_rec]]-B55</f>
        <v>0</v>
      </c>
      <c r="T56" s="16">
        <f t="shared" si="1"/>
        <v>0</v>
      </c>
      <c r="U56" s="16">
        <f t="shared" si="8"/>
        <v>2.2456891592970155E-8</v>
      </c>
      <c r="V56" s="16">
        <f t="shared" si="5"/>
        <v>2.8790887072111627E-8</v>
      </c>
      <c r="W56" s="17">
        <f t="shared" si="6"/>
        <v>1.3767334853359659E-5</v>
      </c>
    </row>
    <row r="57" spans="1:23" x14ac:dyDescent="0.3">
      <c r="A57">
        <v>54</v>
      </c>
      <c r="B57">
        <v>0.78300000000000003</v>
      </c>
      <c r="C57">
        <v>0.217</v>
      </c>
      <c r="D57">
        <v>0</v>
      </c>
      <c r="E57">
        <f t="shared" si="2"/>
        <v>5.2855395986815268E-70</v>
      </c>
      <c r="M57">
        <v>54</v>
      </c>
      <c r="N57" s="18">
        <f>(P_smrt_vyliecenie_hosp_O[[#This Row],[P_death]]-C56)</f>
        <v>0</v>
      </c>
      <c r="O57" s="19">
        <f t="shared" si="0"/>
        <v>0</v>
      </c>
      <c r="P57" s="16">
        <f t="shared" si="7"/>
        <v>2.4830945077880527E-12</v>
      </c>
      <c r="Q57" s="20">
        <f t="shared" si="3"/>
        <v>1.0749326873656899E-11</v>
      </c>
      <c r="R57" s="16">
        <f t="shared" si="4"/>
        <v>2.9952369579131454E-4</v>
      </c>
      <c r="S57" s="23">
        <v>0</v>
      </c>
      <c r="T57" s="19">
        <f t="shared" si="1"/>
        <v>0</v>
      </c>
      <c r="U57" s="19">
        <f t="shared" si="8"/>
        <v>1.1228445796485077E-8</v>
      </c>
      <c r="V57" s="19">
        <f t="shared" si="5"/>
        <v>1.4395443536055814E-8</v>
      </c>
      <c r="W57" s="20">
        <f t="shared" si="6"/>
        <v>0</v>
      </c>
    </row>
    <row r="58" spans="1:23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N58" s="5">
        <f t="shared" ref="N58:V58" si="9">SUM(N3:N57)</f>
        <v>0.21300000000000008</v>
      </c>
      <c r="O58" s="5">
        <f t="shared" si="9"/>
        <v>0.99999999999999956</v>
      </c>
      <c r="P58" s="5">
        <f t="shared" si="9"/>
        <v>0.23099999999751694</v>
      </c>
      <c r="Q58" s="5">
        <f t="shared" si="9"/>
        <v>0.99999999999999989</v>
      </c>
      <c r="R58" s="5">
        <f>SUM(R3:R57)</f>
        <v>0.94377788159046228</v>
      </c>
      <c r="S58" s="5">
        <f t="shared" si="9"/>
        <v>0.78000000000000014</v>
      </c>
      <c r="T58" s="5">
        <f t="shared" si="9"/>
        <v>0.99999999999999967</v>
      </c>
      <c r="U58" s="5">
        <f t="shared" si="9"/>
        <v>0.77999998877155419</v>
      </c>
      <c r="V58" s="5">
        <f t="shared" si="9"/>
        <v>1.0000000000000002</v>
      </c>
    </row>
    <row r="59" spans="1:23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Q59" s="10">
        <f>SUMPRODUCT(Q4:Q57,M4:M57)</f>
        <v>8.75324675273888</v>
      </c>
      <c r="R59" s="10" cm="1">
        <f t="array" ref="R59">SUMPRODUCT(R4:R57-Q4:Q57,R4:R57-Q4:Q57)</f>
        <v>2.1999618575650548E-3</v>
      </c>
    </row>
    <row r="60" spans="1:23" x14ac:dyDescent="0.3">
      <c r="Q60" s="9">
        <f>1/Q59-0.005</f>
        <v>0.10924332344876501</v>
      </c>
      <c r="R60" s="9"/>
      <c r="U60" s="9" t="s">
        <v>28</v>
      </c>
      <c r="V60">
        <f>SUMPRODUCT(V4:V57,M4:M57)</f>
        <v>13.555127594115445</v>
      </c>
      <c r="W60" s="9">
        <f>SUMPRODUCT(W4:W57,M4:M57)</f>
        <v>13.675053828866576</v>
      </c>
    </row>
    <row r="61" spans="1:23" x14ac:dyDescent="0.3">
      <c r="Q61">
        <f>1/Q60</f>
        <v>9.1538774950306117</v>
      </c>
      <c r="U61" s="9" t="s">
        <v>29</v>
      </c>
      <c r="V61">
        <f>(SUMPRODUCT(V4:V57,M4:M57,M4:M57)-V60^2)^0.5</f>
        <v>7.1107186880864699</v>
      </c>
      <c r="W61" s="9">
        <f>(SUMPRODUCT(W4:W57,M4:M57,M4:M57)-W60^2)^0.5</f>
        <v>6.4620222037554136</v>
      </c>
    </row>
    <row r="62" spans="1:23" x14ac:dyDescent="0.3">
      <c r="U62" t="s">
        <v>27</v>
      </c>
      <c r="V62">
        <f>V61/V60</f>
        <v>0.52457777610100675</v>
      </c>
    </row>
    <row r="63" spans="1:23" x14ac:dyDescent="0.3">
      <c r="U63" t="s">
        <v>26</v>
      </c>
      <c r="V63">
        <f>V60/V62</f>
        <v>25.840072171691514</v>
      </c>
    </row>
  </sheetData>
  <mergeCells count="2">
    <mergeCell ref="N1:Q1"/>
    <mergeCell ref="S1:W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X37"/>
  <sheetViews>
    <sheetView topLeftCell="C1" zoomScale="89" workbookViewId="0">
      <selection activeCell="K6" sqref="K6"/>
    </sheetView>
  </sheetViews>
  <sheetFormatPr defaultRowHeight="14.4" x14ac:dyDescent="0.3"/>
  <sheetData>
    <row r="1" spans="1:24" ht="15" thickBot="1" x14ac:dyDescent="0.35">
      <c r="J1" s="43" t="s">
        <v>15</v>
      </c>
      <c r="K1" s="44"/>
      <c r="L1" s="44"/>
      <c r="M1" s="44"/>
      <c r="N1" s="44"/>
      <c r="O1" s="44"/>
      <c r="P1" s="45"/>
      <c r="R1" s="46" t="s">
        <v>9</v>
      </c>
      <c r="S1" s="47"/>
      <c r="T1" s="47"/>
      <c r="U1" s="47"/>
      <c r="V1" s="47"/>
      <c r="W1" s="47"/>
      <c r="X1" s="48"/>
    </row>
    <row r="2" spans="1:24" ht="15" thickBot="1" x14ac:dyDescent="0.35">
      <c r="A2" t="s">
        <v>0</v>
      </c>
      <c r="B2" t="s">
        <v>40</v>
      </c>
      <c r="C2" t="s">
        <v>39</v>
      </c>
      <c r="D2" t="s">
        <v>42</v>
      </c>
      <c r="E2" t="s">
        <v>41</v>
      </c>
      <c r="J2" s="32" t="s">
        <v>46</v>
      </c>
      <c r="K2" s="33"/>
      <c r="L2" s="34" t="s">
        <v>37</v>
      </c>
      <c r="M2" s="35" t="s">
        <v>50</v>
      </c>
      <c r="N2" s="35"/>
      <c r="O2" s="36" t="s">
        <v>45</v>
      </c>
      <c r="P2" s="37" t="s">
        <v>47</v>
      </c>
      <c r="R2" s="32" t="s">
        <v>52</v>
      </c>
      <c r="S2" s="33"/>
      <c r="T2" s="34" t="s">
        <v>36</v>
      </c>
      <c r="U2" s="35" t="s">
        <v>56</v>
      </c>
      <c r="V2" s="35"/>
      <c r="W2" s="36" t="s">
        <v>55</v>
      </c>
      <c r="X2" s="37" t="s">
        <v>54</v>
      </c>
    </row>
    <row r="3" spans="1:24" x14ac:dyDescent="0.3">
      <c r="A3">
        <v>0</v>
      </c>
      <c r="B3">
        <v>0.96</v>
      </c>
      <c r="C3">
        <f>B3/$B$33</f>
        <v>0.41558441558441556</v>
      </c>
      <c r="D3">
        <v>16.84</v>
      </c>
      <c r="E3">
        <f>D3/$D$33</f>
        <v>0.52856246076585056</v>
      </c>
      <c r="G3" t="s">
        <v>34</v>
      </c>
      <c r="H3">
        <v>0.65</v>
      </c>
      <c r="J3" s="38">
        <f>C3</f>
        <v>0.41558441558441556</v>
      </c>
      <c r="K3" s="39">
        <f>J3</f>
        <v>0.41558441558441556</v>
      </c>
      <c r="L3" s="39">
        <f>K3/$K$34</f>
        <v>0.34629260348381818</v>
      </c>
      <c r="M3" s="39">
        <f>-1/LN(1-$H$8)*$H$8^(1+$A3)/(1+$A3)</f>
        <v>0.33001043102957339</v>
      </c>
      <c r="N3" s="39">
        <f>M3/$M$34</f>
        <v>0.33696958884051037</v>
      </c>
      <c r="O3" s="39">
        <f>_xlfn.CHISQ.DIST($A3,2.5,FALSE)</f>
        <v>0.5</v>
      </c>
      <c r="P3" s="40">
        <f t="shared" ref="P3:P33" si="0">$H$3^A3*EXP(-$H$3)/FACT(A3)</f>
        <v>0.52204577676101604</v>
      </c>
      <c r="R3" s="27">
        <f>E3</f>
        <v>0.52856246076585056</v>
      </c>
      <c r="S3" s="16">
        <f>R3</f>
        <v>0.52856246076585056</v>
      </c>
      <c r="T3" s="16">
        <f>S3/$S$34</f>
        <v>0.4213355289841918</v>
      </c>
      <c r="U3" s="16">
        <f>-1/LN(1-$H$10)*$H$10^(1+$A3)/(1+$A3)</f>
        <v>0.41212955508368432</v>
      </c>
      <c r="V3" s="16">
        <f>U3/$U$34</f>
        <v>0.41291506334369904</v>
      </c>
      <c r="W3" s="16">
        <f>_xlfn.CHISQ.DIST($A3,2,FALSE)</f>
        <v>0.5</v>
      </c>
      <c r="X3" s="28">
        <f t="shared" ref="X3:X33" si="1">$H$4^A3*EXP(-$H$4)/FACT(A3)</f>
        <v>0.61522168764070195</v>
      </c>
    </row>
    <row r="4" spans="1:24" x14ac:dyDescent="0.3">
      <c r="A4">
        <f>A3+1</f>
        <v>1</v>
      </c>
      <c r="B4">
        <v>1.26</v>
      </c>
      <c r="C4">
        <f>AVERAGE(B3:B5)/$B$33</f>
        <v>0.53246753246753231</v>
      </c>
      <c r="D4">
        <v>21.27</v>
      </c>
      <c r="E4">
        <f>AVERAGE(D3:D5)/$D$33</f>
        <v>0.64888051893701604</v>
      </c>
      <c r="G4" t="s">
        <v>35</v>
      </c>
      <c r="H4">
        <v>0.48577260842003672</v>
      </c>
      <c r="J4" s="27">
        <f t="shared" ref="J4:J33" si="2">C4-C3</f>
        <v>0.11688311688311676</v>
      </c>
      <c r="K4" s="16">
        <f t="shared" ref="K4:K33" si="3">J4*$H$7+K3*(1-$H$7)</f>
        <v>0.21396103896103885</v>
      </c>
      <c r="L4" s="16">
        <f>K4/$K$34</f>
        <v>0.17828658257487193</v>
      </c>
      <c r="M4" s="16">
        <f t="shared" ref="M4:M33" si="4">-1/LN(1-$H$8)*$H$8^(1+$A4)/(1+$A4)</f>
        <v>0.15551741562268648</v>
      </c>
      <c r="N4" s="16">
        <f t="shared" ref="N4:N33" si="5">M4/$M$34</f>
        <v>0.15879691874109053</v>
      </c>
      <c r="O4" s="16">
        <f>_xlfn.CHISQ.DIST($A4,2.5,FALSE)</f>
        <v>0.30326532985631671</v>
      </c>
      <c r="P4" s="28">
        <f t="shared" si="0"/>
        <v>0.33932975489466044</v>
      </c>
      <c r="R4" s="27">
        <f t="shared" ref="R4:R33" si="6">E4-E3</f>
        <v>0.12031805817116548</v>
      </c>
      <c r="S4" s="16">
        <f>R4*$H$9+(1-$H$9)*S3</f>
        <v>0.25299748901443808</v>
      </c>
      <c r="T4" s="16">
        <f t="shared" ref="T4:T33" si="7">S4/$S$34</f>
        <v>0.20167310162571717</v>
      </c>
      <c r="U4" s="16">
        <f>-1/LN(1-$H$10)*$H$10^(1+$A4)/(1+$A4)</f>
        <v>0.18185216618067571</v>
      </c>
      <c r="V4" s="16">
        <f t="shared" ref="V4:V33" si="8">U4/$U$34</f>
        <v>0.18219877170040721</v>
      </c>
      <c r="W4" s="16">
        <f>_xlfn.CHISQ.DIST($A4,2,FALSE)</f>
        <v>0.30326532985631671</v>
      </c>
      <c r="X4" s="28">
        <f t="shared" si="1"/>
        <v>0.29885784396180087</v>
      </c>
    </row>
    <row r="5" spans="1:24" x14ac:dyDescent="0.3">
      <c r="A5">
        <f t="shared" ref="A5:A33" si="9">A4+1</f>
        <v>2</v>
      </c>
      <c r="B5">
        <v>1.47</v>
      </c>
      <c r="C5">
        <f>AVERAGE(B3:B7)/$B$33</f>
        <v>0.61038961038961037</v>
      </c>
      <c r="D5">
        <v>23.91</v>
      </c>
      <c r="E5">
        <f>AVERAGE(D3:D7)/$D$33</f>
        <v>0.7180790960451976</v>
      </c>
      <c r="G5" t="s">
        <v>38</v>
      </c>
      <c r="H5" cm="1">
        <f t="array" ref="H5">SUMPRODUCT(O3:O33-L3:L33,O3:O33-L3:L33)</f>
        <v>4.8811181030614909E-2</v>
      </c>
      <c r="J5" s="27">
        <f t="shared" si="2"/>
        <v>7.7922077922078059E-2</v>
      </c>
      <c r="K5" s="16">
        <f t="shared" si="3"/>
        <v>0.1221347402597403</v>
      </c>
      <c r="L5" s="16">
        <f t="shared" ref="L5:L33" si="10">K5/$K$34</f>
        <v>0.10177079696525419</v>
      </c>
      <c r="M5" s="16">
        <f t="shared" si="4"/>
        <v>9.7716776149588E-2</v>
      </c>
      <c r="N5" s="16">
        <f t="shared" si="5"/>
        <v>9.977739727565188E-2</v>
      </c>
      <c r="O5" s="16">
        <f t="shared" ref="O5:O33" si="11">_xlfn.CHISQ.DIST($A5,2.5,FALSE)</f>
        <v>0.18393972058572117</v>
      </c>
      <c r="P5" s="28">
        <f t="shared" si="0"/>
        <v>0.11028217034076465</v>
      </c>
      <c r="R5" s="27">
        <f t="shared" si="6"/>
        <v>6.9198577108181558E-2</v>
      </c>
      <c r="S5" s="16">
        <f t="shared" ref="S5:S33" si="12">R5*$H$9+(1-$H$9)*S4</f>
        <v>0.12893322347771491</v>
      </c>
      <c r="T5" s="16">
        <f t="shared" si="7"/>
        <v>0.10277715870875144</v>
      </c>
      <c r="U5" s="16">
        <f t="shared" ref="U5:U33" si="13">-1/LN(1-$H$10)*$H$10^(1+$A5)/(1+$A5)</f>
        <v>0.1069896911029642</v>
      </c>
      <c r="V5" s="16">
        <f t="shared" si="8"/>
        <v>0.10719361068373957</v>
      </c>
      <c r="W5" s="16">
        <f t="shared" ref="W5:W33" si="14">_xlfn.CHISQ.DIST($A5,2,FALSE)</f>
        <v>0.18393972058572117</v>
      </c>
      <c r="X5" s="28">
        <f t="shared" si="1"/>
        <v>7.2588477204056159E-2</v>
      </c>
    </row>
    <row r="6" spans="1:24" x14ac:dyDescent="0.3">
      <c r="A6">
        <f t="shared" si="9"/>
        <v>3</v>
      </c>
      <c r="B6">
        <v>1.62</v>
      </c>
      <c r="C6">
        <f t="shared" ref="C6:C33" si="15">AVERAGE(B4:B8)/$B$33</f>
        <v>0.68831168831168832</v>
      </c>
      <c r="D6">
        <v>25.63</v>
      </c>
      <c r="E6">
        <f t="shared" ref="E6:E33" si="16">AVERAGE(D4:D8)/$D$33</f>
        <v>0.78637790332705582</v>
      </c>
      <c r="G6" t="s">
        <v>43</v>
      </c>
      <c r="H6" cm="1">
        <f t="array" ref="H6">SUMPRODUCT(X3:X33-R3:R33,X3:X33-R3:R33)</f>
        <v>4.7551653762724529E-2</v>
      </c>
      <c r="J6" s="27">
        <f t="shared" si="2"/>
        <v>7.7922077922077948E-2</v>
      </c>
      <c r="K6" s="16">
        <f t="shared" si="3"/>
        <v>9.2291193181818207E-2</v>
      </c>
      <c r="L6" s="16">
        <f t="shared" si="10"/>
        <v>7.6903166642128359E-2</v>
      </c>
      <c r="M6" s="16">
        <f t="shared" si="4"/>
        <v>6.9073546140740016E-2</v>
      </c>
      <c r="N6" s="16">
        <f t="shared" si="5"/>
        <v>7.0530147699226414E-2</v>
      </c>
      <c r="O6" s="16">
        <f t="shared" si="11"/>
        <v>0.11156508007421491</v>
      </c>
      <c r="P6" s="28">
        <f t="shared" si="0"/>
        <v>2.3894470240499011E-2</v>
      </c>
      <c r="R6" s="27">
        <f t="shared" si="6"/>
        <v>6.829880728185822E-2</v>
      </c>
      <c r="S6" s="16">
        <f t="shared" si="12"/>
        <v>8.800499254551164E-2</v>
      </c>
      <c r="T6" s="16">
        <f t="shared" si="7"/>
        <v>7.0151841721198246E-2</v>
      </c>
      <c r="U6" s="16">
        <f t="shared" si="13"/>
        <v>7.0813801798774431E-2</v>
      </c>
      <c r="V6" s="16">
        <f t="shared" si="8"/>
        <v>7.0948771071300126E-2</v>
      </c>
      <c r="W6" s="16">
        <f t="shared" si="14"/>
        <v>0.11156508007421491</v>
      </c>
      <c r="X6" s="28">
        <f t="shared" si="1"/>
        <v>1.1753831304217579E-2</v>
      </c>
    </row>
    <row r="7" spans="1:24" x14ac:dyDescent="0.3">
      <c r="A7">
        <f t="shared" si="9"/>
        <v>4</v>
      </c>
      <c r="B7">
        <v>1.74</v>
      </c>
      <c r="C7">
        <f t="shared" si="15"/>
        <v>0.74891774891774887</v>
      </c>
      <c r="D7">
        <v>26.74</v>
      </c>
      <c r="E7">
        <f t="shared" si="16"/>
        <v>0.83145009416195859</v>
      </c>
      <c r="G7" t="s">
        <v>44</v>
      </c>
      <c r="H7">
        <v>0.67500000000000004</v>
      </c>
      <c r="J7" s="27">
        <f t="shared" si="2"/>
        <v>6.0606060606060552E-2</v>
      </c>
      <c r="K7" s="16">
        <f t="shared" si="3"/>
        <v>7.0903728693181789E-2</v>
      </c>
      <c r="L7" s="16">
        <f t="shared" si="10"/>
        <v>5.9081707314130039E-2</v>
      </c>
      <c r="M7" s="16">
        <f t="shared" si="4"/>
        <v>5.2081453790117971E-2</v>
      </c>
      <c r="N7" s="16">
        <f t="shared" si="5"/>
        <v>5.3179731365216719E-2</v>
      </c>
      <c r="O7" s="16">
        <f t="shared" si="11"/>
        <v>6.7667641618306337E-2</v>
      </c>
      <c r="P7" s="28">
        <f t="shared" si="0"/>
        <v>3.882851414081089E-3</v>
      </c>
      <c r="R7" s="27">
        <f t="shared" si="6"/>
        <v>4.507219083490277E-2</v>
      </c>
      <c r="S7" s="16">
        <f t="shared" si="12"/>
        <v>5.9025351390850647E-2</v>
      </c>
      <c r="T7" s="16">
        <f t="shared" si="7"/>
        <v>4.7051161400504492E-2</v>
      </c>
      <c r="U7" s="16">
        <f t="shared" si="13"/>
        <v>4.999454406993474E-2</v>
      </c>
      <c r="V7" s="16">
        <f t="shared" si="8"/>
        <v>5.0089832376337885E-2</v>
      </c>
      <c r="W7" s="16">
        <f t="shared" si="14"/>
        <v>6.7667641618306337E-2</v>
      </c>
      <c r="X7" s="28">
        <f t="shared" si="1"/>
        <v>1.4274223228947138E-3</v>
      </c>
    </row>
    <row r="8" spans="1:24" x14ac:dyDescent="0.3">
      <c r="A8">
        <f t="shared" si="9"/>
        <v>5</v>
      </c>
      <c r="B8">
        <v>1.86</v>
      </c>
      <c r="C8">
        <f t="shared" si="15"/>
        <v>0.79826839826839824</v>
      </c>
      <c r="D8">
        <v>27.72</v>
      </c>
      <c r="E8">
        <f t="shared" si="16"/>
        <v>0.86409290646578785</v>
      </c>
      <c r="G8" t="s">
        <v>49</v>
      </c>
      <c r="H8">
        <v>0.9425</v>
      </c>
      <c r="J8" s="27">
        <f t="shared" si="2"/>
        <v>4.9350649350649367E-2</v>
      </c>
      <c r="K8" s="16">
        <f t="shared" si="3"/>
        <v>5.6355400136972406E-2</v>
      </c>
      <c r="L8" s="16">
        <f t="shared" si="10"/>
        <v>4.6959071375092074E-2</v>
      </c>
      <c r="M8" s="16">
        <f t="shared" si="4"/>
        <v>4.0905641830988493E-2</v>
      </c>
      <c r="N8" s="16">
        <f t="shared" si="5"/>
        <v>4.1768247343097302E-2</v>
      </c>
      <c r="O8" s="16">
        <f t="shared" si="11"/>
        <v>4.10424993119494E-2</v>
      </c>
      <c r="P8" s="28">
        <f t="shared" si="0"/>
        <v>5.0477068383054165E-4</v>
      </c>
      <c r="R8" s="27">
        <f t="shared" si="6"/>
        <v>3.2642812303829261E-2</v>
      </c>
      <c r="S8" s="16">
        <f t="shared" si="12"/>
        <v>4.1217137507111215E-2</v>
      </c>
      <c r="T8" s="16">
        <f t="shared" si="7"/>
        <v>3.2855614471013296E-2</v>
      </c>
      <c r="U8" s="16">
        <f t="shared" si="13"/>
        <v>3.6766820951431176E-2</v>
      </c>
      <c r="V8" s="16">
        <f t="shared" si="8"/>
        <v>3.6836897560098489E-2</v>
      </c>
      <c r="W8" s="16">
        <f t="shared" si="14"/>
        <v>4.10424993119494E-2</v>
      </c>
      <c r="X8" s="28">
        <f t="shared" si="1"/>
        <v>1.3868053302191059E-4</v>
      </c>
    </row>
    <row r="9" spans="1:24" x14ac:dyDescent="0.3">
      <c r="A9">
        <f t="shared" si="9"/>
        <v>6</v>
      </c>
      <c r="B9">
        <v>1.96</v>
      </c>
      <c r="C9">
        <f t="shared" si="15"/>
        <v>0.83982683982683992</v>
      </c>
      <c r="D9">
        <v>28.45</v>
      </c>
      <c r="E9">
        <f t="shared" si="16"/>
        <v>0.88920276208411808</v>
      </c>
      <c r="G9" t="s">
        <v>53</v>
      </c>
      <c r="H9">
        <v>0.67500000000000004</v>
      </c>
      <c r="J9" s="27">
        <f t="shared" si="2"/>
        <v>4.1558441558441683E-2</v>
      </c>
      <c r="K9" s="16">
        <f t="shared" si="3"/>
        <v>4.6367453096464166E-2</v>
      </c>
      <c r="L9" s="16">
        <f t="shared" si="10"/>
        <v>3.8636448932062722E-2</v>
      </c>
      <c r="M9" s="16">
        <f t="shared" si="4"/>
        <v>3.3045914936319989E-2</v>
      </c>
      <c r="N9" s="16">
        <f t="shared" si="5"/>
        <v>3.3742776960745034E-2</v>
      </c>
      <c r="O9" s="16">
        <f t="shared" si="11"/>
        <v>2.4893534183931976E-2</v>
      </c>
      <c r="P9" s="28">
        <f t="shared" si="0"/>
        <v>5.4683490748308681E-5</v>
      </c>
      <c r="R9" s="27">
        <f t="shared" si="6"/>
        <v>2.5109855618330235E-2</v>
      </c>
      <c r="S9" s="16">
        <f t="shared" si="12"/>
        <v>3.0344722232184054E-2</v>
      </c>
      <c r="T9" s="16">
        <f t="shared" si="7"/>
        <v>2.4188833946040364E-2</v>
      </c>
      <c r="U9" s="16">
        <f t="shared" si="13"/>
        <v>2.7811473848261156E-2</v>
      </c>
      <c r="V9" s="16">
        <f t="shared" si="8"/>
        <v>2.7864481797245929E-2</v>
      </c>
      <c r="W9" s="16">
        <f t="shared" si="14"/>
        <v>2.4893534183931976E-2</v>
      </c>
      <c r="X9" s="28">
        <f t="shared" si="1"/>
        <v>1.122786737718909E-5</v>
      </c>
    </row>
    <row r="10" spans="1:24" x14ac:dyDescent="0.3">
      <c r="A10">
        <f t="shared" si="9"/>
        <v>7</v>
      </c>
      <c r="B10">
        <v>2.04</v>
      </c>
      <c r="C10">
        <f t="shared" si="15"/>
        <v>0.87532467532467539</v>
      </c>
      <c r="D10">
        <v>29.11</v>
      </c>
      <c r="E10">
        <f t="shared" si="16"/>
        <v>0.90985561833019457</v>
      </c>
      <c r="G10" t="s">
        <v>57</v>
      </c>
      <c r="H10">
        <v>0.88249999999999995</v>
      </c>
      <c r="J10" s="27">
        <f t="shared" si="2"/>
        <v>3.5497835497835473E-2</v>
      </c>
      <c r="K10" s="16">
        <f t="shared" si="3"/>
        <v>3.9030461217389803E-2</v>
      </c>
      <c r="L10" s="16">
        <f t="shared" si="10"/>
        <v>3.2522778822534265E-2</v>
      </c>
      <c r="M10" s="16">
        <f t="shared" si="4"/>
        <v>2.7252552974046388E-2</v>
      </c>
      <c r="N10" s="16">
        <f t="shared" si="5"/>
        <v>2.7827246374814416E-2</v>
      </c>
      <c r="O10" s="16">
        <f t="shared" si="11"/>
        <v>1.509869171115925E-2</v>
      </c>
      <c r="P10" s="28">
        <f t="shared" si="0"/>
        <v>5.0777527123429496E-6</v>
      </c>
      <c r="R10" s="27">
        <f t="shared" si="6"/>
        <v>2.065285624607649E-2</v>
      </c>
      <c r="S10" s="16">
        <f t="shared" si="12"/>
        <v>2.3802712691561447E-2</v>
      </c>
      <c r="T10" s="16">
        <f t="shared" si="7"/>
        <v>1.8973970509798505E-2</v>
      </c>
      <c r="U10" s="16">
        <f t="shared" si="13"/>
        <v>2.1475672462204158E-2</v>
      </c>
      <c r="V10" s="16">
        <f t="shared" si="8"/>
        <v>2.1516604537810836E-2</v>
      </c>
      <c r="W10" s="16">
        <f t="shared" si="14"/>
        <v>1.509869171115925E-2</v>
      </c>
      <c r="X10" s="28">
        <f t="shared" si="1"/>
        <v>7.7917006040162587E-7</v>
      </c>
    </row>
    <row r="11" spans="1:24" x14ac:dyDescent="0.3">
      <c r="A11">
        <f t="shared" si="9"/>
        <v>8</v>
      </c>
      <c r="B11">
        <v>2.1</v>
      </c>
      <c r="C11">
        <f t="shared" si="15"/>
        <v>0.90389610389610386</v>
      </c>
      <c r="D11">
        <v>29.63</v>
      </c>
      <c r="E11">
        <f t="shared" si="16"/>
        <v>0.92749529190207158</v>
      </c>
      <c r="J11" s="27">
        <f t="shared" si="2"/>
        <v>2.857142857142847E-2</v>
      </c>
      <c r="K11" s="16">
        <f t="shared" si="3"/>
        <v>3.1970614181365903E-2</v>
      </c>
      <c r="L11" s="16">
        <f t="shared" si="10"/>
        <v>2.6640044247744517E-2</v>
      </c>
      <c r="M11" s="16">
        <f t="shared" si="4"/>
        <v>2.2831583269367753E-2</v>
      </c>
      <c r="N11" s="16">
        <f t="shared" si="5"/>
        <v>2.3313048629566745E-2</v>
      </c>
      <c r="O11" s="16">
        <f t="shared" si="11"/>
        <v>9.1578194443670893E-3</v>
      </c>
      <c r="P11" s="28">
        <f t="shared" si="0"/>
        <v>4.1256740787786459E-7</v>
      </c>
      <c r="R11" s="27">
        <f t="shared" si="6"/>
        <v>1.7639673571877013E-2</v>
      </c>
      <c r="S11" s="16">
        <f t="shared" si="12"/>
        <v>1.9642661285774451E-2</v>
      </c>
      <c r="T11" s="16">
        <f t="shared" si="7"/>
        <v>1.5657848783864656E-2</v>
      </c>
      <c r="U11" s="16">
        <f t="shared" si="13"/>
        <v>1.6846471953684591E-2</v>
      </c>
      <c r="V11" s="16">
        <f t="shared" si="8"/>
        <v>1.6878580892993832E-2</v>
      </c>
      <c r="W11" s="16">
        <f t="shared" si="14"/>
        <v>9.1578194443670893E-3</v>
      </c>
      <c r="X11" s="28">
        <f t="shared" si="1"/>
        <v>4.7312434080511917E-8</v>
      </c>
    </row>
    <row r="12" spans="1:24" x14ac:dyDescent="0.3">
      <c r="A12">
        <f t="shared" si="9"/>
        <v>9</v>
      </c>
      <c r="B12">
        <v>2.15</v>
      </c>
      <c r="C12">
        <f t="shared" si="15"/>
        <v>0.92554112554112566</v>
      </c>
      <c r="D12">
        <v>30.03</v>
      </c>
      <c r="E12">
        <f t="shared" si="16"/>
        <v>0.9422473320778405</v>
      </c>
      <c r="J12" s="27">
        <f t="shared" si="2"/>
        <v>2.16450216450218E-2</v>
      </c>
      <c r="K12" s="16">
        <f t="shared" si="3"/>
        <v>2.5000839219333632E-2</v>
      </c>
      <c r="L12" s="16">
        <f t="shared" si="10"/>
        <v>2.0832363721745038E-2</v>
      </c>
      <c r="M12" s="16">
        <f t="shared" si="4"/>
        <v>1.9366890508241197E-2</v>
      </c>
      <c r="N12" s="16">
        <f t="shared" si="5"/>
        <v>1.9775293500029992E-2</v>
      </c>
      <c r="O12" s="16">
        <f t="shared" si="11"/>
        <v>5.5544982691211539E-3</v>
      </c>
      <c r="P12" s="28">
        <f t="shared" si="0"/>
        <v>2.9796535013401328E-8</v>
      </c>
      <c r="R12" s="27">
        <f t="shared" si="6"/>
        <v>1.4752040175768921E-2</v>
      </c>
      <c r="S12" s="16">
        <f t="shared" si="12"/>
        <v>1.6341492036520716E-2</v>
      </c>
      <c r="T12" s="16">
        <f t="shared" si="7"/>
        <v>1.3026371909995574E-2</v>
      </c>
      <c r="U12" s="16">
        <f t="shared" si="13"/>
        <v>1.3380310349213989E-2</v>
      </c>
      <c r="V12" s="16">
        <f t="shared" si="8"/>
        <v>1.3405812874260353E-2</v>
      </c>
      <c r="W12" s="16">
        <f t="shared" si="14"/>
        <v>5.5544982691211539E-3</v>
      </c>
      <c r="X12" s="28">
        <f t="shared" si="1"/>
        <v>2.5536760571101461E-9</v>
      </c>
    </row>
    <row r="13" spans="1:24" x14ac:dyDescent="0.3">
      <c r="A13">
        <f t="shared" si="9"/>
        <v>10</v>
      </c>
      <c r="B13">
        <v>2.19</v>
      </c>
      <c r="C13">
        <f t="shared" si="15"/>
        <v>0.94199134199134182</v>
      </c>
      <c r="D13">
        <v>30.53</v>
      </c>
      <c r="E13">
        <f t="shared" si="16"/>
        <v>0.95398618957940984</v>
      </c>
      <c r="J13" s="27">
        <f t="shared" si="2"/>
        <v>1.645021645021616E-2</v>
      </c>
      <c r="K13" s="16">
        <f t="shared" si="3"/>
        <v>1.9229168850179335E-2</v>
      </c>
      <c r="L13" s="16">
        <f t="shared" si="10"/>
        <v>1.6023023708900238E-2</v>
      </c>
      <c r="M13" s="16">
        <f t="shared" si="4"/>
        <v>1.6593903912743027E-2</v>
      </c>
      <c r="N13" s="16">
        <f t="shared" si="5"/>
        <v>1.6943831021616607E-2</v>
      </c>
      <c r="O13" s="16">
        <f t="shared" si="11"/>
        <v>3.3689734995427331E-3</v>
      </c>
      <c r="P13" s="28">
        <f t="shared" si="0"/>
        <v>1.9367747758710869E-9</v>
      </c>
      <c r="R13" s="27">
        <f t="shared" si="6"/>
        <v>1.1738857501569333E-2</v>
      </c>
      <c r="S13" s="16">
        <f t="shared" si="12"/>
        <v>1.3234713725428534E-2</v>
      </c>
      <c r="T13" s="16">
        <f t="shared" si="7"/>
        <v>1.0549850816832821E-2</v>
      </c>
      <c r="U13" s="16">
        <f t="shared" si="13"/>
        <v>1.0734658075619402E-2</v>
      </c>
      <c r="V13" s="16">
        <f t="shared" si="8"/>
        <v>1.0755118055940689E-2</v>
      </c>
      <c r="W13" s="16">
        <f t="shared" si="14"/>
        <v>3.3689734995427331E-3</v>
      </c>
      <c r="X13" s="28">
        <f t="shared" si="1"/>
        <v>1.2405058793221904E-10</v>
      </c>
    </row>
    <row r="14" spans="1:24" x14ac:dyDescent="0.3">
      <c r="A14">
        <f t="shared" si="9"/>
        <v>11</v>
      </c>
      <c r="B14">
        <v>2.21</v>
      </c>
      <c r="C14">
        <f t="shared" si="15"/>
        <v>0.95584415584415572</v>
      </c>
      <c r="D14">
        <v>30.8</v>
      </c>
      <c r="E14">
        <f t="shared" si="16"/>
        <v>0.96377903327055869</v>
      </c>
      <c r="J14" s="27">
        <f t="shared" si="2"/>
        <v>1.3852813852813894E-2</v>
      </c>
      <c r="K14" s="16">
        <f t="shared" si="3"/>
        <v>1.5600129226957662E-2</v>
      </c>
      <c r="L14" s="16">
        <f t="shared" si="10"/>
        <v>1.2999066283778509E-2</v>
      </c>
      <c r="M14" s="16">
        <f t="shared" si="4"/>
        <v>1.4336441567946943E-2</v>
      </c>
      <c r="N14" s="16">
        <f t="shared" si="5"/>
        <v>1.4638764009717514E-2</v>
      </c>
      <c r="O14" s="16">
        <f t="shared" si="11"/>
        <v>2.0433857192320337E-3</v>
      </c>
      <c r="P14" s="28">
        <f t="shared" si="0"/>
        <v>1.1444578221056421E-10</v>
      </c>
      <c r="R14" s="27">
        <f t="shared" si="6"/>
        <v>9.7928436911488559E-3</v>
      </c>
      <c r="S14" s="16">
        <f t="shared" si="12"/>
        <v>1.091145145228975E-2</v>
      </c>
      <c r="T14" s="16">
        <f t="shared" si="7"/>
        <v>8.6978976202255077E-3</v>
      </c>
      <c r="U14" s="16">
        <f t="shared" si="13"/>
        <v>8.6838911057562796E-3</v>
      </c>
      <c r="V14" s="16">
        <f t="shared" si="8"/>
        <v>8.7004423773370202E-3</v>
      </c>
      <c r="W14" s="16">
        <f t="shared" si="14"/>
        <v>2.0433857192320337E-3</v>
      </c>
      <c r="X14" s="28">
        <f t="shared" si="1"/>
        <v>5.4782161523521061E-12</v>
      </c>
    </row>
    <row r="15" spans="1:24" x14ac:dyDescent="0.3">
      <c r="A15">
        <f t="shared" si="9"/>
        <v>12</v>
      </c>
      <c r="B15">
        <v>2.23</v>
      </c>
      <c r="C15">
        <f t="shared" si="15"/>
        <v>0.96536796536796532</v>
      </c>
      <c r="D15">
        <v>30.98</v>
      </c>
      <c r="E15">
        <f t="shared" si="16"/>
        <v>0.97219083490269931</v>
      </c>
      <c r="J15" s="27">
        <f t="shared" si="2"/>
        <v>9.523809523809601E-3</v>
      </c>
      <c r="K15" s="16">
        <f t="shared" si="3"/>
        <v>1.1498613427332721E-2</v>
      </c>
      <c r="L15" s="16">
        <f t="shared" si="10"/>
        <v>9.5814102523683713E-3</v>
      </c>
      <c r="M15" s="16">
        <f t="shared" si="4"/>
        <v>1.2472704164113836E-2</v>
      </c>
      <c r="N15" s="16">
        <f t="shared" si="5"/>
        <v>1.2735724688454233E-2</v>
      </c>
      <c r="O15" s="16">
        <f t="shared" si="11"/>
        <v>1.2393760883331792E-3</v>
      </c>
      <c r="P15" s="28">
        <f t="shared" si="0"/>
        <v>6.1991465364055616E-12</v>
      </c>
      <c r="R15" s="27">
        <f t="shared" si="6"/>
        <v>8.4118016321406142E-3</v>
      </c>
      <c r="S15" s="16">
        <f t="shared" si="12"/>
        <v>9.224187823689084E-3</v>
      </c>
      <c r="T15" s="16">
        <f t="shared" si="7"/>
        <v>7.3529210729652321E-3</v>
      </c>
      <c r="U15" s="16">
        <f t="shared" si="13"/>
        <v>7.0740312930737681E-3</v>
      </c>
      <c r="V15" s="16">
        <f t="shared" si="8"/>
        <v>7.0875142135383871E-3</v>
      </c>
      <c r="W15" s="16">
        <f t="shared" si="14"/>
        <v>1.2393760883331792E-3</v>
      </c>
      <c r="X15" s="28">
        <f t="shared" si="1"/>
        <v>2.2176394581807165E-13</v>
      </c>
    </row>
    <row r="16" spans="1:24" x14ac:dyDescent="0.3">
      <c r="A16">
        <f t="shared" si="9"/>
        <v>13</v>
      </c>
      <c r="B16">
        <v>2.2599999999999998</v>
      </c>
      <c r="C16">
        <f t="shared" si="15"/>
        <v>0.9722943722943721</v>
      </c>
      <c r="D16">
        <v>31.19</v>
      </c>
      <c r="E16">
        <f t="shared" si="16"/>
        <v>0.97815442561205268</v>
      </c>
      <c r="J16" s="27">
        <f t="shared" si="2"/>
        <v>6.9264069264067807E-3</v>
      </c>
      <c r="K16" s="16">
        <f t="shared" si="3"/>
        <v>8.4123740392077102E-3</v>
      </c>
      <c r="L16" s="16">
        <f t="shared" si="10"/>
        <v>7.0097501212125933E-3</v>
      </c>
      <c r="M16" s="16">
        <f t="shared" si="4"/>
        <v>1.0915843412200343E-2</v>
      </c>
      <c r="N16" s="16">
        <f t="shared" si="5"/>
        <v>1.1146033338948966E-2</v>
      </c>
      <c r="O16" s="16">
        <f t="shared" si="11"/>
        <v>7.5171959648878618E-4</v>
      </c>
      <c r="P16" s="28">
        <f t="shared" si="0"/>
        <v>3.0995732682027813E-13</v>
      </c>
      <c r="R16" s="27">
        <f t="shared" si="6"/>
        <v>5.9635907093533724E-3</v>
      </c>
      <c r="S16" s="16">
        <f t="shared" si="12"/>
        <v>7.0232847715124783E-3</v>
      </c>
      <c r="T16" s="16">
        <f t="shared" si="7"/>
        <v>5.5985046689169165E-3</v>
      </c>
      <c r="U16" s="16">
        <f t="shared" si="13"/>
        <v>5.7969160006992012E-3</v>
      </c>
      <c r="V16" s="16">
        <f t="shared" si="8"/>
        <v>5.8079647724870826E-3</v>
      </c>
      <c r="W16" s="16">
        <f t="shared" si="14"/>
        <v>7.5171959648878618E-4</v>
      </c>
      <c r="X16" s="28">
        <f t="shared" si="1"/>
        <v>8.2866808010434104E-15</v>
      </c>
    </row>
    <row r="17" spans="1:24" x14ac:dyDescent="0.3">
      <c r="A17">
        <f t="shared" si="9"/>
        <v>14</v>
      </c>
      <c r="B17">
        <v>2.2599999999999998</v>
      </c>
      <c r="C17">
        <f t="shared" si="15"/>
        <v>0.9783549783549782</v>
      </c>
      <c r="D17">
        <v>31.37</v>
      </c>
      <c r="E17">
        <f t="shared" si="16"/>
        <v>0.98279974890144384</v>
      </c>
      <c r="J17" s="27">
        <f t="shared" si="2"/>
        <v>6.0606060606060996E-3</v>
      </c>
      <c r="K17" s="16">
        <f t="shared" si="3"/>
        <v>6.8249306536516223E-3</v>
      </c>
      <c r="L17" s="16">
        <f t="shared" si="10"/>
        <v>5.6869866049379493E-3</v>
      </c>
      <c r="M17" s="16">
        <f t="shared" si="4"/>
        <v>9.6023035882655712E-3</v>
      </c>
      <c r="N17" s="16">
        <f t="shared" si="5"/>
        <v>9.8047939938287754E-3</v>
      </c>
      <c r="O17" s="16">
        <f t="shared" si="11"/>
        <v>4.5594098277725801E-4</v>
      </c>
      <c r="P17" s="28">
        <f t="shared" si="0"/>
        <v>1.4390875888084344E-14</v>
      </c>
      <c r="R17" s="27">
        <f t="shared" si="6"/>
        <v>4.6453232893911567E-3</v>
      </c>
      <c r="S17" s="16">
        <f t="shared" si="12"/>
        <v>5.4181607710805865E-3</v>
      </c>
      <c r="T17" s="16">
        <f t="shared" si="7"/>
        <v>4.3190044773458247E-3</v>
      </c>
      <c r="U17" s="16">
        <f t="shared" si="13"/>
        <v>4.7747264792425753E-3</v>
      </c>
      <c r="V17" s="16">
        <f t="shared" si="8"/>
        <v>4.7838269842718608E-3</v>
      </c>
      <c r="W17" s="16">
        <f t="shared" si="14"/>
        <v>4.5594098277725801E-4</v>
      </c>
      <c r="X17" s="28">
        <f t="shared" si="1"/>
        <v>2.8753161056193552E-16</v>
      </c>
    </row>
    <row r="18" spans="1:24" x14ac:dyDescent="0.3">
      <c r="A18">
        <f t="shared" si="9"/>
        <v>15</v>
      </c>
      <c r="B18">
        <v>2.27</v>
      </c>
      <c r="C18">
        <f t="shared" si="15"/>
        <v>0.98268398268398249</v>
      </c>
      <c r="D18">
        <v>31.48</v>
      </c>
      <c r="E18">
        <f t="shared" si="16"/>
        <v>0.98706842435655995</v>
      </c>
      <c r="J18" s="27">
        <f t="shared" si="2"/>
        <v>4.3290043290042934E-3</v>
      </c>
      <c r="K18" s="16">
        <f t="shared" si="3"/>
        <v>5.1401803845146747E-3</v>
      </c>
      <c r="L18" s="16">
        <f t="shared" si="10"/>
        <v>4.2831405148504101E-3</v>
      </c>
      <c r="M18" s="16">
        <f t="shared" si="4"/>
        <v>8.4845354361940285E-3</v>
      </c>
      <c r="N18" s="16">
        <f t="shared" si="5"/>
        <v>8.6634546929846411E-3</v>
      </c>
      <c r="O18" s="16">
        <f t="shared" si="11"/>
        <v>2.7654218507391676E-4</v>
      </c>
      <c r="P18" s="28">
        <f t="shared" si="0"/>
        <v>6.2360462181698823E-16</v>
      </c>
      <c r="R18" s="27">
        <f t="shared" si="6"/>
        <v>4.268675455116111E-3</v>
      </c>
      <c r="S18" s="16">
        <f t="shared" si="12"/>
        <v>4.6422581828045656E-3</v>
      </c>
      <c r="T18" s="16">
        <f t="shared" si="7"/>
        <v>3.7005055264407549E-3</v>
      </c>
      <c r="U18" s="16">
        <f t="shared" si="13"/>
        <v>3.9503401105608488E-3</v>
      </c>
      <c r="V18" s="16">
        <f t="shared" si="8"/>
        <v>3.9578693565186715E-3</v>
      </c>
      <c r="W18" s="16">
        <f t="shared" si="14"/>
        <v>2.7654218507391676E-4</v>
      </c>
      <c r="X18" s="28">
        <f t="shared" si="1"/>
        <v>9.3116653643923731E-18</v>
      </c>
    </row>
    <row r="19" spans="1:24" x14ac:dyDescent="0.3">
      <c r="A19">
        <f t="shared" si="9"/>
        <v>16</v>
      </c>
      <c r="B19">
        <v>2.2799999999999998</v>
      </c>
      <c r="C19">
        <f t="shared" si="15"/>
        <v>0.98614718614718599</v>
      </c>
      <c r="D19">
        <v>31.54</v>
      </c>
      <c r="E19">
        <f t="shared" si="16"/>
        <v>0.99039548022598856</v>
      </c>
      <c r="J19" s="27">
        <f t="shared" si="2"/>
        <v>3.4632034632035014E-3</v>
      </c>
      <c r="K19" s="16">
        <f t="shared" si="3"/>
        <v>4.008220962629633E-3</v>
      </c>
      <c r="L19" s="16">
        <f t="shared" si="10"/>
        <v>3.3399165619228824E-3</v>
      </c>
      <c r="M19" s="16">
        <f t="shared" si="4"/>
        <v>7.5262820222238794E-3</v>
      </c>
      <c r="N19" s="16">
        <f t="shared" si="5"/>
        <v>7.6849939276593176E-3</v>
      </c>
      <c r="O19" s="16">
        <f t="shared" si="11"/>
        <v>1.6773131395125587E-4</v>
      </c>
      <c r="P19" s="28">
        <f t="shared" si="0"/>
        <v>2.5333937761315145E-17</v>
      </c>
      <c r="R19" s="27">
        <f t="shared" si="6"/>
        <v>3.3270558694286079E-3</v>
      </c>
      <c r="S19" s="16">
        <f t="shared" si="12"/>
        <v>3.7544966212757942E-3</v>
      </c>
      <c r="T19" s="16">
        <f t="shared" si="7"/>
        <v>2.9928398957855037E-3</v>
      </c>
      <c r="U19" s="16">
        <f t="shared" si="13"/>
        <v>3.281106021242305E-3</v>
      </c>
      <c r="V19" s="16">
        <f t="shared" si="8"/>
        <v>3.2873597243555084E-3</v>
      </c>
      <c r="W19" s="16">
        <f t="shared" si="14"/>
        <v>1.6773131395125587E-4</v>
      </c>
      <c r="X19" s="28">
        <f t="shared" si="1"/>
        <v>2.8270949829971218E-19</v>
      </c>
    </row>
    <row r="20" spans="1:24" x14ac:dyDescent="0.3">
      <c r="A20">
        <f t="shared" si="9"/>
        <v>17</v>
      </c>
      <c r="B20">
        <v>2.2799999999999998</v>
      </c>
      <c r="C20">
        <f t="shared" si="15"/>
        <v>0.98961038961038961</v>
      </c>
      <c r="D20">
        <v>31.66</v>
      </c>
      <c r="E20">
        <f t="shared" si="16"/>
        <v>0.99322033898305084</v>
      </c>
      <c r="J20" s="27">
        <f t="shared" si="2"/>
        <v>3.4632034632036124E-3</v>
      </c>
      <c r="K20" s="16">
        <f t="shared" si="3"/>
        <v>3.6403341505170691E-3</v>
      </c>
      <c r="L20" s="16">
        <f t="shared" si="10"/>
        <v>3.0333687772214979E-3</v>
      </c>
      <c r="M20" s="16">
        <f t="shared" si="4"/>
        <v>6.6994363167267841E-3</v>
      </c>
      <c r="N20" s="16">
        <f t="shared" si="5"/>
        <v>6.8407119558845228E-3</v>
      </c>
      <c r="O20" s="16">
        <f t="shared" si="11"/>
        <v>1.0173418450532208E-4</v>
      </c>
      <c r="P20" s="28">
        <f t="shared" si="0"/>
        <v>9.6865056146204958E-19</v>
      </c>
      <c r="R20" s="27">
        <f t="shared" si="6"/>
        <v>2.8248587570622874E-3</v>
      </c>
      <c r="S20" s="16">
        <f t="shared" si="12"/>
        <v>3.1269910629316772E-3</v>
      </c>
      <c r="T20" s="16">
        <f t="shared" si="7"/>
        <v>2.4926333809634793E-3</v>
      </c>
      <c r="U20" s="16">
        <f t="shared" si="13"/>
        <v>2.7347107268715378E-3</v>
      </c>
      <c r="V20" s="16">
        <f t="shared" si="8"/>
        <v>2.7399230147024172E-3</v>
      </c>
      <c r="W20" s="16">
        <f t="shared" si="14"/>
        <v>1.0173418450532208E-4</v>
      </c>
      <c r="X20" s="28">
        <f t="shared" si="1"/>
        <v>8.0783841420100666E-21</v>
      </c>
    </row>
    <row r="21" spans="1:24" x14ac:dyDescent="0.3">
      <c r="A21">
        <f t="shared" si="9"/>
        <v>18</v>
      </c>
      <c r="B21">
        <v>2.2999999999999998</v>
      </c>
      <c r="C21">
        <f t="shared" si="15"/>
        <v>0.99307359307359311</v>
      </c>
      <c r="D21">
        <v>31.72</v>
      </c>
      <c r="E21">
        <f t="shared" si="16"/>
        <v>0.99535467671060895</v>
      </c>
      <c r="J21" s="27">
        <f t="shared" si="2"/>
        <v>3.4632034632035014E-3</v>
      </c>
      <c r="K21" s="16">
        <f t="shared" si="3"/>
        <v>3.5207709365804108E-3</v>
      </c>
      <c r="L21" s="16">
        <f t="shared" si="10"/>
        <v>2.9337407471934857E-3</v>
      </c>
      <c r="M21" s="16">
        <f t="shared" si="4"/>
        <v>5.9818914270142057E-3</v>
      </c>
      <c r="N21" s="16">
        <f t="shared" si="5"/>
        <v>6.108035701662155E-3</v>
      </c>
      <c r="O21" s="16">
        <f t="shared" si="11"/>
        <v>6.1704902043339781E-5</v>
      </c>
      <c r="P21" s="28">
        <f t="shared" si="0"/>
        <v>3.4979048052796244E-20</v>
      </c>
      <c r="R21" s="27">
        <f t="shared" si="6"/>
        <v>2.134337727558111E-3</v>
      </c>
      <c r="S21" s="16">
        <f t="shared" si="12"/>
        <v>2.45695006155452E-3</v>
      </c>
      <c r="T21" s="16">
        <f t="shared" si="7"/>
        <v>1.9585203844648415E-3</v>
      </c>
      <c r="U21" s="16">
        <f t="shared" si="13"/>
        <v>2.286362099808125E-3</v>
      </c>
      <c r="V21" s="16">
        <f t="shared" si="8"/>
        <v>2.2907198467656789E-3</v>
      </c>
      <c r="W21" s="16">
        <f t="shared" si="14"/>
        <v>6.1704902043339781E-5</v>
      </c>
      <c r="X21" s="28">
        <f t="shared" si="1"/>
        <v>2.1801431869351614E-22</v>
      </c>
    </row>
    <row r="22" spans="1:24" x14ac:dyDescent="0.3">
      <c r="A22">
        <f t="shared" si="9"/>
        <v>19</v>
      </c>
      <c r="B22">
        <v>2.2999999999999998</v>
      </c>
      <c r="C22">
        <f t="shared" si="15"/>
        <v>0.9956709956709956</v>
      </c>
      <c r="D22">
        <v>31.82</v>
      </c>
      <c r="E22">
        <f t="shared" si="16"/>
        <v>0.99736346516007535</v>
      </c>
      <c r="J22" s="27">
        <f t="shared" si="2"/>
        <v>2.5974025974024872E-3</v>
      </c>
      <c r="K22" s="16">
        <f t="shared" si="3"/>
        <v>2.8974973076353124E-3</v>
      </c>
      <c r="L22" s="16">
        <f t="shared" si="10"/>
        <v>2.4143876637851788E-3</v>
      </c>
      <c r="M22" s="16">
        <f t="shared" si="4"/>
        <v>5.3560360364628438E-3</v>
      </c>
      <c r="N22" s="16">
        <f t="shared" si="5"/>
        <v>5.4689824663757521E-3</v>
      </c>
      <c r="O22" s="16">
        <f t="shared" si="11"/>
        <v>3.7425914943850299E-5</v>
      </c>
      <c r="P22" s="28">
        <f t="shared" si="0"/>
        <v>1.1966516439114506E-21</v>
      </c>
      <c r="R22" s="27">
        <f t="shared" si="6"/>
        <v>2.0087884494663921E-3</v>
      </c>
      <c r="S22" s="16">
        <f t="shared" si="12"/>
        <v>2.1544409733950335E-3</v>
      </c>
      <c r="T22" s="16">
        <f t="shared" si="7"/>
        <v>1.7173798643879423E-3</v>
      </c>
      <c r="U22" s="16">
        <f t="shared" si="13"/>
        <v>1.9168288254266367E-3</v>
      </c>
      <c r="V22" s="16">
        <f t="shared" si="8"/>
        <v>1.920482251532176E-3</v>
      </c>
      <c r="W22" s="16">
        <f t="shared" si="14"/>
        <v>3.7425914943850299E-5</v>
      </c>
      <c r="X22" s="28">
        <f t="shared" si="1"/>
        <v>5.5739675928771838E-24</v>
      </c>
    </row>
    <row r="23" spans="1:24" x14ac:dyDescent="0.3">
      <c r="A23">
        <f t="shared" si="9"/>
        <v>20</v>
      </c>
      <c r="B23">
        <v>2.31</v>
      </c>
      <c r="C23">
        <f t="shared" si="15"/>
        <v>0.9982683982683983</v>
      </c>
      <c r="D23">
        <v>31.82</v>
      </c>
      <c r="E23">
        <f t="shared" si="16"/>
        <v>0.99861895794099176</v>
      </c>
      <c r="J23" s="27">
        <f t="shared" si="2"/>
        <v>2.5974025974027093E-3</v>
      </c>
      <c r="K23" s="16">
        <f t="shared" si="3"/>
        <v>2.6949333782283051E-3</v>
      </c>
      <c r="L23" s="16">
        <f t="shared" si="10"/>
        <v>2.2455979116776039E-3</v>
      </c>
      <c r="M23" s="16">
        <f t="shared" si="4"/>
        <v>4.8076799660630764E-3</v>
      </c>
      <c r="N23" s="16">
        <f t="shared" si="5"/>
        <v>4.9090628329134722E-3</v>
      </c>
      <c r="O23" s="16">
        <f t="shared" si="11"/>
        <v>2.269996488124243E-5</v>
      </c>
      <c r="P23" s="28">
        <f t="shared" si="0"/>
        <v>3.8891178427122139E-23</v>
      </c>
      <c r="R23" s="27">
        <f t="shared" si="6"/>
        <v>1.2554927809164118E-3</v>
      </c>
      <c r="S23" s="16">
        <f t="shared" si="12"/>
        <v>1.5476509434719638E-3</v>
      </c>
      <c r="T23" s="16">
        <f t="shared" si="7"/>
        <v>1.2336864180740796E-3</v>
      </c>
      <c r="U23" s="16">
        <f t="shared" si="13"/>
        <v>1.6110489889895304E-3</v>
      </c>
      <c r="V23" s="16">
        <f t="shared" si="8"/>
        <v>1.6141196066449001E-3</v>
      </c>
      <c r="W23" s="16">
        <f t="shared" si="14"/>
        <v>2.269996488124243E-5</v>
      </c>
      <c r="X23" s="28">
        <f t="shared" si="1"/>
        <v>1.3538403884203513E-25</v>
      </c>
    </row>
    <row r="24" spans="1:24" x14ac:dyDescent="0.3">
      <c r="A24">
        <f t="shared" si="9"/>
        <v>21</v>
      </c>
      <c r="B24">
        <v>2.31</v>
      </c>
      <c r="C24">
        <f t="shared" si="15"/>
        <v>0.99913419913419921</v>
      </c>
      <c r="D24">
        <v>31.86</v>
      </c>
      <c r="E24">
        <f t="shared" si="16"/>
        <v>0.99949780288763346</v>
      </c>
      <c r="J24" s="27">
        <f t="shared" si="2"/>
        <v>8.658008658009031E-4</v>
      </c>
      <c r="K24" s="16">
        <f t="shared" si="3"/>
        <v>1.4602689323398087E-3</v>
      </c>
      <c r="L24" s="16">
        <f t="shared" si="10"/>
        <v>1.2167932949443616E-3</v>
      </c>
      <c r="M24" s="16">
        <f t="shared" si="4"/>
        <v>4.3252729876501559E-3</v>
      </c>
      <c r="N24" s="16">
        <f t="shared" si="5"/>
        <v>4.4164830054745407E-3</v>
      </c>
      <c r="O24" s="16">
        <f t="shared" si="11"/>
        <v>1.3768224674873576E-5</v>
      </c>
      <c r="P24" s="28">
        <f t="shared" si="0"/>
        <v>1.2037745703633044E-24</v>
      </c>
      <c r="R24" s="27">
        <f t="shared" si="6"/>
        <v>8.7884494664169921E-4</v>
      </c>
      <c r="S24" s="16">
        <f t="shared" si="12"/>
        <v>1.0962068956115352E-3</v>
      </c>
      <c r="T24" s="16">
        <f t="shared" si="7"/>
        <v>8.738246593777882E-4</v>
      </c>
      <c r="U24" s="16">
        <f t="shared" si="13"/>
        <v>1.3571256994749303E-3</v>
      </c>
      <c r="V24" s="16">
        <f t="shared" si="8"/>
        <v>1.3597123459157549E-3</v>
      </c>
      <c r="W24" s="16">
        <f t="shared" si="14"/>
        <v>1.3768224674873576E-5</v>
      </c>
      <c r="X24" s="28">
        <f t="shared" si="1"/>
        <v>3.1317075088921421E-27</v>
      </c>
    </row>
    <row r="25" spans="1:24" x14ac:dyDescent="0.3">
      <c r="A25">
        <f t="shared" si="9"/>
        <v>22</v>
      </c>
      <c r="B25">
        <v>2.31</v>
      </c>
      <c r="C25">
        <f t="shared" si="15"/>
        <v>1</v>
      </c>
      <c r="D25">
        <v>31.86</v>
      </c>
      <c r="E25">
        <f t="shared" si="16"/>
        <v>0.99974890144381656</v>
      </c>
      <c r="J25" s="27">
        <f t="shared" si="2"/>
        <v>8.6580086580079207E-4</v>
      </c>
      <c r="K25" s="16">
        <f t="shared" si="3"/>
        <v>1.0590029874259724E-3</v>
      </c>
      <c r="L25" s="16">
        <f t="shared" si="10"/>
        <v>8.8243179450599532E-4</v>
      </c>
      <c r="M25" s="16">
        <f t="shared" si="4"/>
        <v>3.899327626040261E-3</v>
      </c>
      <c r="N25" s="16">
        <f t="shared" si="5"/>
        <v>3.9815554399354183E-3</v>
      </c>
      <c r="O25" s="16">
        <f t="shared" si="11"/>
        <v>8.3508503951228313E-6</v>
      </c>
      <c r="P25" s="28">
        <f t="shared" si="0"/>
        <v>3.5566066851643087E-26</v>
      </c>
      <c r="R25" s="27">
        <f t="shared" si="6"/>
        <v>2.5109855618310473E-4</v>
      </c>
      <c r="S25" s="16">
        <f t="shared" si="12"/>
        <v>5.2575876649734463E-4</v>
      </c>
      <c r="T25" s="16">
        <f t="shared" si="7"/>
        <v>4.1910060672728527E-4</v>
      </c>
      <c r="U25" s="16">
        <f t="shared" si="13"/>
        <v>1.1455911067524249E-3</v>
      </c>
      <c r="V25" s="16">
        <f t="shared" si="8"/>
        <v>1.147774573737147E-3</v>
      </c>
      <c r="W25" s="16">
        <f t="shared" si="14"/>
        <v>8.3508503951228313E-6</v>
      </c>
      <c r="X25" s="28">
        <f t="shared" si="1"/>
        <v>6.9149896609234128E-29</v>
      </c>
    </row>
    <row r="26" spans="1:24" x14ac:dyDescent="0.3">
      <c r="A26">
        <f t="shared" si="9"/>
        <v>23</v>
      </c>
      <c r="B26">
        <v>2.31</v>
      </c>
      <c r="C26">
        <f t="shared" si="15"/>
        <v>1</v>
      </c>
      <c r="D26">
        <v>31.86</v>
      </c>
      <c r="E26">
        <f t="shared" si="16"/>
        <v>1.0000000000000002</v>
      </c>
      <c r="J26" s="27">
        <f t="shared" si="2"/>
        <v>0</v>
      </c>
      <c r="K26" s="16">
        <f t="shared" si="3"/>
        <v>3.4417597091344101E-4</v>
      </c>
      <c r="L26" s="16">
        <f t="shared" si="10"/>
        <v>2.8679033321444848E-4</v>
      </c>
      <c r="M26" s="16">
        <f t="shared" si="4"/>
        <v>3.521986442228656E-3</v>
      </c>
      <c r="N26" s="16">
        <f t="shared" si="5"/>
        <v>3.5962570020500006E-3</v>
      </c>
      <c r="O26" s="16">
        <f t="shared" si="11"/>
        <v>5.0650467993153544E-6</v>
      </c>
      <c r="P26" s="28">
        <f t="shared" si="0"/>
        <v>1.0051279762420874E-27</v>
      </c>
      <c r="R26" s="27">
        <f t="shared" si="6"/>
        <v>2.5109855618365984E-4</v>
      </c>
      <c r="S26" s="16">
        <f t="shared" si="12"/>
        <v>3.4036312453560741E-4</v>
      </c>
      <c r="T26" s="16">
        <f t="shared" si="7"/>
        <v>2.7131528961617051E-4</v>
      </c>
      <c r="U26" s="16">
        <f t="shared" si="13"/>
        <v>9.6885981205447258E-4</v>
      </c>
      <c r="V26" s="16">
        <f t="shared" si="8"/>
        <v>9.7070643376790582E-4</v>
      </c>
      <c r="W26" s="16">
        <f t="shared" si="14"/>
        <v>5.0650467993153544E-6</v>
      </c>
      <c r="X26" s="28">
        <f t="shared" si="1"/>
        <v>1.4604837238192835E-30</v>
      </c>
    </row>
    <row r="27" spans="1:24" x14ac:dyDescent="0.3">
      <c r="A27">
        <f t="shared" si="9"/>
        <v>24</v>
      </c>
      <c r="B27">
        <v>2.31</v>
      </c>
      <c r="C27">
        <f t="shared" si="15"/>
        <v>1</v>
      </c>
      <c r="D27">
        <v>31.86</v>
      </c>
      <c r="E27">
        <f t="shared" si="16"/>
        <v>1.0000000000000002</v>
      </c>
      <c r="J27" s="27">
        <f t="shared" si="2"/>
        <v>0</v>
      </c>
      <c r="K27" s="16">
        <f t="shared" si="3"/>
        <v>1.1185719054686832E-4</v>
      </c>
      <c r="L27" s="16">
        <f t="shared" si="10"/>
        <v>9.3206858294695748E-5</v>
      </c>
      <c r="M27" s="16">
        <f t="shared" si="4"/>
        <v>3.1866933329284882E-3</v>
      </c>
      <c r="N27" s="16">
        <f t="shared" si="5"/>
        <v>3.2538933354548409E-3</v>
      </c>
      <c r="O27" s="16">
        <f t="shared" si="11"/>
        <v>3.0721061766641045E-6</v>
      </c>
      <c r="P27" s="28">
        <f t="shared" si="0"/>
        <v>2.7222216023223198E-29</v>
      </c>
      <c r="R27" s="27">
        <f t="shared" si="6"/>
        <v>0</v>
      </c>
      <c r="S27" s="16">
        <f t="shared" si="12"/>
        <v>1.1061801547407239E-4</v>
      </c>
      <c r="T27" s="16">
        <f t="shared" si="7"/>
        <v>8.8177469125255399E-5</v>
      </c>
      <c r="U27" s="16">
        <f t="shared" si="13"/>
        <v>8.2081803277254907E-4</v>
      </c>
      <c r="V27" s="16">
        <f t="shared" si="8"/>
        <v>8.2238249068816976E-4</v>
      </c>
      <c r="W27" s="16">
        <f t="shared" si="14"/>
        <v>3.0721061766641045E-6</v>
      </c>
      <c r="X27" s="28">
        <f t="shared" si="1"/>
        <v>2.9560957836445908E-32</v>
      </c>
    </row>
    <row r="28" spans="1:24" x14ac:dyDescent="0.3">
      <c r="A28">
        <f t="shared" si="9"/>
        <v>25</v>
      </c>
      <c r="B28">
        <v>2.31</v>
      </c>
      <c r="C28">
        <f t="shared" si="15"/>
        <v>1</v>
      </c>
      <c r="D28">
        <v>31.86</v>
      </c>
      <c r="E28">
        <f t="shared" si="16"/>
        <v>1.0000000000000002</v>
      </c>
      <c r="J28" s="27">
        <f t="shared" si="2"/>
        <v>0</v>
      </c>
      <c r="K28" s="16">
        <f t="shared" si="3"/>
        <v>3.6353586927732201E-5</v>
      </c>
      <c r="L28" s="16">
        <f t="shared" si="10"/>
        <v>3.0292228945776116E-5</v>
      </c>
      <c r="M28" s="16">
        <f t="shared" si="4"/>
        <v>2.8879408329664422E-3</v>
      </c>
      <c r="N28" s="16">
        <f t="shared" si="5"/>
        <v>2.9488408352559494E-3</v>
      </c>
      <c r="O28" s="16">
        <f t="shared" si="11"/>
        <v>1.8633265860393359E-6</v>
      </c>
      <c r="P28" s="28">
        <f t="shared" si="0"/>
        <v>7.0777761660380331E-31</v>
      </c>
      <c r="R28" s="27">
        <f t="shared" si="6"/>
        <v>0</v>
      </c>
      <c r="S28" s="16">
        <f t="shared" si="12"/>
        <v>3.5950855029073524E-5</v>
      </c>
      <c r="T28" s="16">
        <f t="shared" si="7"/>
        <v>2.8657677465708E-5</v>
      </c>
      <c r="U28" s="16">
        <f t="shared" si="13"/>
        <v>6.9651145569401413E-4</v>
      </c>
      <c r="V28" s="16">
        <f t="shared" si="8"/>
        <v>6.9783898849260569E-4</v>
      </c>
      <c r="W28" s="16">
        <f t="shared" si="14"/>
        <v>1.8633265860393359E-6</v>
      </c>
      <c r="X28" s="28">
        <f t="shared" si="1"/>
        <v>5.7439614382420224E-34</v>
      </c>
    </row>
    <row r="29" spans="1:24" x14ac:dyDescent="0.3">
      <c r="A29">
        <f t="shared" si="9"/>
        <v>26</v>
      </c>
      <c r="B29">
        <v>2.31</v>
      </c>
      <c r="C29">
        <f t="shared" si="15"/>
        <v>1</v>
      </c>
      <c r="D29">
        <v>31.86</v>
      </c>
      <c r="E29">
        <f t="shared" si="16"/>
        <v>1.0000000000000002</v>
      </c>
      <c r="J29" s="27">
        <f t="shared" si="2"/>
        <v>0</v>
      </c>
      <c r="K29" s="16">
        <f t="shared" si="3"/>
        <v>1.1814915751512964E-5</v>
      </c>
      <c r="L29" s="16">
        <f t="shared" si="10"/>
        <v>9.8449744073772369E-6</v>
      </c>
      <c r="M29" s="16">
        <f t="shared" si="4"/>
        <v>2.6210737078460247E-3</v>
      </c>
      <c r="N29" s="16">
        <f t="shared" si="5"/>
        <v>2.6763460988128533E-3</v>
      </c>
      <c r="O29" s="16">
        <f t="shared" si="11"/>
        <v>1.1301647034905273E-6</v>
      </c>
      <c r="P29" s="28">
        <f t="shared" si="0"/>
        <v>1.7694440415095077E-32</v>
      </c>
      <c r="R29" s="27">
        <f t="shared" si="6"/>
        <v>0</v>
      </c>
      <c r="S29" s="16">
        <f t="shared" si="12"/>
        <v>1.1684027884448894E-5</v>
      </c>
      <c r="T29" s="16">
        <f t="shared" si="7"/>
        <v>9.3137451763550989E-6</v>
      </c>
      <c r="U29" s="16">
        <f t="shared" si="13"/>
        <v>5.9190575373700564E-4</v>
      </c>
      <c r="V29" s="16">
        <f t="shared" si="8"/>
        <v>5.9303391077640132E-4</v>
      </c>
      <c r="W29" s="16">
        <f t="shared" si="14"/>
        <v>1.1301647034905273E-6</v>
      </c>
      <c r="X29" s="28">
        <f t="shared" si="1"/>
        <v>1.0731765886611276E-35</v>
      </c>
    </row>
    <row r="30" spans="1:24" x14ac:dyDescent="0.3">
      <c r="A30">
        <f t="shared" si="9"/>
        <v>27</v>
      </c>
      <c r="B30">
        <v>2.31</v>
      </c>
      <c r="C30">
        <f t="shared" si="15"/>
        <v>1</v>
      </c>
      <c r="D30">
        <v>31.86</v>
      </c>
      <c r="E30">
        <f t="shared" si="16"/>
        <v>1.0000000000000002</v>
      </c>
      <c r="J30" s="27">
        <f t="shared" si="2"/>
        <v>0</v>
      </c>
      <c r="K30" s="16">
        <f t="shared" si="3"/>
        <v>3.8398476192417128E-6</v>
      </c>
      <c r="L30" s="16">
        <f t="shared" si="10"/>
        <v>3.1996166823976015E-6</v>
      </c>
      <c r="M30" s="16">
        <f t="shared" si="4"/>
        <v>2.3821347564432749E-3</v>
      </c>
      <c r="N30" s="16">
        <f t="shared" si="5"/>
        <v>2.432368476769288E-3</v>
      </c>
      <c r="O30" s="16">
        <f t="shared" si="11"/>
        <v>6.8547954319204212E-7</v>
      </c>
      <c r="P30" s="28">
        <f t="shared" si="0"/>
        <v>4.2597726925228908E-34</v>
      </c>
      <c r="R30" s="27">
        <f t="shared" si="6"/>
        <v>0</v>
      </c>
      <c r="S30" s="16">
        <f t="shared" si="12"/>
        <v>3.7973090624458901E-6</v>
      </c>
      <c r="T30" s="16">
        <f t="shared" si="7"/>
        <v>3.0269671823154069E-6</v>
      </c>
      <c r="U30" s="16">
        <f t="shared" si="13"/>
        <v>5.0370122668458935E-4</v>
      </c>
      <c r="V30" s="16">
        <f t="shared" si="8"/>
        <v>5.0466126817945369E-4</v>
      </c>
      <c r="W30" s="16">
        <f t="shared" si="14"/>
        <v>6.8547954319204212E-7</v>
      </c>
      <c r="X30" s="28">
        <f t="shared" si="1"/>
        <v>1.9308140398860478E-37</v>
      </c>
    </row>
    <row r="31" spans="1:24" x14ac:dyDescent="0.3">
      <c r="A31">
        <f t="shared" si="9"/>
        <v>28</v>
      </c>
      <c r="B31">
        <v>2.31</v>
      </c>
      <c r="C31">
        <f t="shared" si="15"/>
        <v>1</v>
      </c>
      <c r="D31">
        <v>31.86</v>
      </c>
      <c r="E31">
        <f t="shared" si="16"/>
        <v>1.0000000000000002</v>
      </c>
      <c r="J31" s="27">
        <f t="shared" si="2"/>
        <v>0</v>
      </c>
      <c r="K31" s="16">
        <f t="shared" si="3"/>
        <v>1.2479504762535564E-6</v>
      </c>
      <c r="L31" s="16">
        <f t="shared" si="10"/>
        <v>1.0398754217792202E-6</v>
      </c>
      <c r="M31" s="16">
        <f t="shared" si="4"/>
        <v>2.1677426283633803E-3</v>
      </c>
      <c r="N31" s="16">
        <f t="shared" si="5"/>
        <v>2.2134553138600521E-3</v>
      </c>
      <c r="O31" s="16">
        <f t="shared" si="11"/>
        <v>4.1576435955178383E-7</v>
      </c>
      <c r="P31" s="28">
        <f t="shared" si="0"/>
        <v>9.8887580362138541E-36</v>
      </c>
      <c r="R31" s="27">
        <f t="shared" si="6"/>
        <v>0</v>
      </c>
      <c r="S31" s="16">
        <f t="shared" si="12"/>
        <v>1.234125445294914E-6</v>
      </c>
      <c r="T31" s="16">
        <f t="shared" si="7"/>
        <v>9.837643342525071E-7</v>
      </c>
      <c r="U31" s="16">
        <f t="shared" si="13"/>
        <v>4.2918818315090346E-4</v>
      </c>
      <c r="V31" s="16">
        <f t="shared" si="8"/>
        <v>4.3000620471428613E-4</v>
      </c>
      <c r="W31" s="16">
        <f t="shared" si="14"/>
        <v>4.1576435955178383E-7</v>
      </c>
      <c r="X31" s="28">
        <f t="shared" si="1"/>
        <v>3.3497734733195514E-39</v>
      </c>
    </row>
    <row r="32" spans="1:24" x14ac:dyDescent="0.3">
      <c r="A32">
        <f t="shared" si="9"/>
        <v>29</v>
      </c>
      <c r="B32">
        <v>2.31</v>
      </c>
      <c r="C32">
        <f t="shared" si="15"/>
        <v>1</v>
      </c>
      <c r="D32">
        <v>31.86</v>
      </c>
      <c r="E32">
        <f t="shared" si="16"/>
        <v>1</v>
      </c>
      <c r="J32" s="27">
        <f t="shared" si="2"/>
        <v>0</v>
      </c>
      <c r="K32" s="16">
        <f t="shared" si="3"/>
        <v>4.055839047824058E-7</v>
      </c>
      <c r="L32" s="16">
        <f t="shared" si="10"/>
        <v>3.3795951207824654E-7</v>
      </c>
      <c r="M32" s="16">
        <f t="shared" si="4"/>
        <v>1.97499417965807E-3</v>
      </c>
      <c r="N32" s="16">
        <f t="shared" si="5"/>
        <v>2.016642245535996E-3</v>
      </c>
      <c r="O32" s="16">
        <f t="shared" si="11"/>
        <v>2.5217383128394401E-7</v>
      </c>
      <c r="P32" s="28">
        <f t="shared" si="0"/>
        <v>2.2164457667375883E-37</v>
      </c>
      <c r="R32" s="27">
        <f t="shared" si="6"/>
        <v>0</v>
      </c>
      <c r="S32" s="16">
        <f t="shared" si="12"/>
        <v>4.0109076972084699E-7</v>
      </c>
      <c r="T32" s="16">
        <f t="shared" si="7"/>
        <v>3.1972340863206475E-7</v>
      </c>
      <c r="U32" s="16">
        <f t="shared" si="13"/>
        <v>3.6613328590964984E-4</v>
      </c>
      <c r="V32" s="16">
        <f t="shared" si="8"/>
        <v>3.6683112647167886E-4</v>
      </c>
      <c r="W32" s="16">
        <f t="shared" si="14"/>
        <v>2.5217383128394401E-7</v>
      </c>
      <c r="X32" s="28">
        <f t="shared" si="1"/>
        <v>5.6111317163816708E-41</v>
      </c>
    </row>
    <row r="33" spans="1:24" ht="15" thickBot="1" x14ac:dyDescent="0.35">
      <c r="A33">
        <f t="shared" si="9"/>
        <v>30</v>
      </c>
      <c r="B33">
        <v>2.31</v>
      </c>
      <c r="C33">
        <f t="shared" si="15"/>
        <v>1</v>
      </c>
      <c r="D33">
        <v>31.86</v>
      </c>
      <c r="E33">
        <f t="shared" si="16"/>
        <v>1</v>
      </c>
      <c r="J33" s="29">
        <f t="shared" si="2"/>
        <v>0</v>
      </c>
      <c r="K33" s="30">
        <f t="shared" si="3"/>
        <v>1.3181476905428187E-7</v>
      </c>
      <c r="L33" s="30">
        <f t="shared" si="10"/>
        <v>1.0983684142543012E-7</v>
      </c>
      <c r="M33" s="30">
        <f t="shared" si="4"/>
        <v>1.8013858203171592E-3</v>
      </c>
      <c r="N33" s="30">
        <f t="shared" si="5"/>
        <v>1.8393728868558161E-3</v>
      </c>
      <c r="O33" s="30">
        <f t="shared" si="11"/>
        <v>1.5295116025091289E-7</v>
      </c>
      <c r="P33" s="31">
        <f t="shared" si="0"/>
        <v>4.8022991612647719E-39</v>
      </c>
      <c r="R33" s="29">
        <f t="shared" si="6"/>
        <v>0</v>
      </c>
      <c r="S33" s="30">
        <f t="shared" si="12"/>
        <v>1.3035450015927525E-7</v>
      </c>
      <c r="T33" s="30">
        <f t="shared" si="7"/>
        <v>1.0391010780542102E-7</v>
      </c>
      <c r="U33" s="30">
        <f t="shared" si="13"/>
        <v>3.1268963691799946E-4</v>
      </c>
      <c r="V33" s="30">
        <f t="shared" si="8"/>
        <v>3.1328561526895813E-4</v>
      </c>
      <c r="W33" s="30">
        <f t="shared" si="14"/>
        <v>1.5295116025091289E-7</v>
      </c>
      <c r="X33" s="31">
        <f t="shared" si="1"/>
        <v>9.0857803001837366E-43</v>
      </c>
    </row>
    <row r="34" spans="1:24" x14ac:dyDescent="0.3">
      <c r="K34">
        <f>SUM(K3:K33)</f>
        <v>1.2000961366298293</v>
      </c>
      <c r="M34">
        <f>SUM(M3:M33)</f>
        <v>0.97934781641606605</v>
      </c>
      <c r="S34">
        <f>SUM(S3:S33)</f>
        <v>1.2544929739017614</v>
      </c>
      <c r="U34">
        <f>SUM(U3:U33)</f>
        <v>0.99809765172126719</v>
      </c>
    </row>
    <row r="36" spans="1:24" x14ac:dyDescent="0.3">
      <c r="K36" s="9" t="s">
        <v>48</v>
      </c>
      <c r="L36">
        <f>SUMPRODUCT(L3:L33,$A3:$A33)</f>
        <v>2.9004779659841788</v>
      </c>
      <c r="M36" s="9">
        <f>SUMPRODUCT(M3:M33,$A3:$A33)</f>
        <v>3.8446250674875286</v>
      </c>
      <c r="N36" s="9">
        <f>SUMPRODUCT(N3:N33,$A3:$A33)</f>
        <v>3.925699330761748</v>
      </c>
      <c r="S36" s="9" t="s">
        <v>48</v>
      </c>
      <c r="T36">
        <f>SUMPRODUCT(T3:T33,$A3:$A33)</f>
        <v>2.1886060607492457</v>
      </c>
      <c r="U36" s="9">
        <f>SUMPRODUCT(U3:U33,$A3:$A33)</f>
        <v>2.4365844618251162</v>
      </c>
      <c r="V36" s="9">
        <f>SUMPRODUCT(V3:V33,$A3:$A33)</f>
        <v>2.44122852871471</v>
      </c>
    </row>
    <row r="37" spans="1:24" x14ac:dyDescent="0.3">
      <c r="K37" t="s">
        <v>51</v>
      </c>
      <c r="M37">
        <f>H8</f>
        <v>0.9425</v>
      </c>
      <c r="S37" t="s">
        <v>51</v>
      </c>
      <c r="U37">
        <f>H10</f>
        <v>0.88249999999999995</v>
      </c>
    </row>
  </sheetData>
  <mergeCells count="2">
    <mergeCell ref="J1:P1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2"/>
      <c r="B1" s="2" t="s">
        <v>12</v>
      </c>
      <c r="C1" s="2" t="s">
        <v>13</v>
      </c>
      <c r="D1" s="2" t="s">
        <v>11</v>
      </c>
    </row>
    <row r="2" spans="1:4" x14ac:dyDescent="0.3">
      <c r="A2" s="1" t="s">
        <v>1</v>
      </c>
      <c r="B2" s="3" t="e">
        <f>young!#REF!</f>
        <v>#REF!</v>
      </c>
      <c r="C2" s="3">
        <f>old!J2</f>
        <v>5.6533128722692334</v>
      </c>
      <c r="D2" s="3" t="e">
        <f t="shared" ref="D2:D8" si="0">(B2*$B$9+C2*$C$9)/($B$9+C$9)</f>
        <v>#REF!</v>
      </c>
    </row>
    <row r="3" spans="1:4" x14ac:dyDescent="0.3">
      <c r="A3" s="1" t="s">
        <v>2</v>
      </c>
      <c r="B3" s="4" t="e">
        <f>young!#REF!</f>
        <v>#REF!</v>
      </c>
      <c r="C3" s="4">
        <f>old!J3</f>
        <v>0.37161160021454559</v>
      </c>
      <c r="D3" s="4" t="e">
        <f t="shared" si="0"/>
        <v>#REF!</v>
      </c>
    </row>
    <row r="4" spans="1:4" x14ac:dyDescent="0.3">
      <c r="A4" s="1" t="s">
        <v>4</v>
      </c>
      <c r="B4" s="4" t="e">
        <f>young!#REF!</f>
        <v>#REF!</v>
      </c>
      <c r="C4" s="4">
        <f>old!J4</f>
        <v>0.62765674035457053</v>
      </c>
      <c r="D4" s="4" t="e">
        <f t="shared" si="0"/>
        <v>#REF!</v>
      </c>
    </row>
    <row r="5" spans="1:4" x14ac:dyDescent="0.3">
      <c r="A5" s="1" t="s">
        <v>3</v>
      </c>
      <c r="B5" s="3" t="e">
        <f>young!#REF!</f>
        <v>#REF!</v>
      </c>
      <c r="C5" s="3">
        <f>old!J5</f>
        <v>5.2099817543944464</v>
      </c>
      <c r="D5" s="3" t="e">
        <f t="shared" si="0"/>
        <v>#REF!</v>
      </c>
    </row>
    <row r="6" spans="1:4" x14ac:dyDescent="0.3">
      <c r="A6" s="1" t="s">
        <v>5</v>
      </c>
      <c r="B6" s="3" t="e">
        <f>young!#REF!</f>
        <v>#REF!</v>
      </c>
      <c r="C6" s="3">
        <f>old!J6</f>
        <v>4.5926361058787624</v>
      </c>
      <c r="D6" s="3" t="e">
        <f t="shared" si="0"/>
        <v>#REF!</v>
      </c>
    </row>
    <row r="7" spans="1:4" x14ac:dyDescent="0.3">
      <c r="A7" s="1" t="s">
        <v>16</v>
      </c>
      <c r="B7" s="4" t="e">
        <f>#REF!/100</f>
        <v>#REF!</v>
      </c>
      <c r="C7" s="4" t="e">
        <f>#REF!/100</f>
        <v>#REF!</v>
      </c>
      <c r="D7" s="4" t="e">
        <f t="shared" si="0"/>
        <v>#REF!</v>
      </c>
    </row>
    <row r="8" spans="1:4" x14ac:dyDescent="0.3">
      <c r="A8" s="1" t="s">
        <v>17</v>
      </c>
      <c r="B8" t="e">
        <f>#REF!</f>
        <v>#REF!</v>
      </c>
      <c r="C8" t="e">
        <f>#REF!</f>
        <v>#REF!</v>
      </c>
      <c r="D8" s="3" t="e">
        <f t="shared" si="0"/>
        <v>#REF!</v>
      </c>
    </row>
    <row r="9" spans="1:4" x14ac:dyDescent="0.3">
      <c r="A9" s="1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2021-01-27T17:43:08Z</dcterms:modified>
</cp:coreProperties>
</file>