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rona\SEIR_2_wave\data\calibration\"/>
    </mc:Choice>
  </mc:AlternateContent>
  <xr:revisionPtr revIDLastSave="0" documentId="13_ncr:1_{E4A5E7DB-9DA3-49AA-9DE5-73F43C4CE74D}" xr6:coauthVersionLast="45" xr6:coauthVersionMax="45" xr10:uidLastSave="{00000000-0000-0000-0000-000000000000}"/>
  <bookViews>
    <workbookView xWindow="-110" yWindow="-110" windowWidth="19420" windowHeight="10420" activeTab="1" xr2:uid="{9DE2AF73-A7CF-4380-A829-23151371B406}"/>
  </bookViews>
  <sheets>
    <sheet name="young" sheetId="2" r:id="rId1"/>
    <sheet name="old" sheetId="1" r:id="rId2"/>
    <sheet name="admission" sheetId="6" r:id="rId3"/>
    <sheet name="summary" sheetId="3" r:id="rId4"/>
  </sheets>
  <definedNames>
    <definedName name="ExternalData_1" localSheetId="1" hidden="1">old!$A$1:$D$57</definedName>
    <definedName name="ExternalData_1" localSheetId="0" hidden="1">young!$A$1:$D$41</definedName>
    <definedName name="solver_adj" localSheetId="2" hidden="1">admission!$H$3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admission!$H$3</definedName>
    <definedName name="solver_lhs2" localSheetId="2" hidden="1">admission!$H$3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admission!$H$5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3</definedName>
    <definedName name="solver_rhs1" localSheetId="2" hidden="1">0</definedName>
    <definedName name="solver_rhs2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1" i="1" l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K13" i="1"/>
  <c r="K12" i="1"/>
  <c r="K14" i="1" s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Q12" i="1"/>
  <c r="T12" i="1"/>
  <c r="X12" i="1"/>
  <c r="Q13" i="1"/>
  <c r="T13" i="1"/>
  <c r="X13" i="1"/>
  <c r="Q14" i="1"/>
  <c r="T14" i="1"/>
  <c r="X14" i="1"/>
  <c r="Q15" i="1"/>
  <c r="T15" i="1"/>
  <c r="X15" i="1"/>
  <c r="Q16" i="1"/>
  <c r="T16" i="1"/>
  <c r="X16" i="1"/>
  <c r="Q17" i="1"/>
  <c r="T17" i="1"/>
  <c r="X17" i="1"/>
  <c r="Q18" i="1"/>
  <c r="T18" i="1"/>
  <c r="X18" i="1"/>
  <c r="Q19" i="1"/>
  <c r="T19" i="1"/>
  <c r="X19" i="1"/>
  <c r="Q20" i="1"/>
  <c r="T20" i="1"/>
  <c r="X20" i="1"/>
  <c r="Q21" i="1"/>
  <c r="T21" i="1"/>
  <c r="X21" i="1"/>
  <c r="Q22" i="1"/>
  <c r="T22" i="1"/>
  <c r="X22" i="1"/>
  <c r="Q23" i="1"/>
  <c r="T23" i="1"/>
  <c r="X23" i="1"/>
  <c r="Q24" i="1"/>
  <c r="T24" i="1"/>
  <c r="X24" i="1"/>
  <c r="Q25" i="1"/>
  <c r="T25" i="1"/>
  <c r="X25" i="1"/>
  <c r="Q26" i="1"/>
  <c r="T26" i="1"/>
  <c r="X26" i="1"/>
  <c r="Q27" i="1"/>
  <c r="T27" i="1"/>
  <c r="X27" i="1"/>
  <c r="Q28" i="1"/>
  <c r="T28" i="1"/>
  <c r="X28" i="1"/>
  <c r="Q29" i="1"/>
  <c r="T29" i="1"/>
  <c r="X29" i="1"/>
  <c r="Q30" i="1"/>
  <c r="T30" i="1"/>
  <c r="X30" i="1"/>
  <c r="Q31" i="1"/>
  <c r="T31" i="1"/>
  <c r="X31" i="1"/>
  <c r="Q32" i="1"/>
  <c r="T32" i="1"/>
  <c r="X32" i="1"/>
  <c r="Q33" i="1"/>
  <c r="T33" i="1"/>
  <c r="X33" i="1"/>
  <c r="Q34" i="1"/>
  <c r="T34" i="1"/>
  <c r="X34" i="1"/>
  <c r="Q35" i="1"/>
  <c r="T35" i="1"/>
  <c r="X35" i="1"/>
  <c r="Q36" i="1"/>
  <c r="T36" i="1"/>
  <c r="X36" i="1"/>
  <c r="Q37" i="1"/>
  <c r="T37" i="1"/>
  <c r="X37" i="1"/>
  <c r="Q38" i="1"/>
  <c r="T38" i="1"/>
  <c r="X38" i="1"/>
  <c r="Q39" i="1"/>
  <c r="T39" i="1"/>
  <c r="X39" i="1"/>
  <c r="Q40" i="1"/>
  <c r="T40" i="1"/>
  <c r="X40" i="1"/>
  <c r="Q41" i="1"/>
  <c r="T41" i="1"/>
  <c r="X41" i="1"/>
  <c r="Q42" i="1"/>
  <c r="T42" i="1"/>
  <c r="X42" i="1"/>
  <c r="Q43" i="1"/>
  <c r="T43" i="1"/>
  <c r="X43" i="1"/>
  <c r="Q44" i="1"/>
  <c r="T44" i="1"/>
  <c r="X44" i="1"/>
  <c r="Q45" i="1"/>
  <c r="T45" i="1"/>
  <c r="X45" i="1"/>
  <c r="Q46" i="1"/>
  <c r="T46" i="1"/>
  <c r="X46" i="1"/>
  <c r="Q47" i="1"/>
  <c r="T47" i="1"/>
  <c r="X47" i="1"/>
  <c r="Q48" i="1"/>
  <c r="T48" i="1"/>
  <c r="X48" i="1"/>
  <c r="Q49" i="1"/>
  <c r="T49" i="1"/>
  <c r="X49" i="1"/>
  <c r="Q50" i="1"/>
  <c r="T50" i="1"/>
  <c r="X50" i="1"/>
  <c r="Q51" i="1"/>
  <c r="T51" i="1"/>
  <c r="X51" i="1"/>
  <c r="Q52" i="1"/>
  <c r="T52" i="1"/>
  <c r="X52" i="1"/>
  <c r="Q53" i="1"/>
  <c r="T53" i="1"/>
  <c r="X53" i="1"/>
  <c r="Q54" i="1"/>
  <c r="T54" i="1"/>
  <c r="X54" i="1"/>
  <c r="Q55" i="1"/>
  <c r="T55" i="1"/>
  <c r="X55" i="1"/>
  <c r="Q56" i="1"/>
  <c r="T56" i="1"/>
  <c r="X56" i="1"/>
  <c r="Q57" i="1"/>
  <c r="T57" i="1"/>
  <c r="X57" i="1"/>
  <c r="Q3" i="1"/>
  <c r="V36" i="6"/>
  <c r="M36" i="6"/>
  <c r="M4" i="6"/>
  <c r="AB58" i="1" l="1"/>
  <c r="AC42" i="1" s="1"/>
  <c r="Z42" i="1" s="1"/>
  <c r="AA44" i="2"/>
  <c r="K7" i="2"/>
  <c r="O43" i="2"/>
  <c r="S43" i="2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A3" i="2"/>
  <c r="AE7" i="1"/>
  <c r="N6" i="1"/>
  <c r="N5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6" i="1"/>
  <c r="AE5" i="1"/>
  <c r="AE4" i="1"/>
  <c r="AE3" i="1"/>
  <c r="X11" i="1"/>
  <c r="X10" i="1"/>
  <c r="X9" i="1"/>
  <c r="X8" i="1"/>
  <c r="X7" i="1"/>
  <c r="X6" i="1"/>
  <c r="X5" i="1"/>
  <c r="X4" i="1"/>
  <c r="X3" i="1"/>
  <c r="X58" i="1" s="1"/>
  <c r="Y13" i="1" s="1"/>
  <c r="K6" i="1"/>
  <c r="K5" i="1"/>
  <c r="T11" i="1"/>
  <c r="T10" i="1"/>
  <c r="T9" i="1"/>
  <c r="T8" i="1"/>
  <c r="T7" i="1"/>
  <c r="T6" i="1"/>
  <c r="T58" i="1" s="1"/>
  <c r="T5" i="1"/>
  <c r="T4" i="1"/>
  <c r="T3" i="1"/>
  <c r="U3" i="2"/>
  <c r="T3" i="2"/>
  <c r="G57" i="1"/>
  <c r="G56" i="1"/>
  <c r="G55" i="1"/>
  <c r="S55" i="1" s="1"/>
  <c r="G54" i="1"/>
  <c r="S54" i="1" s="1"/>
  <c r="G53" i="1"/>
  <c r="G52" i="1"/>
  <c r="S52" i="1" s="1"/>
  <c r="G51" i="1"/>
  <c r="G50" i="1"/>
  <c r="S50" i="1" s="1"/>
  <c r="G49" i="1"/>
  <c r="G48" i="1"/>
  <c r="G47" i="1"/>
  <c r="S47" i="1" s="1"/>
  <c r="G46" i="1"/>
  <c r="S46" i="1" s="1"/>
  <c r="G45" i="1"/>
  <c r="G44" i="1"/>
  <c r="S44" i="1" s="1"/>
  <c r="G43" i="1"/>
  <c r="G42" i="1"/>
  <c r="S42" i="1" s="1"/>
  <c r="G41" i="1"/>
  <c r="G40" i="1"/>
  <c r="G39" i="1"/>
  <c r="S39" i="1" s="1"/>
  <c r="G38" i="1"/>
  <c r="S38" i="1" s="1"/>
  <c r="G37" i="1"/>
  <c r="G36" i="1"/>
  <c r="S36" i="1" s="1"/>
  <c r="G35" i="1"/>
  <c r="G34" i="1"/>
  <c r="S34" i="1" s="1"/>
  <c r="G33" i="1"/>
  <c r="G32" i="1"/>
  <c r="G31" i="1"/>
  <c r="S31" i="1" s="1"/>
  <c r="G30" i="1"/>
  <c r="S30" i="1" s="1"/>
  <c r="G29" i="1"/>
  <c r="G28" i="1"/>
  <c r="S28" i="1" s="1"/>
  <c r="G27" i="1"/>
  <c r="G26" i="1"/>
  <c r="S26" i="1" s="1"/>
  <c r="G25" i="1"/>
  <c r="G24" i="1"/>
  <c r="G23" i="1"/>
  <c r="S23" i="1" s="1"/>
  <c r="G22" i="1"/>
  <c r="S22" i="1" s="1"/>
  <c r="G21" i="1"/>
  <c r="G20" i="1"/>
  <c r="S20" i="1" s="1"/>
  <c r="G19" i="1"/>
  <c r="G18" i="1"/>
  <c r="S18" i="1" s="1"/>
  <c r="G17" i="1"/>
  <c r="G16" i="1"/>
  <c r="G15" i="1"/>
  <c r="S15" i="1" s="1"/>
  <c r="G14" i="1"/>
  <c r="S14" i="1" s="1"/>
  <c r="G13" i="1"/>
  <c r="S13" i="1" s="1"/>
  <c r="G12" i="1"/>
  <c r="S12" i="1" s="1"/>
  <c r="G11" i="1"/>
  <c r="G10" i="1"/>
  <c r="G9" i="1"/>
  <c r="G8" i="1"/>
  <c r="G7" i="1"/>
  <c r="G6" i="1"/>
  <c r="S6" i="1" s="1"/>
  <c r="G5" i="1"/>
  <c r="S5" i="1" s="1"/>
  <c r="G4" i="1"/>
  <c r="S4" i="1" s="1"/>
  <c r="G3" i="1"/>
  <c r="S3" i="1" s="1"/>
  <c r="G2" i="1"/>
  <c r="Q11" i="1"/>
  <c r="Q10" i="1"/>
  <c r="Q9" i="1"/>
  <c r="Q8" i="1"/>
  <c r="Q7" i="1"/>
  <c r="Q6" i="1"/>
  <c r="Q5" i="1"/>
  <c r="Q4" i="1"/>
  <c r="Q58" i="1" s="1"/>
  <c r="R3" i="2"/>
  <c r="N11" i="1"/>
  <c r="N10" i="1"/>
  <c r="N9" i="1"/>
  <c r="N8" i="1"/>
  <c r="N7" i="1"/>
  <c r="N4" i="1"/>
  <c r="N3" i="1"/>
  <c r="N58" i="1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Y5" i="2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J4" i="2"/>
  <c r="AA4" i="2"/>
  <c r="AC40" i="1" l="1"/>
  <c r="Z40" i="1" s="1"/>
  <c r="AC18" i="1"/>
  <c r="Z18" i="1" s="1"/>
  <c r="AC22" i="1"/>
  <c r="Z22" i="1" s="1"/>
  <c r="AC14" i="1"/>
  <c r="Z14" i="1" s="1"/>
  <c r="AC29" i="1"/>
  <c r="Z29" i="1" s="1"/>
  <c r="AC49" i="1"/>
  <c r="Z49" i="1" s="1"/>
  <c r="AC21" i="1"/>
  <c r="Z21" i="1" s="1"/>
  <c r="AC17" i="1"/>
  <c r="Z17" i="1" s="1"/>
  <c r="AC44" i="1"/>
  <c r="Z44" i="1" s="1"/>
  <c r="AC9" i="1"/>
  <c r="Z9" i="1" s="1"/>
  <c r="AC36" i="1"/>
  <c r="Z36" i="1" s="1"/>
  <c r="AC31" i="1"/>
  <c r="Z31" i="1" s="1"/>
  <c r="AC43" i="1"/>
  <c r="Z43" i="1" s="1"/>
  <c r="AC23" i="1"/>
  <c r="Z23" i="1" s="1"/>
  <c r="AC35" i="1"/>
  <c r="Z35" i="1" s="1"/>
  <c r="AC56" i="1"/>
  <c r="Z56" i="1" s="1"/>
  <c r="AC15" i="1"/>
  <c r="Z15" i="1" s="1"/>
  <c r="AC6" i="1"/>
  <c r="Z6" i="1" s="1"/>
  <c r="AC13" i="1"/>
  <c r="Z13" i="1" s="1"/>
  <c r="AC28" i="1"/>
  <c r="Z28" i="1" s="1"/>
  <c r="AC27" i="1"/>
  <c r="Z27" i="1" s="1"/>
  <c r="AC57" i="1"/>
  <c r="Z57" i="1" s="1"/>
  <c r="AC48" i="1"/>
  <c r="Z48" i="1" s="1"/>
  <c r="AC7" i="1"/>
  <c r="Z7" i="1" s="1"/>
  <c r="AC34" i="1"/>
  <c r="Z34" i="1" s="1"/>
  <c r="AC5" i="1"/>
  <c r="Z5" i="1" s="1"/>
  <c r="AC12" i="1"/>
  <c r="Z12" i="1" s="1"/>
  <c r="AC19" i="1"/>
  <c r="Z19" i="1" s="1"/>
  <c r="AC16" i="1"/>
  <c r="Z16" i="1" s="1"/>
  <c r="AC54" i="1"/>
  <c r="Z54" i="1" s="1"/>
  <c r="AC32" i="1"/>
  <c r="Z32" i="1" s="1"/>
  <c r="AC20" i="1"/>
  <c r="Z20" i="1" s="1"/>
  <c r="AC4" i="1"/>
  <c r="Z4" i="1" s="1"/>
  <c r="AC11" i="1"/>
  <c r="Z11" i="1" s="1"/>
  <c r="AC41" i="1"/>
  <c r="Z41" i="1" s="1"/>
  <c r="AC55" i="1"/>
  <c r="Z55" i="1" s="1"/>
  <c r="AC46" i="1"/>
  <c r="Z46" i="1" s="1"/>
  <c r="AC53" i="1"/>
  <c r="Z53" i="1" s="1"/>
  <c r="AC26" i="1"/>
  <c r="Z26" i="1" s="1"/>
  <c r="AC10" i="1"/>
  <c r="Z10" i="1" s="1"/>
  <c r="AC3" i="1"/>
  <c r="Z3" i="1" s="1"/>
  <c r="AC33" i="1"/>
  <c r="Z33" i="1" s="1"/>
  <c r="AC47" i="1"/>
  <c r="Z47" i="1" s="1"/>
  <c r="AC38" i="1"/>
  <c r="Z38" i="1" s="1"/>
  <c r="AC45" i="1"/>
  <c r="Z45" i="1" s="1"/>
  <c r="AC24" i="1"/>
  <c r="Z24" i="1" s="1"/>
  <c r="AC8" i="1"/>
  <c r="Z8" i="1" s="1"/>
  <c r="AC50" i="1"/>
  <c r="Z50" i="1" s="1"/>
  <c r="AC25" i="1"/>
  <c r="Z25" i="1" s="1"/>
  <c r="AC39" i="1"/>
  <c r="Z39" i="1" s="1"/>
  <c r="AC30" i="1"/>
  <c r="Z30" i="1" s="1"/>
  <c r="AC37" i="1"/>
  <c r="Z37" i="1" s="1"/>
  <c r="AC52" i="1"/>
  <c r="Z52" i="1" s="1"/>
  <c r="AC51" i="1"/>
  <c r="Z51" i="1" s="1"/>
  <c r="R25" i="1"/>
  <c r="R19" i="1"/>
  <c r="R51" i="1"/>
  <c r="R17" i="1"/>
  <c r="U48" i="1"/>
  <c r="U57" i="1"/>
  <c r="U17" i="1"/>
  <c r="U50" i="1"/>
  <c r="U12" i="1"/>
  <c r="S16" i="1"/>
  <c r="S40" i="1"/>
  <c r="S56" i="1"/>
  <c r="S8" i="1"/>
  <c r="S24" i="1"/>
  <c r="S32" i="1"/>
  <c r="S48" i="1"/>
  <c r="S17" i="1"/>
  <c r="S25" i="1"/>
  <c r="S33" i="1"/>
  <c r="S41" i="1"/>
  <c r="S49" i="1"/>
  <c r="S57" i="1"/>
  <c r="S19" i="1"/>
  <c r="S27" i="1"/>
  <c r="S35" i="1"/>
  <c r="S43" i="1"/>
  <c r="S51" i="1"/>
  <c r="S21" i="1"/>
  <c r="S29" i="1"/>
  <c r="S37" i="1"/>
  <c r="S45" i="1"/>
  <c r="S53" i="1"/>
  <c r="U26" i="1"/>
  <c r="Y25" i="1"/>
  <c r="U55" i="1"/>
  <c r="U25" i="1"/>
  <c r="U15" i="1"/>
  <c r="Y52" i="1"/>
  <c r="U33" i="1"/>
  <c r="U37" i="1"/>
  <c r="Y27" i="1"/>
  <c r="U45" i="1"/>
  <c r="U14" i="1"/>
  <c r="U30" i="1"/>
  <c r="U51" i="1"/>
  <c r="U19" i="1"/>
  <c r="U46" i="1"/>
  <c r="U20" i="1"/>
  <c r="U41" i="1"/>
  <c r="U53" i="1"/>
  <c r="Y43" i="1"/>
  <c r="U35" i="1"/>
  <c r="U39" i="1"/>
  <c r="U54" i="1"/>
  <c r="R23" i="1"/>
  <c r="U28" i="1"/>
  <c r="U16" i="1"/>
  <c r="U18" i="1"/>
  <c r="Y51" i="1"/>
  <c r="U21" i="1"/>
  <c r="U34" i="1"/>
  <c r="U47" i="1"/>
  <c r="Y29" i="1"/>
  <c r="U36" i="1"/>
  <c r="U49" i="1"/>
  <c r="U24" i="1"/>
  <c r="Y19" i="1"/>
  <c r="Y55" i="1"/>
  <c r="U13" i="1"/>
  <c r="U27" i="1"/>
  <c r="U31" i="1"/>
  <c r="Y36" i="1"/>
  <c r="U44" i="1"/>
  <c r="U32" i="1"/>
  <c r="U22" i="1"/>
  <c r="R39" i="1"/>
  <c r="U56" i="1"/>
  <c r="U43" i="1"/>
  <c r="U23" i="1"/>
  <c r="Y40" i="1"/>
  <c r="U52" i="1"/>
  <c r="U40" i="1"/>
  <c r="Y14" i="1"/>
  <c r="U29" i="1"/>
  <c r="U38" i="1"/>
  <c r="U42" i="1"/>
  <c r="Y44" i="1"/>
  <c r="R18" i="1"/>
  <c r="R33" i="1"/>
  <c r="R26" i="1"/>
  <c r="R44" i="1"/>
  <c r="R49" i="1"/>
  <c r="R56" i="1"/>
  <c r="R22" i="1"/>
  <c r="R41" i="1"/>
  <c r="R20" i="1"/>
  <c r="R28" i="1"/>
  <c r="R40" i="1"/>
  <c r="R45" i="1"/>
  <c r="R30" i="1"/>
  <c r="R57" i="1"/>
  <c r="R53" i="1"/>
  <c r="R36" i="1"/>
  <c r="R52" i="1"/>
  <c r="R48" i="1"/>
  <c r="R14" i="1"/>
  <c r="R37" i="1"/>
  <c r="R16" i="1"/>
  <c r="R24" i="1"/>
  <c r="R32" i="1"/>
  <c r="R29" i="1"/>
  <c r="R43" i="1"/>
  <c r="R27" i="1"/>
  <c r="R42" i="1"/>
  <c r="R21" i="1"/>
  <c r="Y31" i="1"/>
  <c r="R47" i="1"/>
  <c r="R35" i="1"/>
  <c r="R46" i="1"/>
  <c r="Y34" i="1"/>
  <c r="Y12" i="1"/>
  <c r="Y20" i="1"/>
  <c r="Y28" i="1"/>
  <c r="Y45" i="1"/>
  <c r="Y50" i="1"/>
  <c r="Y56" i="1"/>
  <c r="Y37" i="1"/>
  <c r="Y42" i="1"/>
  <c r="Y49" i="1"/>
  <c r="Y54" i="1"/>
  <c r="Y22" i="1"/>
  <c r="Y30" i="1"/>
  <c r="Y41" i="1"/>
  <c r="Y46" i="1"/>
  <c r="Y53" i="1"/>
  <c r="Y16" i="1"/>
  <c r="Y24" i="1"/>
  <c r="Y18" i="1"/>
  <c r="Y26" i="1"/>
  <c r="Y33" i="1"/>
  <c r="Y38" i="1"/>
  <c r="Y35" i="1"/>
  <c r="R55" i="1"/>
  <c r="R15" i="1"/>
  <c r="Y32" i="1"/>
  <c r="Y48" i="1"/>
  <c r="R13" i="1"/>
  <c r="Y23" i="1"/>
  <c r="Y39" i="1"/>
  <c r="R12" i="1"/>
  <c r="Y17" i="1"/>
  <c r="R34" i="1"/>
  <c r="R50" i="1"/>
  <c r="Y15" i="1"/>
  <c r="Y47" i="1"/>
  <c r="R31" i="1"/>
  <c r="Y21" i="1"/>
  <c r="R38" i="1"/>
  <c r="R54" i="1"/>
  <c r="K7" i="1"/>
  <c r="S7" i="1"/>
  <c r="S58" i="1" s="1"/>
  <c r="S9" i="1"/>
  <c r="V3" i="1"/>
  <c r="V9" i="1"/>
  <c r="V6" i="1"/>
  <c r="V5" i="1"/>
  <c r="V8" i="1"/>
  <c r="S10" i="1"/>
  <c r="AE59" i="1"/>
  <c r="S11" i="1"/>
  <c r="O3" i="1"/>
  <c r="O4" i="1" s="1"/>
  <c r="N60" i="1"/>
  <c r="AF3" i="1"/>
  <c r="AF4" i="1" s="1"/>
  <c r="AF5" i="1" s="1"/>
  <c r="AF6" i="1" s="1"/>
  <c r="AH58" i="1"/>
  <c r="AI28" i="1" s="1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O3" i="2"/>
  <c r="P3" i="2" s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T15" i="2" s="1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T41" i="2" s="1"/>
  <c r="O30" i="2"/>
  <c r="O41" i="2"/>
  <c r="O40" i="2"/>
  <c r="O39" i="2"/>
  <c r="O38" i="2"/>
  <c r="O37" i="2"/>
  <c r="O36" i="2"/>
  <c r="O35" i="2"/>
  <c r="O34" i="2"/>
  <c r="O33" i="2"/>
  <c r="O32" i="2"/>
  <c r="O31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U37" i="6"/>
  <c r="U3" i="6"/>
  <c r="M3" i="6"/>
  <c r="W3" i="6"/>
  <c r="O3" i="6"/>
  <c r="M37" i="6"/>
  <c r="P3" i="6"/>
  <c r="A4" i="6"/>
  <c r="A5" i="6" s="1"/>
  <c r="M5" i="6" s="1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R3" i="6" s="1"/>
  <c r="S3" i="6" s="1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J3" i="6" s="1"/>
  <c r="K3" i="6" s="1"/>
  <c r="V13" i="1" l="1"/>
  <c r="V21" i="1"/>
  <c r="V29" i="1"/>
  <c r="V37" i="1"/>
  <c r="V45" i="1"/>
  <c r="V53" i="1"/>
  <c r="V57" i="1"/>
  <c r="V18" i="1"/>
  <c r="V26" i="1"/>
  <c r="V34" i="1"/>
  <c r="V42" i="1"/>
  <c r="V50" i="1"/>
  <c r="V15" i="1"/>
  <c r="V23" i="1"/>
  <c r="V31" i="1"/>
  <c r="V39" i="1"/>
  <c r="V47" i="1"/>
  <c r="V55" i="1"/>
  <c r="V12" i="1"/>
  <c r="V20" i="1"/>
  <c r="V28" i="1"/>
  <c r="V36" i="1"/>
  <c r="V44" i="1"/>
  <c r="V52" i="1"/>
  <c r="V19" i="1"/>
  <c r="V27" i="1"/>
  <c r="V17" i="1"/>
  <c r="V25" i="1"/>
  <c r="V33" i="1"/>
  <c r="V41" i="1"/>
  <c r="V49" i="1"/>
  <c r="V35" i="1"/>
  <c r="V43" i="1"/>
  <c r="V14" i="1"/>
  <c r="V22" i="1"/>
  <c r="V30" i="1"/>
  <c r="V38" i="1"/>
  <c r="V46" i="1"/>
  <c r="V54" i="1"/>
  <c r="V51" i="1"/>
  <c r="V16" i="1"/>
  <c r="V24" i="1"/>
  <c r="V32" i="1"/>
  <c r="V40" i="1"/>
  <c r="V48" i="1"/>
  <c r="V56" i="1"/>
  <c r="V11" i="1"/>
  <c r="V4" i="1"/>
  <c r="V10" i="1"/>
  <c r="V7" i="1"/>
  <c r="S60" i="1"/>
  <c r="R11" i="1"/>
  <c r="R3" i="1"/>
  <c r="AI20" i="1"/>
  <c r="AI4" i="1"/>
  <c r="AI8" i="1"/>
  <c r="AI50" i="1"/>
  <c r="AI40" i="1"/>
  <c r="AI23" i="1"/>
  <c r="AI38" i="1"/>
  <c r="AI53" i="1"/>
  <c r="AI51" i="1"/>
  <c r="AI26" i="1"/>
  <c r="AI57" i="1"/>
  <c r="AI45" i="1"/>
  <c r="AI33" i="1"/>
  <c r="AI21" i="1"/>
  <c r="AI55" i="1"/>
  <c r="AI43" i="1"/>
  <c r="AI31" i="1"/>
  <c r="AI19" i="1"/>
  <c r="AI7" i="1"/>
  <c r="AI54" i="1"/>
  <c r="AI42" i="1"/>
  <c r="AI30" i="1"/>
  <c r="AI18" i="1"/>
  <c r="AI6" i="1"/>
  <c r="AI49" i="1"/>
  <c r="AI37" i="1"/>
  <c r="AI25" i="1"/>
  <c r="AI13" i="1"/>
  <c r="AI48" i="1"/>
  <c r="AI36" i="1"/>
  <c r="AI24" i="1"/>
  <c r="AI12" i="1"/>
  <c r="AI9" i="1"/>
  <c r="AI39" i="1"/>
  <c r="AI14" i="1"/>
  <c r="AI46" i="1"/>
  <c r="AI27" i="1"/>
  <c r="AI34" i="1"/>
  <c r="AI15" i="1"/>
  <c r="AI41" i="1"/>
  <c r="AI22" i="1"/>
  <c r="AI32" i="1"/>
  <c r="AI3" i="1"/>
  <c r="AI5" i="1"/>
  <c r="AI10" i="1"/>
  <c r="AI56" i="1"/>
  <c r="AI44" i="1"/>
  <c r="AI47" i="1"/>
  <c r="AI29" i="1"/>
  <c r="AI11" i="1"/>
  <c r="AI16" i="1"/>
  <c r="AI17" i="1"/>
  <c r="AI35" i="1"/>
  <c r="AI52" i="1"/>
  <c r="AF7" i="1"/>
  <c r="O5" i="1"/>
  <c r="U5" i="1"/>
  <c r="U4" i="1"/>
  <c r="U3" i="1"/>
  <c r="U11" i="1"/>
  <c r="U10" i="1"/>
  <c r="U7" i="1"/>
  <c r="U9" i="1"/>
  <c r="U8" i="1"/>
  <c r="U6" i="1"/>
  <c r="R9" i="1"/>
  <c r="R4" i="1"/>
  <c r="R10" i="1"/>
  <c r="R7" i="1"/>
  <c r="R8" i="1"/>
  <c r="R5" i="1"/>
  <c r="R6" i="1"/>
  <c r="T30" i="2"/>
  <c r="T32" i="2"/>
  <c r="T20" i="2"/>
  <c r="T8" i="2"/>
  <c r="T31" i="2"/>
  <c r="T19" i="2"/>
  <c r="T7" i="2"/>
  <c r="T29" i="2"/>
  <c r="U42" i="2"/>
  <c r="V12" i="2" s="1"/>
  <c r="T35" i="2"/>
  <c r="T23" i="2"/>
  <c r="T11" i="2"/>
  <c r="T17" i="2"/>
  <c r="T5" i="2"/>
  <c r="T38" i="2"/>
  <c r="T14" i="2"/>
  <c r="T34" i="2"/>
  <c r="T6" i="2"/>
  <c r="T10" i="2"/>
  <c r="T37" i="2"/>
  <c r="T25" i="2"/>
  <c r="T13" i="2"/>
  <c r="T18" i="2"/>
  <c r="T36" i="2"/>
  <c r="T24" i="2"/>
  <c r="T22" i="2"/>
  <c r="T4" i="2"/>
  <c r="T40" i="2"/>
  <c r="T9" i="2"/>
  <c r="T21" i="2"/>
  <c r="T33" i="2"/>
  <c r="T16" i="2"/>
  <c r="T12" i="2"/>
  <c r="T26" i="2"/>
  <c r="T28" i="2"/>
  <c r="T27" i="2"/>
  <c r="T39" i="2"/>
  <c r="O5" i="6"/>
  <c r="P4" i="6"/>
  <c r="O4" i="6"/>
  <c r="U5" i="6"/>
  <c r="W4" i="6"/>
  <c r="W5" i="6"/>
  <c r="U4" i="6"/>
  <c r="J28" i="6"/>
  <c r="R22" i="6"/>
  <c r="J17" i="6"/>
  <c r="R17" i="6"/>
  <c r="R19" i="6"/>
  <c r="J15" i="6"/>
  <c r="J16" i="6"/>
  <c r="J5" i="6"/>
  <c r="K5" i="6" s="1"/>
  <c r="J18" i="6"/>
  <c r="R11" i="6"/>
  <c r="R18" i="6"/>
  <c r="J31" i="6"/>
  <c r="J29" i="6"/>
  <c r="J30" i="6"/>
  <c r="R23" i="6"/>
  <c r="J7" i="6"/>
  <c r="J19" i="6"/>
  <c r="R10" i="6"/>
  <c r="J6" i="6"/>
  <c r="J13" i="6"/>
  <c r="J25" i="6"/>
  <c r="R6" i="6"/>
  <c r="J20" i="6"/>
  <c r="J9" i="6"/>
  <c r="J10" i="6"/>
  <c r="J11" i="6"/>
  <c r="J32" i="6"/>
  <c r="J33" i="6"/>
  <c r="J23" i="6"/>
  <c r="J12" i="6"/>
  <c r="J24" i="6"/>
  <c r="R5" i="6"/>
  <c r="R29" i="6"/>
  <c r="J8" i="6"/>
  <c r="R13" i="6"/>
  <c r="J4" i="6"/>
  <c r="K4" i="6" s="1"/>
  <c r="J14" i="6"/>
  <c r="J26" i="6"/>
  <c r="R8" i="6"/>
  <c r="R20" i="6"/>
  <c r="R32" i="6"/>
  <c r="J27" i="6"/>
  <c r="R25" i="6"/>
  <c r="J21" i="6"/>
  <c r="J22" i="6"/>
  <c r="P5" i="6"/>
  <c r="R14" i="6"/>
  <c r="R31" i="6"/>
  <c r="R27" i="6"/>
  <c r="R26" i="6"/>
  <c r="R4" i="6"/>
  <c r="S4" i="6" s="1"/>
  <c r="R28" i="6"/>
  <c r="R30" i="6"/>
  <c r="R9" i="6"/>
  <c r="R33" i="6"/>
  <c r="R15" i="6"/>
  <c r="R16" i="6"/>
  <c r="R21" i="6"/>
  <c r="R12" i="6"/>
  <c r="R24" i="6"/>
  <c r="R7" i="6"/>
  <c r="A6" i="6"/>
  <c r="W48" i="1" l="1"/>
  <c r="W42" i="1"/>
  <c r="V58" i="1"/>
  <c r="W26" i="1"/>
  <c r="W14" i="1"/>
  <c r="W21" i="1"/>
  <c r="W23" i="1"/>
  <c r="R58" i="1"/>
  <c r="U58" i="1"/>
  <c r="R60" i="1"/>
  <c r="U60" i="1"/>
  <c r="AI59" i="1"/>
  <c r="AI58" i="1"/>
  <c r="AF8" i="1"/>
  <c r="O6" i="1"/>
  <c r="V13" i="2"/>
  <c r="V40" i="2"/>
  <c r="V32" i="2"/>
  <c r="V37" i="2"/>
  <c r="V28" i="2"/>
  <c r="V35" i="2"/>
  <c r="V14" i="2"/>
  <c r="V16" i="2"/>
  <c r="V17" i="2"/>
  <c r="V23" i="2"/>
  <c r="V30" i="2"/>
  <c r="V38" i="2"/>
  <c r="V4" i="2"/>
  <c r="V29" i="2"/>
  <c r="V33" i="2"/>
  <c r="V20" i="2"/>
  <c r="V26" i="2"/>
  <c r="V27" i="2"/>
  <c r="V31" i="2"/>
  <c r="V39" i="2"/>
  <c r="V9" i="2"/>
  <c r="V34" i="2"/>
  <c r="V6" i="2"/>
  <c r="V3" i="2"/>
  <c r="V7" i="2"/>
  <c r="V41" i="2"/>
  <c r="V22" i="2"/>
  <c r="V19" i="2"/>
  <c r="V36" i="2"/>
  <c r="V18" i="2"/>
  <c r="V11" i="2"/>
  <c r="V25" i="2"/>
  <c r="V15" i="2"/>
  <c r="V10" i="2"/>
  <c r="V8" i="2"/>
  <c r="V24" i="2"/>
  <c r="V21" i="2"/>
  <c r="V5" i="2"/>
  <c r="T42" i="2"/>
  <c r="R42" i="2"/>
  <c r="S28" i="2" s="1"/>
  <c r="W6" i="6"/>
  <c r="M6" i="6"/>
  <c r="O6" i="6"/>
  <c r="U6" i="6"/>
  <c r="S5" i="6"/>
  <c r="S6" i="6" s="1"/>
  <c r="K6" i="6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P6" i="6"/>
  <c r="A7" i="6"/>
  <c r="W12" i="1" l="1"/>
  <c r="Y57" i="1"/>
  <c r="W37" i="1"/>
  <c r="W24" i="1"/>
  <c r="W18" i="1"/>
  <c r="W17" i="1"/>
  <c r="W53" i="1"/>
  <c r="W57" i="1"/>
  <c r="W39" i="1"/>
  <c r="W47" i="1"/>
  <c r="W22" i="1"/>
  <c r="W50" i="1"/>
  <c r="W52" i="1"/>
  <c r="W19" i="1"/>
  <c r="W20" i="1"/>
  <c r="W49" i="1"/>
  <c r="W16" i="1"/>
  <c r="W45" i="1"/>
  <c r="W30" i="1"/>
  <c r="W36" i="1"/>
  <c r="W44" i="1"/>
  <c r="W35" i="1"/>
  <c r="W43" i="1"/>
  <c r="W40" i="1"/>
  <c r="W25" i="1"/>
  <c r="W41" i="1"/>
  <c r="W51" i="1"/>
  <c r="W46" i="1"/>
  <c r="W54" i="1"/>
  <c r="W55" i="1"/>
  <c r="W34" i="1"/>
  <c r="W28" i="1"/>
  <c r="W15" i="1"/>
  <c r="W31" i="1"/>
  <c r="W32" i="1"/>
  <c r="W56" i="1"/>
  <c r="W27" i="1"/>
  <c r="W13" i="1"/>
  <c r="W29" i="1"/>
  <c r="W33" i="1"/>
  <c r="W38" i="1"/>
  <c r="V43" i="2"/>
  <c r="AF9" i="1"/>
  <c r="W3" i="1"/>
  <c r="W8" i="1"/>
  <c r="W10" i="1"/>
  <c r="W11" i="1"/>
  <c r="W4" i="1"/>
  <c r="W5" i="1"/>
  <c r="W7" i="1"/>
  <c r="W9" i="1"/>
  <c r="W6" i="1"/>
  <c r="O7" i="1"/>
  <c r="S34" i="2"/>
  <c r="S37" i="2"/>
  <c r="S20" i="2"/>
  <c r="S7" i="2"/>
  <c r="V42" i="2"/>
  <c r="S35" i="2"/>
  <c r="S27" i="2"/>
  <c r="S30" i="2"/>
  <c r="S12" i="2"/>
  <c r="S13" i="2"/>
  <c r="S11" i="2"/>
  <c r="S17" i="2"/>
  <c r="S18" i="2"/>
  <c r="S9" i="2"/>
  <c r="S5" i="2"/>
  <c r="S3" i="2"/>
  <c r="S38" i="2"/>
  <c r="S33" i="2"/>
  <c r="S36" i="2"/>
  <c r="S40" i="2"/>
  <c r="S23" i="2"/>
  <c r="S25" i="2"/>
  <c r="S22" i="2"/>
  <c r="S26" i="2"/>
  <c r="S6" i="2"/>
  <c r="S19" i="2"/>
  <c r="S4" i="2"/>
  <c r="S15" i="2"/>
  <c r="S8" i="2"/>
  <c r="S41" i="2"/>
  <c r="S39" i="2"/>
  <c r="S24" i="2"/>
  <c r="S16" i="2"/>
  <c r="S10" i="2"/>
  <c r="S31" i="2"/>
  <c r="S32" i="2"/>
  <c r="S21" i="2"/>
  <c r="S14" i="2"/>
  <c r="S29" i="2"/>
  <c r="S7" i="6"/>
  <c r="W7" i="6"/>
  <c r="M7" i="6"/>
  <c r="O7" i="6"/>
  <c r="U7" i="6"/>
  <c r="P7" i="6"/>
  <c r="A8" i="6"/>
  <c r="W58" i="1" l="1"/>
  <c r="W60" i="1"/>
  <c r="Z58" i="1"/>
  <c r="AF10" i="1"/>
  <c r="O8" i="1"/>
  <c r="S42" i="2"/>
  <c r="M8" i="6"/>
  <c r="O8" i="6"/>
  <c r="U8" i="6"/>
  <c r="W8" i="6"/>
  <c r="S8" i="6"/>
  <c r="P8" i="6"/>
  <c r="A9" i="6"/>
  <c r="X8" i="6"/>
  <c r="X7" i="6"/>
  <c r="X6" i="6"/>
  <c r="X5" i="6"/>
  <c r="X4" i="6"/>
  <c r="X3" i="6"/>
  <c r="AA12" i="1" l="1"/>
  <c r="AA24" i="1"/>
  <c r="AA39" i="1"/>
  <c r="AA47" i="1"/>
  <c r="AA37" i="1"/>
  <c r="AA22" i="1"/>
  <c r="AA49" i="1"/>
  <c r="AA40" i="1"/>
  <c r="AA46" i="1"/>
  <c r="AA20" i="1"/>
  <c r="AA43" i="1"/>
  <c r="AA51" i="1"/>
  <c r="AA48" i="1"/>
  <c r="AA42" i="1"/>
  <c r="AA53" i="1"/>
  <c r="AA25" i="1"/>
  <c r="AA27" i="1"/>
  <c r="AA52" i="1"/>
  <c r="AA13" i="1"/>
  <c r="AA56" i="1"/>
  <c r="AA26" i="1"/>
  <c r="AA32" i="1"/>
  <c r="AA44" i="1"/>
  <c r="AA33" i="1"/>
  <c r="AA17" i="1"/>
  <c r="AA15" i="1"/>
  <c r="AA34" i="1"/>
  <c r="AA45" i="1"/>
  <c r="AA57" i="1"/>
  <c r="AA18" i="1"/>
  <c r="AA29" i="1"/>
  <c r="AA36" i="1"/>
  <c r="AA50" i="1"/>
  <c r="AA54" i="1"/>
  <c r="AA41" i="1"/>
  <c r="AA21" i="1"/>
  <c r="AA31" i="1"/>
  <c r="AA16" i="1"/>
  <c r="AA35" i="1"/>
  <c r="AA19" i="1"/>
  <c r="AA38" i="1"/>
  <c r="AA28" i="1"/>
  <c r="AA55" i="1"/>
  <c r="AA30" i="1"/>
  <c r="AA23" i="1"/>
  <c r="AA14" i="1"/>
  <c r="AF11" i="1"/>
  <c r="AA6" i="1"/>
  <c r="AA7" i="1"/>
  <c r="AA5" i="1"/>
  <c r="AA4" i="1"/>
  <c r="AA3" i="1"/>
  <c r="AA8" i="1"/>
  <c r="AA11" i="1"/>
  <c r="AA10" i="1"/>
  <c r="AA9" i="1"/>
  <c r="O9" i="1"/>
  <c r="O9" i="6"/>
  <c r="U9" i="6"/>
  <c r="W9" i="6"/>
  <c r="M9" i="6"/>
  <c r="S9" i="6"/>
  <c r="P9" i="6"/>
  <c r="A10" i="6"/>
  <c r="X9" i="6"/>
  <c r="AA5" i="2"/>
  <c r="AA58" i="1" l="1"/>
  <c r="AA60" i="1"/>
  <c r="J20" i="1" s="1"/>
  <c r="AF12" i="1"/>
  <c r="O10" i="1"/>
  <c r="U10" i="6"/>
  <c r="M10" i="6"/>
  <c r="W10" i="6"/>
  <c r="O10" i="6"/>
  <c r="S10" i="6"/>
  <c r="P10" i="6"/>
  <c r="A11" i="6"/>
  <c r="X10" i="6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X3" i="2"/>
  <c r="AF13" i="1" l="1"/>
  <c r="O11" i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AA42" i="2"/>
  <c r="AB32" i="2" s="1"/>
  <c r="Y3" i="2"/>
  <c r="S11" i="6"/>
  <c r="U11" i="6"/>
  <c r="M11" i="6"/>
  <c r="W11" i="6"/>
  <c r="O11" i="6"/>
  <c r="P11" i="6"/>
  <c r="A12" i="6"/>
  <c r="X11" i="6"/>
  <c r="AE58" i="1"/>
  <c r="X42" i="2"/>
  <c r="AA45" i="2"/>
  <c r="O42" i="2"/>
  <c r="O22" i="1" l="1"/>
  <c r="AF14" i="1"/>
  <c r="AB35" i="2"/>
  <c r="AB10" i="2"/>
  <c r="AB26" i="2"/>
  <c r="AB20" i="2"/>
  <c r="AB33" i="2"/>
  <c r="AB14" i="2"/>
  <c r="AB29" i="2"/>
  <c r="AB30" i="2"/>
  <c r="AB22" i="2"/>
  <c r="AB36" i="2"/>
  <c r="AB9" i="2"/>
  <c r="AB27" i="2"/>
  <c r="AB15" i="2"/>
  <c r="AB8" i="2"/>
  <c r="AB17" i="2"/>
  <c r="AB24" i="2"/>
  <c r="AB4" i="2"/>
  <c r="AB3" i="2"/>
  <c r="AB5" i="2"/>
  <c r="AB12" i="2"/>
  <c r="AB31" i="2"/>
  <c r="AB16" i="2"/>
  <c r="AB38" i="2"/>
  <c r="AB25" i="2"/>
  <c r="AB11" i="2"/>
  <c r="AB23" i="2"/>
  <c r="AB19" i="2"/>
  <c r="AB18" i="2"/>
  <c r="AB21" i="2"/>
  <c r="AB41" i="2"/>
  <c r="AB40" i="2"/>
  <c r="AB37" i="2"/>
  <c r="AB7" i="2"/>
  <c r="AB6" i="2"/>
  <c r="AB39" i="2"/>
  <c r="AB13" i="2"/>
  <c r="AB34" i="2"/>
  <c r="AB28" i="2"/>
  <c r="U12" i="6"/>
  <c r="W12" i="6"/>
  <c r="O12" i="6"/>
  <c r="M12" i="6"/>
  <c r="S12" i="6"/>
  <c r="P12" i="6"/>
  <c r="A13" i="6"/>
  <c r="X12" i="6"/>
  <c r="Z3" i="2"/>
  <c r="O23" i="1" l="1"/>
  <c r="AF15" i="1"/>
  <c r="AB42" i="2"/>
  <c r="O13" i="6"/>
  <c r="U13" i="6"/>
  <c r="W13" i="6"/>
  <c r="M13" i="6"/>
  <c r="S13" i="6"/>
  <c r="P13" i="6"/>
  <c r="A14" i="6"/>
  <c r="X13" i="6"/>
  <c r="O24" i="1" l="1"/>
  <c r="AF16" i="1"/>
  <c r="O14" i="6"/>
  <c r="U14" i="6"/>
  <c r="W14" i="6"/>
  <c r="M14" i="6"/>
  <c r="S14" i="6"/>
  <c r="P14" i="6"/>
  <c r="A15" i="6"/>
  <c r="X14" i="6"/>
  <c r="O25" i="1" l="1"/>
  <c r="AF17" i="1"/>
  <c r="U15" i="6"/>
  <c r="M15" i="6"/>
  <c r="W15" i="6"/>
  <c r="O15" i="6"/>
  <c r="S15" i="6"/>
  <c r="P15" i="6"/>
  <c r="A16" i="6"/>
  <c r="X15" i="6"/>
  <c r="E4" i="2"/>
  <c r="E5" i="2" s="1"/>
  <c r="O26" i="1" l="1"/>
  <c r="AF18" i="1"/>
  <c r="U16" i="6"/>
  <c r="O16" i="6"/>
  <c r="M16" i="6"/>
  <c r="W16" i="6"/>
  <c r="S16" i="6"/>
  <c r="P16" i="6"/>
  <c r="A17" i="6"/>
  <c r="X16" i="6"/>
  <c r="O27" i="1" l="1"/>
  <c r="AF19" i="1"/>
  <c r="M17" i="6"/>
  <c r="O17" i="6"/>
  <c r="U17" i="6"/>
  <c r="W17" i="6"/>
  <c r="S17" i="6"/>
  <c r="P17" i="6"/>
  <c r="A18" i="6"/>
  <c r="X17" i="6"/>
  <c r="B9" i="3"/>
  <c r="C7" i="3"/>
  <c r="B7" i="3"/>
  <c r="O28" i="1" l="1"/>
  <c r="AF20" i="1"/>
  <c r="S18" i="6"/>
  <c r="W18" i="6"/>
  <c r="M18" i="6"/>
  <c r="O18" i="6"/>
  <c r="U18" i="6"/>
  <c r="P18" i="6"/>
  <c r="A19" i="6"/>
  <c r="X18" i="6"/>
  <c r="D7" i="3"/>
  <c r="B8" i="3"/>
  <c r="O29" i="1" l="1"/>
  <c r="AF21" i="1"/>
  <c r="U19" i="6"/>
  <c r="M19" i="6"/>
  <c r="O19" i="6"/>
  <c r="W19" i="6"/>
  <c r="S19" i="6"/>
  <c r="P19" i="6"/>
  <c r="A20" i="6"/>
  <c r="X19" i="6"/>
  <c r="C8" i="3"/>
  <c r="D8" i="3" s="1"/>
  <c r="D9" i="3"/>
  <c r="E3" i="1"/>
  <c r="E4" i="1" s="1"/>
  <c r="O30" i="1" l="1"/>
  <c r="AF22" i="1"/>
  <c r="S20" i="6"/>
  <c r="M20" i="6"/>
  <c r="O20" i="6"/>
  <c r="U20" i="6"/>
  <c r="W20" i="6"/>
  <c r="P20" i="6"/>
  <c r="A21" i="6"/>
  <c r="X20" i="6"/>
  <c r="E5" i="1"/>
  <c r="E6" i="2"/>
  <c r="O31" i="1" l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AF23" i="1"/>
  <c r="O21" i="6"/>
  <c r="U21" i="6"/>
  <c r="W21" i="6"/>
  <c r="M21" i="6"/>
  <c r="S21" i="6"/>
  <c r="P21" i="6"/>
  <c r="A22" i="6"/>
  <c r="X21" i="6"/>
  <c r="E7" i="2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O32" i="1" l="1"/>
  <c r="B58" i="1"/>
  <c r="B59" i="1" s="1"/>
  <c r="F58" i="1"/>
  <c r="C58" i="1"/>
  <c r="F59" i="1" s="1"/>
  <c r="AF24" i="1"/>
  <c r="M22" i="6"/>
  <c r="U22" i="6"/>
  <c r="W22" i="6"/>
  <c r="O22" i="6"/>
  <c r="S22" i="6"/>
  <c r="P22" i="6"/>
  <c r="A23" i="6"/>
  <c r="X22" i="6"/>
  <c r="C5" i="3"/>
  <c r="E19" i="2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C42" i="2" s="1"/>
  <c r="C2" i="3"/>
  <c r="C4" i="3"/>
  <c r="C3" i="3"/>
  <c r="O33" i="1" l="1"/>
  <c r="C59" i="1"/>
  <c r="AF25" i="1"/>
  <c r="U23" i="6"/>
  <c r="W23" i="6"/>
  <c r="M23" i="6"/>
  <c r="O23" i="6"/>
  <c r="S23" i="6"/>
  <c r="P23" i="6"/>
  <c r="A24" i="6"/>
  <c r="X23" i="6"/>
  <c r="B42" i="2"/>
  <c r="C43" i="2"/>
  <c r="C6" i="3"/>
  <c r="O34" i="1" l="1"/>
  <c r="AF26" i="1"/>
  <c r="U24" i="6"/>
  <c r="W24" i="6"/>
  <c r="M24" i="6"/>
  <c r="O24" i="6"/>
  <c r="S24" i="6"/>
  <c r="P24" i="6"/>
  <c r="A25" i="6"/>
  <c r="X24" i="6"/>
  <c r="B43" i="2"/>
  <c r="B44" i="2" s="1"/>
  <c r="C44" i="2"/>
  <c r="B3" i="3"/>
  <c r="D3" i="3" s="1"/>
  <c r="B4" i="3"/>
  <c r="D4" i="3" s="1"/>
  <c r="O35" i="1" l="1"/>
  <c r="AF27" i="1"/>
  <c r="M25" i="6"/>
  <c r="W25" i="6"/>
  <c r="U25" i="6"/>
  <c r="O25" i="6"/>
  <c r="S25" i="6"/>
  <c r="P25" i="6"/>
  <c r="A26" i="6"/>
  <c r="X25" i="6"/>
  <c r="O36" i="1" l="1"/>
  <c r="AF28" i="1"/>
  <c r="B2" i="3"/>
  <c r="D2" i="3" s="1"/>
  <c r="W26" i="6"/>
  <c r="U26" i="6"/>
  <c r="M26" i="6"/>
  <c r="O26" i="6"/>
  <c r="S26" i="6"/>
  <c r="P26" i="6"/>
  <c r="A27" i="6"/>
  <c r="X26" i="6"/>
  <c r="B5" i="3"/>
  <c r="D5" i="3" s="1"/>
  <c r="B6" i="3"/>
  <c r="D6" i="3" s="1"/>
  <c r="O37" i="1" l="1"/>
  <c r="AF29" i="1"/>
  <c r="U27" i="6"/>
  <c r="M27" i="6"/>
  <c r="O27" i="6"/>
  <c r="W27" i="6"/>
  <c r="S27" i="6"/>
  <c r="P27" i="6"/>
  <c r="A28" i="6"/>
  <c r="X27" i="6"/>
  <c r="O38" i="1" l="1"/>
  <c r="AF30" i="1"/>
  <c r="M28" i="6"/>
  <c r="O28" i="6"/>
  <c r="W28" i="6"/>
  <c r="U28" i="6"/>
  <c r="S28" i="6"/>
  <c r="P28" i="6"/>
  <c r="A29" i="6"/>
  <c r="X28" i="6"/>
  <c r="O39" i="1" l="1"/>
  <c r="AF31" i="1"/>
  <c r="M29" i="6"/>
  <c r="W29" i="6"/>
  <c r="O29" i="6"/>
  <c r="U29" i="6"/>
  <c r="S29" i="6"/>
  <c r="P29" i="6"/>
  <c r="A30" i="6"/>
  <c r="X29" i="6"/>
  <c r="O40" i="1" l="1"/>
  <c r="AF32" i="1"/>
  <c r="S30" i="6"/>
  <c r="O30" i="6"/>
  <c r="M30" i="6"/>
  <c r="W30" i="6"/>
  <c r="U30" i="6"/>
  <c r="P30" i="6"/>
  <c r="K34" i="6"/>
  <c r="A31" i="6"/>
  <c r="X30" i="6"/>
  <c r="O41" i="1" l="1"/>
  <c r="AF33" i="1"/>
  <c r="W31" i="6"/>
  <c r="M31" i="6"/>
  <c r="O31" i="6"/>
  <c r="U31" i="6"/>
  <c r="S31" i="6"/>
  <c r="P31" i="6"/>
  <c r="L33" i="6"/>
  <c r="L3" i="6"/>
  <c r="L4" i="6"/>
  <c r="L5" i="6"/>
  <c r="L6" i="6"/>
  <c r="L8" i="6"/>
  <c r="L9" i="6"/>
  <c r="L10" i="6"/>
  <c r="L11" i="6"/>
  <c r="L7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A32" i="6"/>
  <c r="X31" i="6"/>
  <c r="O42" i="1" l="1"/>
  <c r="AF34" i="1"/>
  <c r="S32" i="6"/>
  <c r="M32" i="6"/>
  <c r="O32" i="6"/>
  <c r="U32" i="6"/>
  <c r="W32" i="6"/>
  <c r="P32" i="6"/>
  <c r="A33" i="6"/>
  <c r="L36" i="6" s="1"/>
  <c r="X32" i="6"/>
  <c r="O43" i="1" l="1"/>
  <c r="AF35" i="1"/>
  <c r="O33" i="6"/>
  <c r="M33" i="6"/>
  <c r="U33" i="6"/>
  <c r="U36" i="6" s="1"/>
  <c r="W33" i="6"/>
  <c r="S33" i="6"/>
  <c r="P33" i="6"/>
  <c r="H5" i="6" a="1"/>
  <c r="H5" i="6" s="1"/>
  <c r="X33" i="6"/>
  <c r="H6" i="6" s="1" a="1"/>
  <c r="H6" i="6" s="1"/>
  <c r="O44" i="1" l="1"/>
  <c r="AF36" i="1"/>
  <c r="S34" i="6"/>
  <c r="U34" i="6"/>
  <c r="V33" i="6" s="1"/>
  <c r="M34" i="6"/>
  <c r="O45" i="1" l="1"/>
  <c r="AF37" i="1"/>
  <c r="V5" i="6"/>
  <c r="V3" i="6"/>
  <c r="V4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T3" i="6"/>
  <c r="T4" i="6"/>
  <c r="T6" i="6"/>
  <c r="T5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N31" i="6"/>
  <c r="N18" i="6"/>
  <c r="N29" i="6"/>
  <c r="N22" i="6"/>
  <c r="N10" i="6"/>
  <c r="N33" i="6"/>
  <c r="N21" i="6"/>
  <c r="N9" i="6"/>
  <c r="N32" i="6"/>
  <c r="N20" i="6"/>
  <c r="N8" i="6"/>
  <c r="N19" i="6"/>
  <c r="N7" i="6"/>
  <c r="N30" i="6"/>
  <c r="N6" i="6"/>
  <c r="N17" i="6"/>
  <c r="N5" i="6"/>
  <c r="N23" i="6"/>
  <c r="N13" i="6"/>
  <c r="N25" i="6"/>
  <c r="N15" i="6"/>
  <c r="N11" i="6"/>
  <c r="N26" i="6"/>
  <c r="N12" i="6"/>
  <c r="N14" i="6"/>
  <c r="N27" i="6"/>
  <c r="N24" i="6"/>
  <c r="N28" i="6"/>
  <c r="N3" i="6"/>
  <c r="N16" i="6"/>
  <c r="N4" i="6"/>
  <c r="O46" i="1" l="1"/>
  <c r="AF38" i="1"/>
  <c r="T36" i="6"/>
  <c r="N36" i="6"/>
  <c r="O47" i="1" l="1"/>
  <c r="AF39" i="1"/>
  <c r="Y42" i="2"/>
  <c r="O48" i="1" l="1"/>
  <c r="AF40" i="1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P42" i="2"/>
  <c r="O49" i="1" l="1"/>
  <c r="AF41" i="1"/>
  <c r="Z4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O50" i="1" l="1"/>
  <c r="AF42" i="1"/>
  <c r="Q42" i="2"/>
  <c r="O51" i="1" l="1"/>
  <c r="AF43" i="1"/>
  <c r="O52" i="1" l="1"/>
  <c r="AF44" i="1"/>
  <c r="O53" i="1" l="1"/>
  <c r="AF45" i="1"/>
  <c r="O54" i="1" l="1"/>
  <c r="AF46" i="1"/>
  <c r="O55" i="1" l="1"/>
  <c r="AF47" i="1"/>
  <c r="O56" i="1" l="1"/>
  <c r="AF48" i="1"/>
  <c r="O57" i="1" l="1"/>
  <c r="AF49" i="1"/>
  <c r="O58" i="1" l="1"/>
  <c r="AF50" i="1"/>
  <c r="P12" i="1" l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AF51" i="1"/>
  <c r="AF52" i="1" l="1"/>
  <c r="AF53" i="1" l="1"/>
  <c r="AF54" i="1" l="1"/>
  <c r="AF55" i="1" l="1"/>
  <c r="AF56" i="1" l="1"/>
  <c r="AF57" i="1" l="1"/>
  <c r="AF58" i="1"/>
  <c r="AG56" i="1" s="1"/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7" i="1"/>
  <c r="AG59" i="1" l="1"/>
  <c r="AG58" i="1"/>
  <c r="Y7" i="1" l="1"/>
  <c r="Y5" i="1"/>
  <c r="Y4" i="1"/>
  <c r="Y9" i="1"/>
  <c r="Y8" i="1"/>
  <c r="Y6" i="1"/>
  <c r="Y11" i="1"/>
  <c r="Y3" i="1"/>
  <c r="Y58" i="1" s="1"/>
  <c r="Y10" i="1"/>
  <c r="P3" i="1"/>
  <c r="P4" i="1"/>
  <c r="P5" i="1"/>
  <c r="P6" i="1"/>
  <c r="P7" i="1"/>
  <c r="P8" i="1"/>
  <c r="P9" i="1"/>
  <c r="P10" i="1"/>
  <c r="P11" i="1"/>
  <c r="P58" i="1" l="1"/>
  <c r="Y60" i="1"/>
  <c r="P6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CF019C-D67C-4C61-86E1-DDE917C7D7C7}" keepAlive="1" name="Query - P_hospital" description="Connection to the 'P_hospital' query in the workbook." type="5" refreshedVersion="6" background="1" saveData="1">
    <dbPr connection="Provider=Microsoft.Mashup.OleDb.1;Data Source=$Workbook$;Location=P_hospital;Extended Properties=&quot;&quot;" command="SELECT * FROM [P_hospital]"/>
  </connection>
  <connection id="2" xr16:uid="{E6754546-3E45-4ECB-A958-B266361B0095}" keepAlive="1" name="Query - P_smrt_vyliecenie_hosp_O" description="Connection to the 'P_smrt_vyliecenie_hosp_O' query in the workbook." type="5" refreshedVersion="6" background="1" saveData="1">
    <dbPr connection="Provider=Microsoft.Mashup.OleDb.1;Data Source=$Workbook$;Location=P_smrt_vyliecenie_hosp_O;Extended Properties=&quot;&quot;" command="SELECT * FROM [P_smrt_vyliecenie_hosp_O]"/>
  </connection>
  <connection id="3" xr16:uid="{E4161295-A62C-4615-A100-D285FC1ECF55}" keepAlive="1" name="Query - P_smrt_vyliecenie_hosp_Y" description="Connection to the 'P_smrt_vyliecenie_hosp_Y' query in the workbook." type="5" refreshedVersion="6" background="1" saveData="1">
    <dbPr connection="Provider=Microsoft.Mashup.OleDb.1;Data Source=$Workbook$;Location=P_smrt_vyliecenie_hosp_Y;Extended Properties=&quot;&quot;" command="SELECT * FROM [P_smrt_vyliecenie_hosp_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<sst xmlns="http://schemas.openxmlformats.org/spreadsheetml/2006/main" count="105" uniqueCount="73">
  <si>
    <t>day</t>
  </si>
  <si>
    <t>avg days to recovery</t>
  </si>
  <si>
    <t>probability of death</t>
  </si>
  <si>
    <t>avg days to terminate</t>
  </si>
  <si>
    <t>survival rate</t>
  </si>
  <si>
    <t>days to death</t>
  </si>
  <si>
    <t>P_death</t>
  </si>
  <si>
    <t>P_rec</t>
  </si>
  <si>
    <t>P_cont</t>
  </si>
  <si>
    <t>OLD</t>
  </si>
  <si>
    <t>sample size</t>
  </si>
  <si>
    <t>TOTAL</t>
  </si>
  <si>
    <t>Young</t>
  </si>
  <si>
    <t>Old</t>
  </si>
  <si>
    <t>P_cont_cum</t>
  </si>
  <si>
    <t>YOUNG</t>
  </si>
  <si>
    <t>hospitalization rate</t>
  </si>
  <si>
    <t>time to hospital</t>
  </si>
  <si>
    <t>raw</t>
  </si>
  <si>
    <t>smooth</t>
  </si>
  <si>
    <t>Death</t>
  </si>
  <si>
    <t>Recovery</t>
  </si>
  <si>
    <t>damping - death</t>
  </si>
  <si>
    <t>damping - recovery</t>
  </si>
  <si>
    <t>T</t>
  </si>
  <si>
    <t>lambda_y</t>
  </si>
  <si>
    <t>lambda_o</t>
  </si>
  <si>
    <t>DP_o</t>
  </si>
  <si>
    <t>DP_y</t>
  </si>
  <si>
    <t>dy</t>
  </si>
  <si>
    <t>Py_ma</t>
  </si>
  <si>
    <t>Py</t>
  </si>
  <si>
    <t>Po_ma</t>
  </si>
  <si>
    <t>Po</t>
  </si>
  <si>
    <t>do</t>
  </si>
  <si>
    <t>fy</t>
  </si>
  <si>
    <t>Chi_y</t>
  </si>
  <si>
    <t>DP_y_raw</t>
  </si>
  <si>
    <t>Pois_y</t>
  </si>
  <si>
    <t>average time</t>
  </si>
  <si>
    <t>py</t>
  </si>
  <si>
    <t>L_y</t>
  </si>
  <si>
    <t>parameter</t>
  </si>
  <si>
    <t>DP_o_raw</t>
  </si>
  <si>
    <t>fo</t>
  </si>
  <si>
    <t>Pois_o</t>
  </si>
  <si>
    <t>Chi_o</t>
  </si>
  <si>
    <t>L_o</t>
  </si>
  <si>
    <t>po</t>
  </si>
  <si>
    <t>Column1</t>
  </si>
  <si>
    <t>Column2</t>
  </si>
  <si>
    <t>log</t>
  </si>
  <si>
    <t>adj</t>
  </si>
  <si>
    <t>pareto</t>
  </si>
  <si>
    <t>checksum</t>
  </si>
  <si>
    <t>log_p</t>
  </si>
  <si>
    <t>pareto_c</t>
  </si>
  <si>
    <t>gamma_a</t>
  </si>
  <si>
    <t>gamma_b</t>
  </si>
  <si>
    <t>gamma</t>
  </si>
  <si>
    <t>gg_a</t>
  </si>
  <si>
    <t>gg_d</t>
  </si>
  <si>
    <t>gg_p</t>
  </si>
  <si>
    <t>GG</t>
  </si>
  <si>
    <t>gom_b</t>
  </si>
  <si>
    <t>gom_s</t>
  </si>
  <si>
    <t>gom_c</t>
  </si>
  <si>
    <t>Gomp</t>
  </si>
  <si>
    <t>w</t>
  </si>
  <si>
    <t>Mix</t>
  </si>
  <si>
    <t>ALT</t>
  </si>
  <si>
    <t>trueval</t>
  </si>
  <si>
    <t>tarval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</si>
</sst>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1" fillId="2" borderId="0" xfId="0" applyFont="1" applyFill="1"/>
    <xf numFmtId="2" fontId="0" fillId="0" borderId="0" xfId="0" applyNumberFormat="1"/>
    <xf numFmtId="10" fontId="0" fillId="0" borderId="0" xfId="1" applyNumberFormat="1" applyFon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7" fillId="0" borderId="0" xfId="0" applyFont="1"/>
    <xf numFmtId="0" fontId="7" fillId="0" borderId="0" xfId="0" applyFont="1" applyFill="1"/>
    <xf numFmtId="0" fontId="5" fillId="2" borderId="0" xfId="0" applyFont="1" applyFill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7" fillId="0" borderId="0" xfId="0" applyFont="1" applyFill="1" applyBorder="1"/>
    <xf numFmtId="0" fontId="8" fillId="0" borderId="0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7" fillId="0" borderId="14" xfId="0" applyFont="1" applyBorder="1"/>
    <xf numFmtId="0" fontId="0" fillId="0" borderId="15" xfId="0" applyBorder="1"/>
    <xf numFmtId="0" fontId="0" fillId="4" borderId="15" xfId="0" applyFill="1" applyBorder="1"/>
    <xf numFmtId="0" fontId="7" fillId="3" borderId="15" xfId="0" applyFont="1" applyFill="1" applyBorder="1"/>
    <xf numFmtId="0" fontId="0" fillId="6" borderId="15" xfId="0" applyFill="1" applyBorder="1"/>
    <xf numFmtId="0" fontId="0" fillId="5" borderId="16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3" borderId="0" xfId="0" applyFont="1" applyFill="1" applyAlignment="1">
      <alignment horizontal="center"/>
    </xf>
    <xf numFmtId="0" fontId="2" fillId="7" borderId="0" xfId="0" applyFont="1" applyFill="1"/>
    <xf numFmtId="0" fontId="0" fillId="7" borderId="0" xfId="0" applyFill="1"/>
    <xf numFmtId="0" fontId="11" fillId="7" borderId="0" xfId="0" applyFont="1" applyFill="1"/>
    <xf numFmtId="0" fontId="10" fillId="7" borderId="0" xfId="0" applyFont="1" applyFill="1"/>
    <xf numFmtId="0" fontId="0" fillId="0" borderId="0" xfId="0" applyFill="1" applyBorder="1"/>
    <xf numFmtId="0" fontId="12" fillId="7" borderId="0" xfId="0" applyFont="1" applyFill="1"/>
    <xf numFmtId="0" fontId="13" fillId="7" borderId="0" xfId="0" applyFont="1" applyFill="1"/>
    <xf numFmtId="0" fontId="6" fillId="2" borderId="0" xfId="0" applyFont="1" applyFill="1"/>
    <xf numFmtId="0" fontId="9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1" fillId="0" borderId="0" xfId="0" applyFont="1"/>
    <xf numFmtId="0" fontId="10" fillId="0" borderId="0" xfId="0" applyFont="1"/>
  </cellXfs>
  <cellStyles count="2">
    <cellStyle name="Normal" xfId="0" builtinId="0"/>
    <cellStyle name="Percent" xfId="1" builtinId="5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death - Young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young!$O$2</c:f>
              <c:strCache>
                <c:ptCount val="1"/>
                <c:pt idx="0">
                  <c:v>raw</c:v>
                </c:pt>
              </c:strCache>
            </c:strRef>
          </c:tx>
          <c:spPr>
            <a:ln w="317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young!$O$3:$O$41</c:f>
              <c:numCache>
                <c:formatCode>General</c:formatCode>
                <c:ptCount val="39"/>
                <c:pt idx="0">
                  <c:v>0.13793103448275862</c:v>
                </c:pt>
                <c:pt idx="1">
                  <c:v>0.10344827586206896</c:v>
                </c:pt>
                <c:pt idx="2">
                  <c:v>6.8965517241379282E-2</c:v>
                </c:pt>
                <c:pt idx="3">
                  <c:v>3.4482758620689682E-2</c:v>
                </c:pt>
                <c:pt idx="4">
                  <c:v>3.4482758620689627E-2</c:v>
                </c:pt>
                <c:pt idx="5">
                  <c:v>0.10344827586206899</c:v>
                </c:pt>
                <c:pt idx="6">
                  <c:v>0.10344827586206899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3.4482758620689564E-2</c:v>
                </c:pt>
                <c:pt idx="12">
                  <c:v>0</c:v>
                </c:pt>
                <c:pt idx="13">
                  <c:v>3.4482758620689682E-2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6.8965517241379365E-2</c:v>
                </c:pt>
                <c:pt idx="19">
                  <c:v>3.4482758620689564E-2</c:v>
                </c:pt>
                <c:pt idx="20">
                  <c:v>0</c:v>
                </c:pt>
                <c:pt idx="21">
                  <c:v>6.8965517241379365E-2</c:v>
                </c:pt>
                <c:pt idx="22">
                  <c:v>0</c:v>
                </c:pt>
                <c:pt idx="23">
                  <c:v>0</c:v>
                </c:pt>
                <c:pt idx="24">
                  <c:v>3.4482758620689682E-2</c:v>
                </c:pt>
                <c:pt idx="25">
                  <c:v>0</c:v>
                </c:pt>
                <c:pt idx="26">
                  <c:v>3.4482758620689564E-2</c:v>
                </c:pt>
                <c:pt idx="27">
                  <c:v>0</c:v>
                </c:pt>
                <c:pt idx="28">
                  <c:v>0</c:v>
                </c:pt>
                <c:pt idx="29">
                  <c:v>3.4482758620689682E-2</c:v>
                </c:pt>
                <c:pt idx="30">
                  <c:v>3.4482758620689682E-2</c:v>
                </c:pt>
                <c:pt idx="31">
                  <c:v>3.4482758620689682E-2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13-4163-BF1B-515F8CACF435}"/>
            </c:ext>
          </c:extLst>
        </c:ser>
        <c:ser>
          <c:idx val="1"/>
          <c:order val="1"/>
          <c:tx>
            <c:strRef>
              <c:f>young!$Q$2</c:f>
              <c:strCache>
                <c:ptCount val="1"/>
                <c:pt idx="0">
                  <c:v>smooth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young!$Q$3:$Q$41</c:f>
              <c:numCache>
                <c:formatCode>General</c:formatCode>
                <c:ptCount val="39"/>
                <c:pt idx="0">
                  <c:v>0.11808894718190492</c:v>
                </c:pt>
                <c:pt idx="1">
                  <c:v>0.10480394062394062</c:v>
                </c:pt>
                <c:pt idx="2">
                  <c:v>8.4212180459095939E-2</c:v>
                </c:pt>
                <c:pt idx="3">
                  <c:v>5.9601705810467087E-2</c:v>
                </c:pt>
                <c:pt idx="4">
                  <c:v>4.6065944753721194E-2</c:v>
                </c:pt>
                <c:pt idx="5">
                  <c:v>6.5191289288439577E-2</c:v>
                </c:pt>
                <c:pt idx="6">
                  <c:v>7.5710228782534694E-2</c:v>
                </c:pt>
                <c:pt idx="7">
                  <c:v>4.1640625830394087E-2</c:v>
                </c:pt>
                <c:pt idx="8">
                  <c:v>2.2902344206716746E-2</c:v>
                </c:pt>
                <c:pt idx="9">
                  <c:v>1.2596289313694211E-2</c:v>
                </c:pt>
                <c:pt idx="10">
                  <c:v>6.9279591225318163E-3</c:v>
                </c:pt>
                <c:pt idx="11">
                  <c:v>1.7095384075356771E-2</c:v>
                </c:pt>
                <c:pt idx="12">
                  <c:v>9.402461241446225E-3</c:v>
                </c:pt>
                <c:pt idx="13">
                  <c:v>1.845636024075974E-2</c:v>
                </c:pt>
                <c:pt idx="14">
                  <c:v>1.0150998132417858E-2</c:v>
                </c:pt>
                <c:pt idx="15">
                  <c:v>5.5830489728298221E-3</c:v>
                </c:pt>
                <c:pt idx="16">
                  <c:v>3.0706769350564026E-3</c:v>
                </c:pt>
                <c:pt idx="17">
                  <c:v>1.6888723142810217E-3</c:v>
                </c:pt>
                <c:pt idx="18">
                  <c:v>2.749889288878319E-2</c:v>
                </c:pt>
                <c:pt idx="19">
                  <c:v>2.8409397646795023E-2</c:v>
                </c:pt>
                <c:pt idx="20">
                  <c:v>1.5625168705737266E-2</c:v>
                </c:pt>
                <c:pt idx="21">
                  <c:v>3.5163855904084128E-2</c:v>
                </c:pt>
                <c:pt idx="22">
                  <c:v>1.9340120747246271E-2</c:v>
                </c:pt>
                <c:pt idx="23">
                  <c:v>1.0637066410985449E-2</c:v>
                </c:pt>
                <c:pt idx="24">
                  <c:v>1.9135393084006313E-2</c:v>
                </c:pt>
                <c:pt idx="25">
                  <c:v>1.0524466196203472E-2</c:v>
                </c:pt>
                <c:pt idx="26">
                  <c:v>1.907346296587618E-2</c:v>
                </c:pt>
                <c:pt idx="27">
                  <c:v>1.0490404631231898E-2</c:v>
                </c:pt>
                <c:pt idx="28">
                  <c:v>5.7697225471775452E-3</c:v>
                </c:pt>
                <c:pt idx="29">
                  <c:v>1.6458353958911966E-2</c:v>
                </c:pt>
                <c:pt idx="30">
                  <c:v>2.2337101235365895E-2</c:v>
                </c:pt>
                <c:pt idx="31">
                  <c:v>2.5570412237415557E-2</c:v>
                </c:pt>
                <c:pt idx="32">
                  <c:v>1.4063726730578558E-2</c:v>
                </c:pt>
                <c:pt idx="33">
                  <c:v>7.7350497018182076E-3</c:v>
                </c:pt>
                <c:pt idx="34">
                  <c:v>4.254277336000015E-3</c:v>
                </c:pt>
                <c:pt idx="35">
                  <c:v>2.3398525348000084E-3</c:v>
                </c:pt>
                <c:pt idx="36">
                  <c:v>1.2869188941400046E-3</c:v>
                </c:pt>
                <c:pt idx="37">
                  <c:v>7.0780539177700259E-4</c:v>
                </c:pt>
                <c:pt idx="38">
                  <c:v>3.8929296547735145E-4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13-4163-BF1B-515F8CACF435}"/>
            </c:ext>
          </c:extLst>
        </c:ser>
        <c:ser>
          <c:idx val="2"/>
          <c:order val="2"/>
          <c:tx>
            <c:strRef>
              <c:f>young!$S$2</c:f>
              <c:strCache>
                <c:ptCount val="1"/>
                <c:pt idx="0">
                  <c:v>log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young!$S$3:$S$41</c:f>
              <c:numCache>
                <c:formatCode>General</c:formatCode>
                <c:ptCount val="39"/>
                <c:pt idx="0">
                  <c:v>0.23511733110353703</c:v>
                </c:pt>
                <c:pt idx="1">
                  <c:v>0.11755748996511298</c:v>
                </c:pt>
                <c:pt idx="2">
                  <c:v>7.8370876260142233E-2</c:v>
                </c:pt>
                <c:pt idx="3">
                  <c:v>5.8777569413534722E-2</c:v>
                </c:pt>
                <c:pt idx="4">
                  <c:v>4.7021585310272486E-2</c:v>
                </c:pt>
                <c:pt idx="5">
                  <c:v>3.9184262578682814E-2</c:v>
                </c:pt>
                <c:pt idx="6">
                  <c:v>3.3586174916620311E-2</c:v>
                </c:pt>
                <c:pt idx="7">
                  <c:v>2.9387609173012252E-2</c:v>
                </c:pt>
                <c:pt idx="8">
                  <c:v>2.6122058041707127E-2</c:v>
                </c:pt>
                <c:pt idx="9">
                  <c:v>2.3509617139014043E-2</c:v>
                </c:pt>
                <c:pt idx="10">
                  <c:v>2.1372165493493321E-2</c:v>
                </c:pt>
                <c:pt idx="11">
                  <c:v>1.959095579085186E-2</c:v>
                </c:pt>
                <c:pt idx="12">
                  <c:v>1.8083778351963644E-2</c:v>
                </c:pt>
                <c:pt idx="13">
                  <c:v>1.6791911977452972E-2</c:v>
                </c:pt>
                <c:pt idx="14">
                  <c:v>1.5672294454444319E-2</c:v>
                </c:pt>
                <c:pt idx="15">
                  <c:v>1.469262912328104E-2</c:v>
                </c:pt>
                <c:pt idx="16">
                  <c:v>1.3828218538343351E-2</c:v>
                </c:pt>
                <c:pt idx="17">
                  <c:v>1.3059853575260303E-2</c:v>
                </c:pt>
                <c:pt idx="18">
                  <c:v>1.2372369135844309E-2</c:v>
                </c:pt>
                <c:pt idx="19">
                  <c:v>1.1753633141545304E-2</c:v>
                </c:pt>
                <c:pt idx="20">
                  <c:v>1.1193824385917992E-2</c:v>
                </c:pt>
                <c:pt idx="21">
                  <c:v>1.0684907336416215E-2</c:v>
                </c:pt>
                <c:pt idx="22">
                  <c:v>1.0220243944414904E-2</c:v>
                </c:pt>
                <c:pt idx="23">
                  <c:v>9.7943025027264815E-3</c:v>
                </c:pt>
                <c:pt idx="24">
                  <c:v>9.4024363773133977E-3</c:v>
                </c:pt>
                <c:pt idx="25">
                  <c:v>9.0407138009131003E-3</c:v>
                </c:pt>
                <c:pt idx="26">
                  <c:v>8.7057854903019385E-3</c:v>
                </c:pt>
                <c:pt idx="27">
                  <c:v>8.3947806312882154E-3</c:v>
                </c:pt>
                <c:pt idx="28">
                  <c:v>8.1052243840514914E-3</c:v>
                </c:pt>
                <c:pt idx="29">
                  <c:v>7.8349718874140637E-3</c:v>
                </c:pt>
                <c:pt idx="30">
                  <c:v>7.5821550364792174E-3</c:v>
                </c:pt>
                <c:pt idx="31">
                  <c:v>7.3451392394623246E-3</c:v>
                </c:pt>
                <c:pt idx="32">
                  <c:v>7.1224880369162953E-3</c:v>
                </c:pt>
                <c:pt idx="33">
                  <c:v>6.9129339646231058E-3</c:v>
                </c:pt>
                <c:pt idx="34">
                  <c:v>6.7153544114182187E-3</c:v>
                </c:pt>
                <c:pt idx="35">
                  <c:v>6.5287515007109356E-3</c:v>
                </c:pt>
                <c:pt idx="36">
                  <c:v>6.3522352344609042E-3</c:v>
                </c:pt>
                <c:pt idx="37">
                  <c:v>6.1850092986320167E-3</c:v>
                </c:pt>
                <c:pt idx="38">
                  <c:v>6.0263590524226472E-3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13-4163-BF1B-515F8CACF435}"/>
            </c:ext>
          </c:extLst>
        </c:ser>
        <c:ser>
          <c:idx val="3"/>
          <c:order val="3"/>
          <c:tx>
            <c:strRef>
              <c:f>young!$T$2</c:f>
              <c:strCache>
                <c:ptCount val="1"/>
                <c:pt idx="0">
                  <c:v>adj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young!$T$3:$T$41</c:f>
              <c:numCache>
                <c:formatCode>General</c:formatCode>
                <c:ptCount val="39"/>
                <c:pt idx="0">
                  <c:v>0.13793103448275862</c:v>
                </c:pt>
                <c:pt idx="1">
                  <c:v>0.10344827586206895</c:v>
                </c:pt>
                <c:pt idx="2">
                  <c:v>6.8965517241379282E-2</c:v>
                </c:pt>
                <c:pt idx="3">
                  <c:v>3.4482758620689669E-2</c:v>
                </c:pt>
                <c:pt idx="4">
                  <c:v>3.4482758620689669E-2</c:v>
                </c:pt>
                <c:pt idx="5">
                  <c:v>0.10344827586206895</c:v>
                </c:pt>
                <c:pt idx="6">
                  <c:v>6.8965517241379337E-2</c:v>
                </c:pt>
                <c:pt idx="7">
                  <c:v>6.8965517241379226E-2</c:v>
                </c:pt>
                <c:pt idx="8">
                  <c:v>0</c:v>
                </c:pt>
                <c:pt idx="9">
                  <c:v>3.4482758620689724E-2</c:v>
                </c:pt>
                <c:pt idx="10">
                  <c:v>0</c:v>
                </c:pt>
                <c:pt idx="11">
                  <c:v>6.8965517241379337E-2</c:v>
                </c:pt>
                <c:pt idx="12">
                  <c:v>3.4482758620689613E-2</c:v>
                </c:pt>
                <c:pt idx="13">
                  <c:v>6.8965517241379337E-2</c:v>
                </c:pt>
                <c:pt idx="14">
                  <c:v>3.4482758620689724E-2</c:v>
                </c:pt>
                <c:pt idx="15">
                  <c:v>3.4482758620689502E-2</c:v>
                </c:pt>
                <c:pt idx="16">
                  <c:v>3.4482758620689724E-2</c:v>
                </c:pt>
                <c:pt idx="17">
                  <c:v>0</c:v>
                </c:pt>
                <c:pt idx="18">
                  <c:v>3.4482758620689613E-2</c:v>
                </c:pt>
                <c:pt idx="19">
                  <c:v>0</c:v>
                </c:pt>
                <c:pt idx="20">
                  <c:v>3.4482758620689724E-2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13-4163-BF1B-515F8CACF435}"/>
            </c:ext>
          </c:extLst>
        </c:ser>
        <c:ser>
          <c:idx val="4"/>
          <c:order val="4"/>
          <c:tx>
            <c:strRef>
              <c:f>young!$V$2</c:f>
              <c:strCache>
                <c:ptCount val="1"/>
                <c:pt idx="0">
                  <c:v>pareto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young!$V$3:$V$41</c:f>
              <c:numCache>
                <c:formatCode>General</c:formatCode>
                <c:ptCount val="39"/>
                <c:pt idx="0">
                  <c:v>0.16135396197338889</c:v>
                </c:pt>
                <c:pt idx="1">
                  <c:v>9.3837013477199221E-2</c:v>
                </c:pt>
                <c:pt idx="2">
                  <c:v>6.8339345095484713E-2</c:v>
                </c:pt>
                <c:pt idx="3">
                  <c:v>5.4571855507163106E-2</c:v>
                </c:pt>
                <c:pt idx="4">
                  <c:v>4.5833718215054879E-2</c:v>
                </c:pt>
                <c:pt idx="5">
                  <c:v>3.9743430953406551E-2</c:v>
                </c:pt>
                <c:pt idx="6">
                  <c:v>3.523002622633864E-2</c:v>
                </c:pt>
                <c:pt idx="7">
                  <c:v>3.1736809422417432E-2</c:v>
                </c:pt>
                <c:pt idx="8">
                  <c:v>2.8944229388367847E-2</c:v>
                </c:pt>
                <c:pt idx="9">
                  <c:v>2.6655058117293556E-2</c:v>
                </c:pt>
                <c:pt idx="10">
                  <c:v>2.4740618583275215E-2</c:v>
                </c:pt>
                <c:pt idx="11">
                  <c:v>2.3113190530890188E-2</c:v>
                </c:pt>
                <c:pt idx="12">
                  <c:v>2.1710805280539123E-2</c:v>
                </c:pt>
                <c:pt idx="13">
                  <c:v>2.0488374784055439E-2</c:v>
                </c:pt>
                <c:pt idx="14">
                  <c:v>1.9412267587358163E-2</c:v>
                </c:pt>
                <c:pt idx="15">
                  <c:v>1.8456859546999195E-2</c:v>
                </c:pt>
                <c:pt idx="16">
                  <c:v>1.7602265903849494E-2</c:v>
                </c:pt>
                <c:pt idx="17">
                  <c:v>1.6832806644384472E-2</c:v>
                </c:pt>
                <c:pt idx="18">
                  <c:v>1.613594176505578E-2</c:v>
                </c:pt>
                <c:pt idx="19">
                  <c:v>1.5501516152423437E-2</c:v>
                </c:pt>
                <c:pt idx="20">
                  <c:v>1.4921213526828698E-2</c:v>
                </c:pt>
                <c:pt idx="21">
                  <c:v>1.4388154657249293E-2</c:v>
                </c:pt>
                <c:pt idx="22">
                  <c:v>1.3896597089912248E-2</c:v>
                </c:pt>
                <c:pt idx="23">
                  <c:v>1.3441707565296192E-2</c:v>
                </c:pt>
                <c:pt idx="24">
                  <c:v>1.3019387312990266E-2</c:v>
                </c:pt>
                <c:pt idx="25">
                  <c:v>1.262613636996898E-2</c:v>
                </c:pt>
                <c:pt idx="26">
                  <c:v>1.2258947078230192E-2</c:v>
                </c:pt>
                <c:pt idx="27">
                  <c:v>1.1915219665039252E-2</c:v>
                </c:pt>
                <c:pt idx="28">
                  <c:v>1.1592694721010908E-2</c:v>
                </c:pt>
                <c:pt idx="29">
                  <c:v>1.1289398741373012E-2</c:v>
                </c:pt>
                <c:pt idx="30">
                  <c:v>1.100359986196109E-2</c:v>
                </c:pt>
                <c:pt idx="31">
                  <c:v>1.0733771621574276E-2</c:v>
                </c:pt>
                <c:pt idx="32">
                  <c:v>1.0478563095445115E-2</c:v>
                </c:pt>
                <c:pt idx="33">
                  <c:v>1.0236774124710872E-2</c:v>
                </c:pt>
                <c:pt idx="34">
                  <c:v>1.0007334651214235E-2</c:v>
                </c:pt>
                <c:pt idx="35">
                  <c:v>9.7892873817917031E-3</c:v>
                </c:pt>
                <c:pt idx="36">
                  <c:v>9.5817731698902512E-3</c:v>
                </c:pt>
                <c:pt idx="37">
                  <c:v>9.3840186280926881E-3</c:v>
                </c:pt>
                <c:pt idx="38">
                  <c:v>9.1953255824752077E-3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13-4163-BF1B-515F8CACF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3078616"/>
        <c:axId val="1103078944"/>
      </c:lineChart>
      <c:catAx>
        <c:axId val="1103078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078944"/>
        <c:crosses val="autoZero"/>
        <c:auto val="1"/>
        <c:lblAlgn val="ctr"/>
        <c:lblOffset val="100"/>
        <c:noMultiLvlLbl val="0"/>
      </c:catAx>
      <c:valAx>
        <c:axId val="110307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078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recovery - Young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young!$X$2</c:f>
              <c:strCache>
                <c:ptCount val="1"/>
                <c:pt idx="0">
                  <c:v>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young!$X$3:$X$41</c:f>
              <c:numCache>
                <c:formatCode>General</c:formatCode>
                <c:ptCount val="39"/>
                <c:pt idx="0">
                  <c:v>0</c:v>
                </c:pt>
                <c:pt idx="1">
                  <c:v>2.9866117404737387E-2</c:v>
                </c:pt>
                <c:pt idx="2">
                  <c:v>8.1359423274974252E-2</c:v>
                </c:pt>
                <c:pt idx="3">
                  <c:v>8.9598352214212168E-2</c:v>
                </c:pt>
                <c:pt idx="4">
                  <c:v>8.4449021627188481E-2</c:v>
                </c:pt>
                <c:pt idx="5">
                  <c:v>0.10092687950566424</c:v>
                </c:pt>
                <c:pt idx="6">
                  <c:v>9.2687950566426397E-2</c:v>
                </c:pt>
                <c:pt idx="7">
                  <c:v>7.9299691040164794E-2</c:v>
                </c:pt>
                <c:pt idx="8">
                  <c:v>7.518022657054578E-2</c:v>
                </c:pt>
                <c:pt idx="9">
                  <c:v>6.4881565396498517E-2</c:v>
                </c:pt>
                <c:pt idx="10">
                  <c:v>5.6642636457260497E-2</c:v>
                </c:pt>
                <c:pt idx="11">
                  <c:v>4.6343975283213226E-2</c:v>
                </c:pt>
                <c:pt idx="12">
                  <c:v>3.7075180226570463E-2</c:v>
                </c:pt>
                <c:pt idx="13">
                  <c:v>2.7806385169927936E-2</c:v>
                </c:pt>
                <c:pt idx="14">
                  <c:v>1.7507723995880551E-2</c:v>
                </c:pt>
                <c:pt idx="15">
                  <c:v>1.7507723995880551E-2</c:v>
                </c:pt>
                <c:pt idx="16">
                  <c:v>2.2657054582904242E-2</c:v>
                </c:pt>
                <c:pt idx="17">
                  <c:v>7.2090628218331679E-3</c:v>
                </c:pt>
                <c:pt idx="18">
                  <c:v>5.1493305870236915E-3</c:v>
                </c:pt>
                <c:pt idx="19">
                  <c:v>1.235839340885686E-2</c:v>
                </c:pt>
                <c:pt idx="20">
                  <c:v>1.1328527291452121E-2</c:v>
                </c:pt>
                <c:pt idx="21">
                  <c:v>2.0597322348094769E-3</c:v>
                </c:pt>
                <c:pt idx="22">
                  <c:v>2.0597322348094769E-3</c:v>
                </c:pt>
                <c:pt idx="23">
                  <c:v>2.0597322348093624E-3</c:v>
                </c:pt>
                <c:pt idx="24">
                  <c:v>6.1791967044284302E-3</c:v>
                </c:pt>
                <c:pt idx="25">
                  <c:v>0</c:v>
                </c:pt>
                <c:pt idx="26">
                  <c:v>5.1493305870236915E-3</c:v>
                </c:pt>
                <c:pt idx="27">
                  <c:v>0</c:v>
                </c:pt>
                <c:pt idx="28">
                  <c:v>0</c:v>
                </c:pt>
                <c:pt idx="29">
                  <c:v>2.0597322348094769E-3</c:v>
                </c:pt>
                <c:pt idx="30">
                  <c:v>0</c:v>
                </c:pt>
                <c:pt idx="31">
                  <c:v>5.1493305870236915E-3</c:v>
                </c:pt>
                <c:pt idx="32">
                  <c:v>2.0597322348094769E-3</c:v>
                </c:pt>
                <c:pt idx="33">
                  <c:v>3.0895983522142151E-3</c:v>
                </c:pt>
                <c:pt idx="34">
                  <c:v>2.0597322348094769E-3</c:v>
                </c:pt>
                <c:pt idx="35">
                  <c:v>3.0895983522142151E-3</c:v>
                </c:pt>
                <c:pt idx="36">
                  <c:v>0</c:v>
                </c:pt>
                <c:pt idx="37">
                  <c:v>0</c:v>
                </c:pt>
                <c:pt idx="38">
                  <c:v>5.1493305870236915E-3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D3-4495-ABC3-A577439EE18B}"/>
            </c:ext>
          </c:extLst>
        </c:ser>
        <c:ser>
          <c:idx val="1"/>
          <c:order val="1"/>
          <c:tx>
            <c:strRef>
              <c:f>young!$Z$2</c:f>
              <c:strCache>
                <c:ptCount val="1"/>
                <c:pt idx="0">
                  <c:v>smooth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young!$Z$3:$Z$41</c:f>
              <c:numCache>
                <c:formatCode>General</c:formatCode>
                <c:ptCount val="39"/>
                <c:pt idx="0">
                  <c:v>0</c:v>
                </c:pt>
                <c:pt idx="1">
                  <c:v>1.9449301294080876E-2</c:v>
                </c:pt>
                <c:pt idx="2">
                  <c:v>5.9789834840252076E-2</c:v>
                </c:pt>
                <c:pt idx="3">
                  <c:v>7.9274346076330882E-2</c:v>
                </c:pt>
                <c:pt idx="4">
                  <c:v>8.2740597199634155E-2</c:v>
                </c:pt>
                <c:pt idx="5">
                  <c:v>9.4684434082628013E-2</c:v>
                </c:pt>
                <c:pt idx="6">
                  <c:v>9.3499452496757021E-2</c:v>
                </c:pt>
                <c:pt idx="7">
                  <c:v>8.4366056637459025E-2</c:v>
                </c:pt>
                <c:pt idx="8">
                  <c:v>7.848670583924526E-2</c:v>
                </c:pt>
                <c:pt idx="9">
                  <c:v>6.9722277441221919E-2</c:v>
                </c:pt>
                <c:pt idx="10">
                  <c:v>6.1289403006994814E-2</c:v>
                </c:pt>
                <c:pt idx="11">
                  <c:v>5.1631241336366811E-2</c:v>
                </c:pt>
                <c:pt idx="12">
                  <c:v>4.2214894694863211E-2</c:v>
                </c:pt>
                <c:pt idx="13">
                  <c:v>3.2883183313553305E-2</c:v>
                </c:pt>
                <c:pt idx="14">
                  <c:v>2.2910428711446253E-2</c:v>
                </c:pt>
                <c:pt idx="15">
                  <c:v>1.9419964600708783E-2</c:v>
                </c:pt>
                <c:pt idx="16">
                  <c:v>2.1551629971274959E-2</c:v>
                </c:pt>
                <c:pt idx="17">
                  <c:v>1.2237729423000245E-2</c:v>
                </c:pt>
                <c:pt idx="18">
                  <c:v>7.6365331073743777E-3</c:v>
                </c:pt>
                <c:pt idx="19">
                  <c:v>1.0720773329959335E-2</c:v>
                </c:pt>
                <c:pt idx="20">
                  <c:v>1.1129591845999209E-2</c:v>
                </c:pt>
                <c:pt idx="21">
                  <c:v>5.2366882698294407E-3</c:v>
                </c:pt>
                <c:pt idx="22">
                  <c:v>3.1741720181700218E-3</c:v>
                </c:pt>
                <c:pt idx="23">
                  <c:v>2.4522913300891501E-3</c:v>
                </c:pt>
                <c:pt idx="24">
                  <c:v>4.8822953367203548E-3</c:v>
                </c:pt>
                <c:pt idx="25">
                  <c:v>1.708803367852124E-3</c:v>
                </c:pt>
                <c:pt idx="26">
                  <c:v>3.9514089880725361E-3</c:v>
                </c:pt>
                <c:pt idx="27">
                  <c:v>1.3829931458253875E-3</c:v>
                </c:pt>
                <c:pt idx="28">
                  <c:v>4.8404760103888558E-4</c:v>
                </c:pt>
                <c:pt idx="29">
                  <c:v>1.5107477840933272E-3</c:v>
                </c:pt>
                <c:pt idx="30">
                  <c:v>5.2876172443266456E-4</c:v>
                </c:pt>
                <c:pt idx="31">
                  <c:v>3.5383944128757248E-3</c:v>
                </c:pt>
                <c:pt idx="32">
                  <c:v>2.5797691682362205E-3</c:v>
                </c:pt>
                <c:pt idx="33">
                  <c:v>2.9149158944772532E-3</c:v>
                </c:pt>
                <c:pt idx="34">
                  <c:v>2.3615516867967557E-3</c:v>
                </c:pt>
                <c:pt idx="35">
                  <c:v>2.8385397759734402E-3</c:v>
                </c:pt>
                <c:pt idx="36">
                  <c:v>9.9348892159070419E-4</c:v>
                </c:pt>
                <c:pt idx="37">
                  <c:v>3.4772112255674644E-4</c:v>
                </c:pt>
                <c:pt idx="38">
                  <c:v>3.4750302022191538E-3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D3-4495-ABC3-A577439EE18B}"/>
            </c:ext>
          </c:extLst>
        </c:ser>
        <c:ser>
          <c:idx val="2"/>
          <c:order val="2"/>
          <c:tx>
            <c:strRef>
              <c:f>young!$AB$2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young!$AB$3:$AB$41</c:f>
              <c:numCache>
                <c:formatCode>General</c:formatCode>
                <c:ptCount val="39"/>
                <c:pt idx="0">
                  <c:v>0</c:v>
                </c:pt>
                <c:pt idx="1">
                  <c:v>3.1938703654614542E-2</c:v>
                </c:pt>
                <c:pt idx="2">
                  <c:v>6.4147791233401655E-2</c:v>
                </c:pt>
                <c:pt idx="3">
                  <c:v>8.4895556869360109E-2</c:v>
                </c:pt>
                <c:pt idx="4">
                  <c:v>9.4714628058349321E-2</c:v>
                </c:pt>
                <c:pt idx="5">
                  <c:v>9.622933966828924E-2</c:v>
                </c:pt>
                <c:pt idx="6">
                  <c:v>9.2149130372830443E-2</c:v>
                </c:pt>
                <c:pt idx="7">
                  <c:v>8.4710064938911964E-2</c:v>
                </c:pt>
                <c:pt idx="8">
                  <c:v>7.5577803581713912E-2</c:v>
                </c:pt>
                <c:pt idx="9">
                  <c:v>6.5907729808951154E-2</c:v>
                </c:pt>
                <c:pt idx="10">
                  <c:v>5.6448920691082621E-2</c:v>
                </c:pt>
                <c:pt idx="11">
                  <c:v>4.764814138147147E-2</c:v>
                </c:pt>
                <c:pt idx="12">
                  <c:v>3.9738393563754706E-2</c:v>
                </c:pt>
                <c:pt idx="13">
                  <c:v>3.2808493534169127E-2</c:v>
                </c:pt>
                <c:pt idx="14">
                  <c:v>2.6854990860014489E-2</c:v>
                </c:pt>
                <c:pt idx="15">
                  <c:v>2.181939032652478E-2</c:v>
                </c:pt>
                <c:pt idx="16">
                  <c:v>1.7613886329285709E-2</c:v>
                </c:pt>
                <c:pt idx="17">
                  <c:v>1.4138491630993259E-2</c:v>
                </c:pt>
                <c:pt idx="18">
                  <c:v>1.1291930699610165E-2</c:v>
                </c:pt>
                <c:pt idx="19">
                  <c:v>8.978147204849735E-3</c:v>
                </c:pt>
                <c:pt idx="20">
                  <c:v>7.1098170034242939E-3</c:v>
                </c:pt>
                <c:pt idx="21">
                  <c:v>5.6098834051465157E-3</c:v>
                </c:pt>
                <c:pt idx="22">
                  <c:v>4.4118391833660418E-3</c:v>
                </c:pt>
                <c:pt idx="23">
                  <c:v>3.4592589814997966E-3</c:v>
                </c:pt>
                <c:pt idx="24">
                  <c:v>2.7049232327902798E-3</c:v>
                </c:pt>
                <c:pt idx="25">
                  <c:v>2.1097577205536223E-3</c:v>
                </c:pt>
                <c:pt idx="26">
                  <c:v>1.6417304580442515E-3</c:v>
                </c:pt>
                <c:pt idx="27">
                  <c:v>1.2747907031912095E-3</c:v>
                </c:pt>
                <c:pt idx="28">
                  <c:v>9.8789662935311134E-4</c:v>
                </c:pt>
                <c:pt idx="29">
                  <c:v>7.641531079369795E-4</c:v>
                </c:pt>
                <c:pt idx="30">
                  <c:v>5.9006524432338961E-4</c:v>
                </c:pt>
                <c:pt idx="31">
                  <c:v>4.5490383719316049E-4</c:v>
                </c:pt>
                <c:pt idx="32">
                  <c:v>3.5017371315285931E-4</c:v>
                </c:pt>
                <c:pt idx="33">
                  <c:v>2.6917344587481346E-4</c:v>
                </c:pt>
                <c:pt idx="34">
                  <c:v>2.0663427452120153E-4</c:v>
                </c:pt>
                <c:pt idx="35">
                  <c:v>1.5842638883302289E-4</c:v>
                </c:pt>
                <c:pt idx="36">
                  <c:v>1.2132167941548802E-4</c:v>
                </c:pt>
                <c:pt idx="37">
                  <c:v>9.2803256471358554E-5</c:v>
                </c:pt>
                <c:pt idx="38">
                  <c:v>7.0913326730173289E-5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2C-4D9C-9D06-54B0A3140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957136"/>
        <c:axId val="640953856"/>
      </c:lineChart>
      <c:catAx>
        <c:axId val="640957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953856"/>
        <c:crosses val="autoZero"/>
        <c:auto val="1"/>
        <c:lblAlgn val="ctr"/>
        <c:lblOffset val="100"/>
        <c:noMultiLvlLbl val="0"/>
      </c:catAx>
      <c:valAx>
        <c:axId val="64095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95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Recovery - 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old!$AE$2</c:f>
              <c:strCache>
                <c:ptCount val="1"/>
                <c:pt idx="0">
                  <c:v>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old!$AE$3:$AE$57</c:f>
              <c:numCache>
                <c:formatCode>General</c:formatCode>
                <c:ptCount val="55"/>
                <c:pt idx="0">
                  <c:v>0</c:v>
                </c:pt>
                <c:pt idx="1">
                  <c:v>2.0434227330779056E-2</c:v>
                </c:pt>
                <c:pt idx="2">
                  <c:v>3.5759897828863338E-2</c:v>
                </c:pt>
                <c:pt idx="3">
                  <c:v>5.3639846743295014E-2</c:v>
                </c:pt>
                <c:pt idx="4">
                  <c:v>4.853128991060026E-2</c:v>
                </c:pt>
                <c:pt idx="5">
                  <c:v>5.2362707535121338E-2</c:v>
                </c:pt>
                <c:pt idx="6">
                  <c:v>5.1085568326947613E-2</c:v>
                </c:pt>
                <c:pt idx="7">
                  <c:v>5.2362707535121338E-2</c:v>
                </c:pt>
                <c:pt idx="8">
                  <c:v>7.0242656449552993E-2</c:v>
                </c:pt>
                <c:pt idx="9">
                  <c:v>7.0242656449552993E-2</c:v>
                </c:pt>
                <c:pt idx="10">
                  <c:v>5.1085568326947682E-2</c:v>
                </c:pt>
                <c:pt idx="11">
                  <c:v>6.3856960408684535E-2</c:v>
                </c:pt>
                <c:pt idx="12">
                  <c:v>5.747126436781607E-2</c:v>
                </c:pt>
                <c:pt idx="13">
                  <c:v>4.7254150702426605E-2</c:v>
                </c:pt>
                <c:pt idx="14">
                  <c:v>3.3205619412515992E-2</c:v>
                </c:pt>
                <c:pt idx="15">
                  <c:v>6.0025542784163381E-2</c:v>
                </c:pt>
                <c:pt idx="16">
                  <c:v>3.959131545338445E-2</c:v>
                </c:pt>
                <c:pt idx="17">
                  <c:v>1.915708812260538E-2</c:v>
                </c:pt>
                <c:pt idx="18">
                  <c:v>2.2988505747126457E-2</c:v>
                </c:pt>
                <c:pt idx="19">
                  <c:v>2.1711366538952764E-2</c:v>
                </c:pt>
                <c:pt idx="20">
                  <c:v>2.0434227330778931E-2</c:v>
                </c:pt>
                <c:pt idx="21">
                  <c:v>1.0217113665389537E-2</c:v>
                </c:pt>
                <c:pt idx="22">
                  <c:v>8.9399744572158449E-3</c:v>
                </c:pt>
                <c:pt idx="23">
                  <c:v>1.6602809706257996E-2</c:v>
                </c:pt>
                <c:pt idx="24">
                  <c:v>7.6628352490421521E-3</c:v>
                </c:pt>
                <c:pt idx="25">
                  <c:v>5.1085568326947684E-3</c:v>
                </c:pt>
                <c:pt idx="26">
                  <c:v>8.9399744572158449E-3</c:v>
                </c:pt>
                <c:pt idx="27">
                  <c:v>2.5542784163473842E-3</c:v>
                </c:pt>
                <c:pt idx="28">
                  <c:v>3.8314176245210761E-3</c:v>
                </c:pt>
                <c:pt idx="29">
                  <c:v>7.6628352490421521E-3</c:v>
                </c:pt>
                <c:pt idx="30">
                  <c:v>3.8314176245210761E-3</c:v>
                </c:pt>
                <c:pt idx="31">
                  <c:v>3.8314176245210761E-3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5.1085568326947684E-3</c:v>
                </c:pt>
                <c:pt idx="36">
                  <c:v>5.1085568326947684E-3</c:v>
                </c:pt>
                <c:pt idx="37">
                  <c:v>1.0217113665389537E-2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3.8314176245210761E-3</c:v>
                </c:pt>
                <c:pt idx="42">
                  <c:v>0</c:v>
                </c:pt>
                <c:pt idx="43">
                  <c:v>5.1085568326947684E-3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9E-47BD-9146-92A3BAFA2675}"/>
            </c:ext>
          </c:extLst>
        </c:ser>
        <c:ser>
          <c:idx val="1"/>
          <c:order val="1"/>
          <c:tx>
            <c:strRef>
              <c:f>old!$AG$2</c:f>
              <c:strCache>
                <c:ptCount val="1"/>
                <c:pt idx="0">
                  <c:v>smooth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old!$AG$3:$AG$57</c:f>
              <c:numCache>
                <c:formatCode>General</c:formatCode>
                <c:ptCount val="55"/>
                <c:pt idx="0">
                  <c:v>0</c:v>
                </c:pt>
                <c:pt idx="1">
                  <c:v>1.0217145035599158E-2</c:v>
                </c:pt>
                <c:pt idx="2">
                  <c:v>2.2988576330098098E-2</c:v>
                </c:pt>
                <c:pt idx="3">
                  <c:v>3.8314293883496837E-2</c:v>
                </c:pt>
                <c:pt idx="4">
                  <c:v>4.3422866401296417E-2</c:v>
                </c:pt>
                <c:pt idx="5">
                  <c:v>4.7892867354371045E-2</c:v>
                </c:pt>
                <c:pt idx="6">
                  <c:v>4.9489296266183404E-2</c:v>
                </c:pt>
                <c:pt idx="7">
                  <c:v>5.0926082286814549E-2</c:v>
                </c:pt>
                <c:pt idx="8">
                  <c:v>6.058447720327937E-2</c:v>
                </c:pt>
                <c:pt idx="9">
                  <c:v>6.5413674661511795E-2</c:v>
                </c:pt>
                <c:pt idx="10">
                  <c:v>5.824969991975381E-2</c:v>
                </c:pt>
                <c:pt idx="11">
                  <c:v>6.1053428196124263E-2</c:v>
                </c:pt>
                <c:pt idx="12">
                  <c:v>5.9262434510684747E-2</c:v>
                </c:pt>
                <c:pt idx="13">
                  <c:v>5.3258365150165445E-2</c:v>
                </c:pt>
                <c:pt idx="14">
                  <c:v>4.3232043257931368E-2</c:v>
                </c:pt>
                <c:pt idx="15">
                  <c:v>5.1628885171038155E-2</c:v>
                </c:pt>
                <c:pt idx="16">
                  <c:v>4.5610161091992465E-2</c:v>
                </c:pt>
                <c:pt idx="17">
                  <c:v>3.2383654016870447E-2</c:v>
                </c:pt>
                <c:pt idx="18">
                  <c:v>2.7686115173484283E-2</c:v>
                </c:pt>
                <c:pt idx="19">
                  <c:v>2.4698774187066255E-2</c:v>
                </c:pt>
                <c:pt idx="20">
                  <c:v>2.2566532129132223E-2</c:v>
                </c:pt>
                <c:pt idx="21">
                  <c:v>1.6391838582365693E-2</c:v>
                </c:pt>
                <c:pt idx="22">
                  <c:v>1.2665920244257481E-2</c:v>
                </c:pt>
                <c:pt idx="23">
                  <c:v>1.4634390463553061E-2</c:v>
                </c:pt>
                <c:pt idx="24">
                  <c:v>1.1148624620126217E-2</c:v>
                </c:pt>
                <c:pt idx="25">
                  <c:v>8.1285985689629001E-3</c:v>
                </c:pt>
                <c:pt idx="26">
                  <c:v>8.5343002375560858E-3</c:v>
                </c:pt>
                <c:pt idx="27">
                  <c:v>5.5442932482279387E-3</c:v>
                </c:pt>
                <c:pt idx="28">
                  <c:v>4.6878613182888126E-3</c:v>
                </c:pt>
                <c:pt idx="29">
                  <c:v>6.1753600474940941E-3</c:v>
                </c:pt>
                <c:pt idx="30">
                  <c:v>5.0033947179218899E-3</c:v>
                </c:pt>
                <c:pt idx="31">
                  <c:v>4.4174120531357882E-3</c:v>
                </c:pt>
                <c:pt idx="32">
                  <c:v>2.2087060265678941E-3</c:v>
                </c:pt>
                <c:pt idx="33">
                  <c:v>1.1043530132839471E-3</c:v>
                </c:pt>
                <c:pt idx="34">
                  <c:v>5.5217650664197353E-4</c:v>
                </c:pt>
                <c:pt idx="35">
                  <c:v>2.830374512220778E-3</c:v>
                </c:pt>
                <c:pt idx="36">
                  <c:v>3.9694735150101806E-3</c:v>
                </c:pt>
                <c:pt idx="37">
                  <c:v>7.0933092753046739E-3</c:v>
                </c:pt>
                <c:pt idx="38">
                  <c:v>3.546654637652337E-3</c:v>
                </c:pt>
                <c:pt idx="39">
                  <c:v>1.7733273188261685E-3</c:v>
                </c:pt>
                <c:pt idx="40">
                  <c:v>8.8666365941308424E-4</c:v>
                </c:pt>
                <c:pt idx="41">
                  <c:v>2.3590465238813858E-3</c:v>
                </c:pt>
                <c:pt idx="42">
                  <c:v>1.1795232619406929E-3</c:v>
                </c:pt>
                <c:pt idx="43">
                  <c:v>3.1440478898701377E-3</c:v>
                </c:pt>
                <c:pt idx="44">
                  <c:v>1.5720239449350689E-3</c:v>
                </c:pt>
                <c:pt idx="45">
                  <c:v>7.8601197246753443E-4</c:v>
                </c:pt>
                <c:pt idx="46">
                  <c:v>3.9300598623376722E-4</c:v>
                </c:pt>
                <c:pt idx="47">
                  <c:v>1.9650299311688361E-4</c:v>
                </c:pt>
                <c:pt idx="48">
                  <c:v>9.8251496558441804E-5</c:v>
                </c:pt>
                <c:pt idx="49">
                  <c:v>4.9125748279220902E-5</c:v>
                </c:pt>
                <c:pt idx="50">
                  <c:v>2.4562874139610451E-5</c:v>
                </c:pt>
                <c:pt idx="51">
                  <c:v>1.2281437069805225E-5</c:v>
                </c:pt>
                <c:pt idx="52">
                  <c:v>6.1407185349026127E-6</c:v>
                </c:pt>
                <c:pt idx="53">
                  <c:v>3.0703592674513064E-6</c:v>
                </c:pt>
                <c:pt idx="54">
                  <c:v>1.5351796337256532E-6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9E-47BD-9146-92A3BAFA2675}"/>
            </c:ext>
          </c:extLst>
        </c:ser>
        <c:ser>
          <c:idx val="2"/>
          <c:order val="2"/>
          <c:tx>
            <c:strRef>
              <c:f>old!$AI$2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old!$AI$3:$AI$57</c:f>
              <c:numCache>
                <c:formatCode>General</c:formatCode>
                <c:ptCount val="55"/>
                <c:pt idx="0">
                  <c:v>0</c:v>
                </c:pt>
                <c:pt idx="1">
                  <c:v>2.7754867056540493E-3</c:v>
                </c:pt>
                <c:pt idx="2">
                  <c:v>1.2456567013535383E-2</c:v>
                </c:pt>
                <c:pt idx="3">
                  <c:v>2.6385630936900255E-2</c:v>
                </c:pt>
                <c:pt idx="4">
                  <c:v>4.1098740681926572E-2</c:v>
                </c:pt>
                <c:pt idx="5">
                  <c:v>5.4092191557258945E-2</c:v>
                </c:pt>
                <c:pt idx="6">
                  <c:v>6.3998317725045592E-2</c:v>
                </c:pt>
                <c:pt idx="7">
                  <c:v>7.0351053890604823E-2</c:v>
                </c:pt>
                <c:pt idx="8">
                  <c:v>7.3282540721491707E-2</c:v>
                </c:pt>
                <c:pt idx="9">
                  <c:v>7.3262128175504634E-2</c:v>
                </c:pt>
                <c:pt idx="10">
                  <c:v>7.090510577720259E-2</c:v>
                </c:pt>
                <c:pt idx="11">
                  <c:v>6.684721928348264E-2</c:v>
                </c:pt>
                <c:pt idx="12">
                  <c:v>6.1671202797029895E-2</c:v>
                </c:pt>
                <c:pt idx="13">
                  <c:v>5.5870485425263558E-2</c:v>
                </c:pt>
                <c:pt idx="14">
                  <c:v>4.9837402260420743E-2</c:v>
                </c:pt>
                <c:pt idx="15">
                  <c:v>4.3866232748769766E-2</c:v>
                </c:pt>
                <c:pt idx="16">
                  <c:v>3.8164206392079458E-2</c:v>
                </c:pt>
                <c:pt idx="17">
                  <c:v>3.2865912490942402E-2</c:v>
                </c:pt>
                <c:pt idx="18">
                  <c:v>2.8048276285526749E-2</c:v>
                </c:pt>
                <c:pt idx="19">
                  <c:v>2.3744485603535623E-2</c:v>
                </c:pt>
                <c:pt idx="20">
                  <c:v>1.9956073020487259E-2</c:v>
                </c:pt>
                <c:pt idx="21">
                  <c:v>1.6662880648354784E-2</c:v>
                </c:pt>
                <c:pt idx="22">
                  <c:v>1.3830944860456738E-2</c:v>
                </c:pt>
                <c:pt idx="23">
                  <c:v>1.141850466444856E-2</c:v>
                </c:pt>
                <c:pt idx="24">
                  <c:v>9.3804106514245988E-3</c:v>
                </c:pt>
                <c:pt idx="25">
                  <c:v>7.6712274834859319E-3</c:v>
                </c:pt>
                <c:pt idx="26">
                  <c:v>6.2473063895124355E-3</c:v>
                </c:pt>
                <c:pt idx="27">
                  <c:v>5.0680713531619419E-3</c:v>
                </c:pt>
                <c:pt idx="28">
                  <c:v>4.0967238163825493E-3</c:v>
                </c:pt>
                <c:pt idx="29">
                  <c:v>3.3005318499052237E-3</c:v>
                </c:pt>
                <c:pt idx="30">
                  <c:v>2.6508341506718013E-3</c:v>
                </c:pt>
                <c:pt idx="31">
                  <c:v>2.1228584249508454E-3</c:v>
                </c:pt>
                <c:pt idx="32">
                  <c:v>1.6954281233554067E-3</c:v>
                </c:pt>
                <c:pt idx="33">
                  <c:v>1.3506109025726318E-3</c:v>
                </c:pt>
                <c:pt idx="34">
                  <c:v>1.0733460693226659E-3</c:v>
                </c:pt>
                <c:pt idx="35">
                  <c:v>8.5107595565181492E-4</c:v>
                </c:pt>
                <c:pt idx="36">
                  <c:v>6.7339700582728923E-4</c:v>
                </c:pt>
                <c:pt idx="37">
                  <c:v>5.3173969543596873E-4</c:v>
                </c:pt>
                <c:pt idx="38">
                  <c:v>4.1908170147336997E-4</c:v>
                </c:pt>
                <c:pt idx="39">
                  <c:v>3.2969553399300711E-4</c:v>
                </c:pt>
                <c:pt idx="40">
                  <c:v>2.5892974639480889E-4</c:v>
                </c:pt>
                <c:pt idx="41">
                  <c:v>2.0302156128586529E-4</c:v>
                </c:pt>
                <c:pt idx="42">
                  <c:v>1.5893804760088828E-4</c:v>
                </c:pt>
                <c:pt idx="43">
                  <c:v>1.242426836464456E-4</c:v>
                </c:pt>
                <c:pt idx="44">
                  <c:v>9.6984106443842678E-5</c:v>
                </c:pt>
                <c:pt idx="45">
                  <c:v>7.5603982477019202E-5</c:v>
                </c:pt>
                <c:pt idx="46">
                  <c:v>5.8861168741876257E-5</c:v>
                </c:pt>
                <c:pt idx="47">
                  <c:v>4.5769617006391158E-5</c:v>
                </c:pt>
                <c:pt idx="48">
                  <c:v>3.5547775382900624E-5</c:v>
                </c:pt>
                <c:pt idx="49">
                  <c:v>2.7577538228041268E-5</c:v>
                </c:pt>
                <c:pt idx="50">
                  <c:v>2.137107489828035E-5</c:v>
                </c:pt>
                <c:pt idx="51">
                  <c:v>1.6544122735354895E-5</c:v>
                </c:pt>
                <c:pt idx="52">
                  <c:v>1.2794556581663123E-5</c:v>
                </c:pt>
                <c:pt idx="53">
                  <c:v>9.8852455264315387E-6</c:v>
                </c:pt>
                <c:pt idx="54">
                  <c:v>7.6303785243084397E-6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88-4EDC-8D66-9E23D50A6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47808"/>
        <c:axId val="1113049120"/>
      </c:lineChart>
      <c:catAx>
        <c:axId val="1113047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9120"/>
        <c:crosses val="autoZero"/>
        <c:auto val="1"/>
        <c:lblAlgn val="ctr"/>
        <c:lblOffset val="100"/>
        <c:noMultiLvlLbl val="0"/>
      </c:catAx>
      <c:valAx>
        <c:axId val="111304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death - 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old!$N$2</c:f>
              <c:strCache>
                <c:ptCount val="1"/>
                <c:pt idx="0">
                  <c:v>raw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old!$N$3:$N$57</c:f>
              <c:numCache>
                <c:formatCode>General</c:formatCode>
                <c:ptCount val="55"/>
                <c:pt idx="0">
                  <c:v>7.3732718894009217E-2</c:v>
                </c:pt>
                <c:pt idx="1">
                  <c:v>5.9907834101382493E-2</c:v>
                </c:pt>
                <c:pt idx="2">
                  <c:v>8.2949308755760356E-2</c:v>
                </c:pt>
                <c:pt idx="3">
                  <c:v>5.5299539170506895E-2</c:v>
                </c:pt>
                <c:pt idx="4">
                  <c:v>5.9907834101382479E-2</c:v>
                </c:pt>
                <c:pt idx="5">
                  <c:v>5.0691244239631381E-2</c:v>
                </c:pt>
                <c:pt idx="6">
                  <c:v>6.9124423963133633E-2</c:v>
                </c:pt>
                <c:pt idx="7">
                  <c:v>6.4516129032258063E-2</c:v>
                </c:pt>
                <c:pt idx="8">
                  <c:v>4.1474654377880157E-2</c:v>
                </c:pt>
                <c:pt idx="9">
                  <c:v>4.6082949308755804E-2</c:v>
                </c:pt>
                <c:pt idx="10">
                  <c:v>3.2258064516129059E-2</c:v>
                </c:pt>
                <c:pt idx="11">
                  <c:v>5.5299539170506833E-2</c:v>
                </c:pt>
                <c:pt idx="12">
                  <c:v>4.147465437788022E-2</c:v>
                </c:pt>
                <c:pt idx="13">
                  <c:v>1.8433179723502321E-2</c:v>
                </c:pt>
                <c:pt idx="14">
                  <c:v>1.3824884792626741E-2</c:v>
                </c:pt>
                <c:pt idx="15">
                  <c:v>1.8433179723502321E-2</c:v>
                </c:pt>
                <c:pt idx="16">
                  <c:v>1.3824884792626613E-2</c:v>
                </c:pt>
                <c:pt idx="17">
                  <c:v>1.3824884792626741E-2</c:v>
                </c:pt>
                <c:pt idx="18">
                  <c:v>9.2165898617511607E-3</c:v>
                </c:pt>
                <c:pt idx="19">
                  <c:v>2.7649769585253482E-2</c:v>
                </c:pt>
                <c:pt idx="20">
                  <c:v>9.2165898617511607E-3</c:v>
                </c:pt>
                <c:pt idx="21">
                  <c:v>1.3824884792626741E-2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1.8433179723502321E-2</c:v>
                </c:pt>
                <c:pt idx="26">
                  <c:v>9.2165898617511607E-3</c:v>
                </c:pt>
                <c:pt idx="27">
                  <c:v>2.3041474654377902E-2</c:v>
                </c:pt>
                <c:pt idx="28">
                  <c:v>1.3824884792626741E-2</c:v>
                </c:pt>
                <c:pt idx="29">
                  <c:v>1.3824884792626613E-2</c:v>
                </c:pt>
                <c:pt idx="30">
                  <c:v>0</c:v>
                </c:pt>
                <c:pt idx="31">
                  <c:v>1.3824884792626741E-2</c:v>
                </c:pt>
                <c:pt idx="32">
                  <c:v>0</c:v>
                </c:pt>
                <c:pt idx="33">
                  <c:v>0</c:v>
                </c:pt>
                <c:pt idx="34">
                  <c:v>1.8433179723502321E-2</c:v>
                </c:pt>
                <c:pt idx="35">
                  <c:v>0</c:v>
                </c:pt>
                <c:pt idx="36">
                  <c:v>1.8433179723502321E-2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67-433B-896E-94DD6EF6495A}"/>
            </c:ext>
          </c:extLst>
        </c:ser>
        <c:ser>
          <c:idx val="1"/>
          <c:order val="1"/>
          <c:tx>
            <c:strRef>
              <c:f>old!$P$2</c:f>
              <c:strCache>
                <c:ptCount val="1"/>
                <c:pt idx="0">
                  <c:v>smooth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old!$P$3:$P$57</c:f>
              <c:numCache>
                <c:formatCode>General</c:formatCode>
                <c:ptCount val="55"/>
                <c:pt idx="0">
                  <c:v>6.8669530787908856E-2</c:v>
                </c:pt>
                <c:pt idx="1">
                  <c:v>6.2231762276542396E-2</c:v>
                </c:pt>
                <c:pt idx="2">
                  <c:v>6.9742492206469928E-2</c:v>
                </c:pt>
                <c:pt idx="3">
                  <c:v>6.0622320148700767E-2</c:v>
                </c:pt>
                <c:pt idx="4">
                  <c:v>5.8208156956938352E-2</c:v>
                </c:pt>
                <c:pt idx="5">
                  <c:v>5.270922968681286E-2</c:v>
                </c:pt>
                <c:pt idx="6">
                  <c:v>5.8543457400238703E-2</c:v>
                </c:pt>
                <c:pt idx="7">
                  <c:v>5.9314648419829467E-2</c:v>
                </c:pt>
                <c:pt idx="8">
                  <c:v>4.8970629744014088E-2</c:v>
                </c:pt>
                <c:pt idx="9">
                  <c:v>4.5944543243228581E-2</c:v>
                </c:pt>
                <c:pt idx="10">
                  <c:v>3.799373148146936E-2</c:v>
                </c:pt>
                <c:pt idx="11">
                  <c:v>4.4747939786200459E-2</c:v>
                </c:pt>
                <c:pt idx="12">
                  <c:v>4.1687275427199605E-2</c:v>
                </c:pt>
                <c:pt idx="13">
                  <c:v>2.942732906208842E-2</c:v>
                </c:pt>
                <c:pt idx="14">
                  <c:v>2.1151433042410669E-2</c:v>
                </c:pt>
                <c:pt idx="15">
                  <c:v>1.9159407869693949E-2</c:v>
                </c:pt>
                <c:pt idx="16">
                  <c:v>1.6017472446213377E-2</c:v>
                </c:pt>
                <c:pt idx="17">
                  <c:v>1.4446504734473148E-2</c:v>
                </c:pt>
                <c:pt idx="18">
                  <c:v>1.1515098041480881E-2</c:v>
                </c:pt>
                <c:pt idx="19">
                  <c:v>1.863308604347336E-2</c:v>
                </c:pt>
                <c:pt idx="20">
                  <c:v>1.3608388695980987E-2</c:v>
                </c:pt>
                <c:pt idx="21">
                  <c:v>1.3241962859356955E-2</c:v>
                </c:pt>
                <c:pt idx="22">
                  <c:v>6.6209814296784774E-3</c:v>
                </c:pt>
                <c:pt idx="23">
                  <c:v>3.3104907148392387E-3</c:v>
                </c:pt>
                <c:pt idx="24">
                  <c:v>1.6552453574196194E-3</c:v>
                </c:pt>
                <c:pt idx="25">
                  <c:v>9.4113140271984246E-3</c:v>
                </c:pt>
                <c:pt idx="26">
                  <c:v>8.9975026878435192E-3</c:v>
                </c:pt>
                <c:pt idx="27">
                  <c:v>1.5228365529532526E-2</c:v>
                </c:pt>
                <c:pt idx="28">
                  <c:v>1.4051951276132724E-2</c:v>
                </c:pt>
                <c:pt idx="29">
                  <c:v>1.3463744149432764E-2</c:v>
                </c:pt>
                <c:pt idx="30">
                  <c:v>6.7318720747163822E-3</c:v>
                </c:pt>
                <c:pt idx="31">
                  <c:v>9.8037045487246524E-3</c:v>
                </c:pt>
                <c:pt idx="32">
                  <c:v>4.9018522743623262E-3</c:v>
                </c:pt>
                <c:pt idx="33">
                  <c:v>2.4509261371811631E-3</c:v>
                </c:pt>
                <c:pt idx="34">
                  <c:v>9.8091544170791946E-3</c:v>
                </c:pt>
                <c:pt idx="35">
                  <c:v>4.9045772085395973E-3</c:v>
                </c:pt>
                <c:pt idx="36">
                  <c:v>1.1035979952758413E-2</c:v>
                </c:pt>
                <c:pt idx="37">
                  <c:v>5.5179899763792067E-3</c:v>
                </c:pt>
                <c:pt idx="38">
                  <c:v>2.7589949881896034E-3</c:v>
                </c:pt>
                <c:pt idx="39">
                  <c:v>1.3794974940948017E-3</c:v>
                </c:pt>
                <c:pt idx="40">
                  <c:v>6.8974874704740084E-4</c:v>
                </c:pt>
                <c:pt idx="41">
                  <c:v>3.4487437352370042E-4</c:v>
                </c:pt>
                <c:pt idx="42">
                  <c:v>1.7243718676185021E-4</c:v>
                </c:pt>
                <c:pt idx="43">
                  <c:v>8.6218593380925105E-5</c:v>
                </c:pt>
                <c:pt idx="44">
                  <c:v>4.3109296690462552E-5</c:v>
                </c:pt>
                <c:pt idx="45">
                  <c:v>2.1554648345231276E-5</c:v>
                </c:pt>
                <c:pt idx="46">
                  <c:v>1.0777324172615638E-5</c:v>
                </c:pt>
                <c:pt idx="47">
                  <c:v>5.388662086307819E-6</c:v>
                </c:pt>
                <c:pt idx="48">
                  <c:v>2.6943310431539095E-6</c:v>
                </c:pt>
                <c:pt idx="49">
                  <c:v>1.3471655215769548E-6</c:v>
                </c:pt>
                <c:pt idx="50">
                  <c:v>6.7358276078847738E-7</c:v>
                </c:pt>
                <c:pt idx="51">
                  <c:v>3.3679138039423869E-7</c:v>
                </c:pt>
                <c:pt idx="52">
                  <c:v>1.6839569019711935E-7</c:v>
                </c:pt>
                <c:pt idx="53">
                  <c:v>8.4197845098559673E-8</c:v>
                </c:pt>
                <c:pt idx="54">
                  <c:v>4.2098922549279836E-8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67-433B-896E-94DD6EF6495A}"/>
            </c:ext>
          </c:extLst>
        </c:ser>
        <c:ser>
          <c:idx val="4"/>
          <c:order val="2"/>
          <c:tx>
            <c:strRef>
              <c:f>old!$U$2</c:f>
              <c:strCache>
                <c:ptCount val="1"/>
                <c:pt idx="0">
                  <c:v>pareto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old!$U$3:$U$57</c:f>
              <c:numCache>
                <c:formatCode>General</c:formatCode>
                <c:ptCount val="55"/>
                <c:pt idx="0">
                  <c:v>0.27739720314276806</c:v>
                </c:pt>
                <c:pt idx="1">
                  <c:v>0.12500217882968509</c:v>
                </c:pt>
                <c:pt idx="2">
                  <c:v>7.8417435441251862E-2</c:v>
                </c:pt>
                <c:pt idx="3">
                  <c:v>5.6329135748807713E-2</c:v>
                </c:pt>
                <c:pt idx="4">
                  <c:v>4.3579934482579664E-2</c:v>
                </c:pt>
                <c:pt idx="5">
                  <c:v>3.5336874984091583E-2</c:v>
                </c:pt>
                <c:pt idx="6">
                  <c:v>2.9596430238844174E-2</c:v>
                </c:pt>
                <c:pt idx="7">
                  <c:v>2.5383329826040614E-2</c:v>
                </c:pt>
                <c:pt idx="8">
                  <c:v>2.2167830502667484E-2</c:v>
                </c:pt>
                <c:pt idx="9">
                  <c:v>1.9638218056487296E-2</c:v>
                </c:pt>
                <c:pt idx="10">
                  <c:v>1.7599506497103543E-2</c:v>
                </c:pt>
                <c:pt idx="11">
                  <c:v>1.5923687463316807E-2</c:v>
                </c:pt>
                <c:pt idx="12">
                  <c:v>1.4523364019568599E-2</c:v>
                </c:pt>
                <c:pt idx="13">
                  <c:v>1.3336898222193737E-2</c:v>
                </c:pt>
                <c:pt idx="14">
                  <c:v>1.2319614834266478E-2</c:v>
                </c:pt>
                <c:pt idx="15">
                  <c:v>1.1438368874161192E-2</c:v>
                </c:pt>
                <c:pt idx="16">
                  <c:v>1.0668069058960292E-2</c:v>
                </c:pt>
                <c:pt idx="17">
                  <c:v>9.9893837478037817E-3</c:v>
                </c:pt>
                <c:pt idx="18">
                  <c:v>9.3871862965842906E-3</c:v>
                </c:pt>
                <c:pt idx="19">
                  <c:v>8.8494765541307693E-3</c:v>
                </c:pt>
                <c:pt idx="20">
                  <c:v>8.3666170071354014E-3</c:v>
                </c:pt>
                <c:pt idx="21">
                  <c:v>7.9307816861184377E-3</c:v>
                </c:pt>
                <c:pt idx="22">
                  <c:v>7.5355519215499264E-3</c:v>
                </c:pt>
                <c:pt idx="23">
                  <c:v>7.1756153463922757E-3</c:v>
                </c:pt>
                <c:pt idx="24">
                  <c:v>6.8465387105163767E-3</c:v>
                </c:pt>
                <c:pt idx="25">
                  <c:v>6.5445942706508419E-3</c:v>
                </c:pt>
                <c:pt idx="26">
                  <c:v>6.2666256098511145E-3</c:v>
                </c:pt>
                <c:pt idx="27">
                  <c:v>6.0099428462728338E-3</c:v>
                </c:pt>
                <c:pt idx="28">
                  <c:v>5.7722400049559494E-3</c:v>
                </c:pt>
                <c:pt idx="29">
                  <c:v>5.5515292842849536E-3</c:v>
                </c:pt>
                <c:pt idx="30">
                  <c:v>5.3460883303203064E-3</c:v>
                </c:pt>
                <c:pt idx="31">
                  <c:v>5.1544176196755484E-3</c:v>
                </c:pt>
                <c:pt idx="32">
                  <c:v>4.9752057659507472E-3</c:v>
                </c:pt>
                <c:pt idx="33">
                  <c:v>4.8073010872761229E-3</c:v>
                </c:pt>
                <c:pt idx="34">
                  <c:v>4.6496881587635994E-3</c:v>
                </c:pt>
                <c:pt idx="35">
                  <c:v>4.5014683619526309E-3</c:v>
                </c:pt>
                <c:pt idx="36">
                  <c:v>4.3618436604841854E-3</c:v>
                </c:pt>
                <c:pt idx="37">
                  <c:v>4.2301029962053182E-3</c:v>
                </c:pt>
                <c:pt idx="38">
                  <c:v>4.1056108262496477E-3</c:v>
                </c:pt>
                <c:pt idx="39">
                  <c:v>3.9877974191370258E-3</c:v>
                </c:pt>
                <c:pt idx="40">
                  <c:v>3.8761506037171727E-3</c:v>
                </c:pt>
                <c:pt idx="41">
                  <c:v>3.7702087240842094E-3</c:v>
                </c:pt>
                <c:pt idx="42">
                  <c:v>3.6695546002956342E-3</c:v>
                </c:pt>
                <c:pt idx="43">
                  <c:v>3.573810331739874E-3</c:v>
                </c:pt>
                <c:pt idx="44">
                  <c:v>3.4826328094950971E-3</c:v>
                </c:pt>
                <c:pt idx="45">
                  <c:v>3.3957098276623998E-3</c:v>
                </c:pt>
                <c:pt idx="46">
                  <c:v>3.3127567027025728E-3</c:v>
                </c:pt>
                <c:pt idx="47">
                  <c:v>3.2335133252267057E-3</c:v>
                </c:pt>
                <c:pt idx="48">
                  <c:v>3.1577415812370146E-3</c:v>
                </c:pt>
                <c:pt idx="49">
                  <c:v>3.0852230900679208E-3</c:v>
                </c:pt>
                <c:pt idx="50">
                  <c:v>3.0157572146943439E-3</c:v>
                </c:pt>
                <c:pt idx="51">
                  <c:v>2.9491593070121308E-3</c:v>
                </c:pt>
                <c:pt idx="52">
                  <c:v>2.8852591564376036E-3</c:v>
                </c:pt>
                <c:pt idx="53">
                  <c:v>2.8238996149435964E-3</c:v>
                </c:pt>
                <c:pt idx="54">
                  <c:v>2.7649353756272837E-3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67-433B-896E-94DD6EF6495A}"/>
            </c:ext>
          </c:extLst>
        </c:ser>
        <c:ser>
          <c:idx val="5"/>
          <c:order val="3"/>
          <c:tx>
            <c:strRef>
              <c:f>old!$W$2</c:f>
              <c:strCache>
                <c:ptCount val="1"/>
                <c:pt idx="0">
                  <c:v>GG</c:v>
                </c:pt>
              </c:strCache>
            </c:strRef>
          </c:tx>
          <c:spPr>
            <a:ln w="381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old!$W$3:$W$57</c:f>
              <c:numCache>
                <c:formatCode>General</c:formatCode>
                <c:ptCount val="55"/>
                <c:pt idx="0">
                  <c:v>7.6542779527380103E-2</c:v>
                </c:pt>
                <c:pt idx="1">
                  <c:v>7.3639134426001715E-2</c:v>
                </c:pt>
                <c:pt idx="2">
                  <c:v>6.8706241795236711E-2</c:v>
                </c:pt>
                <c:pt idx="3">
                  <c:v>6.5966361219357561E-2</c:v>
                </c:pt>
                <c:pt idx="4">
                  <c:v>6.4060418107052458E-2</c:v>
                </c:pt>
                <c:pt idx="5">
                  <c:v>6.2554150482798401E-2</c:v>
                </c:pt>
                <c:pt idx="6">
                  <c:v>6.1223111167311807E-2</c:v>
                </c:pt>
                <c:pt idx="7">
                  <c:v>5.9904353624152772E-2</c:v>
                </c:pt>
                <c:pt idx="8">
                  <c:v>5.8449011265204839E-2</c:v>
                </c:pt>
                <c:pt idx="9">
                  <c:v>5.6705253333537646E-2</c:v>
                </c:pt>
                <c:pt idx="10">
                  <c:v>5.4515723758689051E-2</c:v>
                </c:pt>
                <c:pt idx="11">
                  <c:v>5.1725979459844321E-2</c:v>
                </c:pt>
                <c:pt idx="12">
                  <c:v>4.8203671488034984E-2</c:v>
                </c:pt>
                <c:pt idx="13">
                  <c:v>4.3867866991324951E-2</c:v>
                </c:pt>
                <c:pt idx="14">
                  <c:v>3.8724951436129217E-2</c:v>
                </c:pt>
                <c:pt idx="15">
                  <c:v>3.2902455836019827E-2</c:v>
                </c:pt>
                <c:pt idx="16">
                  <c:v>2.6666557720854696E-2</c:v>
                </c:pt>
                <c:pt idx="17">
                  <c:v>2.0406550904242628E-2</c:v>
                </c:pt>
                <c:pt idx="18">
                  <c:v>1.45752432519564E-2</c:v>
                </c:pt>
                <c:pt idx="19">
                  <c:v>9.591009023466093E-3</c:v>
                </c:pt>
                <c:pt idx="20">
                  <c:v>5.730804890411504E-3</c:v>
                </c:pt>
                <c:pt idx="21">
                  <c:v>3.0596726421247187E-3</c:v>
                </c:pt>
                <c:pt idx="22">
                  <c:v>1.4338874133258536E-3</c:v>
                </c:pt>
                <c:pt idx="23">
                  <c:v>5.7841450411440026E-4</c:v>
                </c:pt>
                <c:pt idx="24">
                  <c:v>1.9658221844907903E-4</c:v>
                </c:pt>
                <c:pt idx="25">
                  <c:v>5.4990017337996355E-5</c:v>
                </c:pt>
                <c:pt idx="26">
                  <c:v>1.2343307836356571E-5</c:v>
                </c:pt>
                <c:pt idx="27">
                  <c:v>2.1629371925193649E-6</c:v>
                </c:pt>
                <c:pt idx="28">
                  <c:v>2.8722598001780139E-7</c:v>
                </c:pt>
                <c:pt idx="29">
                  <c:v>2.7995181018819945E-8</c:v>
                </c:pt>
                <c:pt idx="30">
                  <c:v>1.9351185244953373E-9</c:v>
                </c:pt>
                <c:pt idx="31">
                  <c:v>9.143606082992597E-11</c:v>
                </c:pt>
                <c:pt idx="32">
                  <c:v>2.8394432504920595E-12</c:v>
                </c:pt>
                <c:pt idx="33">
                  <c:v>5.5569586660661456E-14</c:v>
                </c:pt>
                <c:pt idx="34">
                  <c:v>6.5544713324438853E-16</c:v>
                </c:pt>
                <c:pt idx="35">
                  <c:v>4.4435687835021355E-18</c:v>
                </c:pt>
                <c:pt idx="36">
                  <c:v>1.6465287904470139E-20</c:v>
                </c:pt>
                <c:pt idx="37">
                  <c:v>3.1616580120152795E-23</c:v>
                </c:pt>
                <c:pt idx="38">
                  <c:v>2.9738040023149886E-26</c:v>
                </c:pt>
                <c:pt idx="39">
                  <c:v>1.2910631721448532E-29</c:v>
                </c:pt>
                <c:pt idx="40">
                  <c:v>2.430029292879279E-33</c:v>
                </c:pt>
                <c:pt idx="41">
                  <c:v>1.8563684743119083E-37</c:v>
                </c:pt>
                <c:pt idx="42">
                  <c:v>5.3702837268940237E-42</c:v>
                </c:pt>
                <c:pt idx="43">
                  <c:v>5.4701289367259353E-47</c:v>
                </c:pt>
                <c:pt idx="44">
                  <c:v>1.8176513493442553E-52</c:v>
                </c:pt>
                <c:pt idx="45">
                  <c:v>1.8188775850226403E-58</c:v>
                </c:pt>
                <c:pt idx="46">
                  <c:v>5.0411366716337149E-65</c:v>
                </c:pt>
                <c:pt idx="47">
                  <c:v>3.5455709975559173E-72</c:v>
                </c:pt>
                <c:pt idx="48">
                  <c:v>5.7754903059951054E-80</c:v>
                </c:pt>
                <c:pt idx="49">
                  <c:v>1.9807226668213685E-88</c:v>
                </c:pt>
                <c:pt idx="50">
                  <c:v>1.2948397711978819E-97</c:v>
                </c:pt>
                <c:pt idx="51">
                  <c:v>1.4547650567659974E-107</c:v>
                </c:pt>
                <c:pt idx="52">
                  <c:v>2.5220047368743616E-118</c:v>
                </c:pt>
                <c:pt idx="53">
                  <c:v>6.0310784646536077E-130</c:v>
                </c:pt>
                <c:pt idx="54">
                  <c:v>1.7707258793536886E-142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67-433B-896E-94DD6EF6495A}"/>
            </c:ext>
          </c:extLst>
        </c:ser>
        <c:ser>
          <c:idx val="7"/>
          <c:order val="4"/>
          <c:tx>
            <c:strRef>
              <c:f>old!$AA$2</c:f>
              <c:strCache>
                <c:ptCount val="1"/>
                <c:pt idx="0">
                  <c:v>Mix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old!$AA$3:$AA$57</c:f>
              <c:numCache>
                <c:formatCode>General</c:formatCode>
                <c:ptCount val="55"/>
                <c:pt idx="0">
                  <c:v>8.0373918371226885E-2</c:v>
                </c:pt>
                <c:pt idx="1">
                  <c:v>7.7324873103040342E-2</c:v>
                </c:pt>
                <c:pt idx="2">
                  <c:v>6.968570729850157E-2</c:v>
                </c:pt>
                <c:pt idx="3">
                  <c:v>6.5552167984691892E-2</c:v>
                </c:pt>
                <c:pt idx="4">
                  <c:v>6.2707152322549892E-2</c:v>
                </c:pt>
                <c:pt idx="5">
                  <c:v>6.0444534140949663E-2</c:v>
                </c:pt>
                <c:pt idx="6">
                  <c:v>5.8388664424431351E-2</c:v>
                </c:pt>
                <c:pt idx="7">
                  <c:v>5.6255828787066871E-2</c:v>
                </c:pt>
                <c:pt idx="8">
                  <c:v>5.378414712269225E-2</c:v>
                </c:pt>
                <c:pt idx="9">
                  <c:v>5.0719456996957714E-2</c:v>
                </c:pt>
                <c:pt idx="10">
                  <c:v>4.683434310204803E-2</c:v>
                </c:pt>
                <c:pt idx="11">
                  <c:v>4.1974945830868818E-2</c:v>
                </c:pt>
                <c:pt idx="12">
                  <c:v>3.6128126391677631E-2</c:v>
                </c:pt>
                <c:pt idx="13">
                  <c:v>2.9488800639271281E-2</c:v>
                </c:pt>
                <c:pt idx="14">
                  <c:v>2.2490316194060438E-2</c:v>
                </c:pt>
                <c:pt idx="15">
                  <c:v>1.575390339124141E-2</c:v>
                </c:pt>
                <c:pt idx="16">
                  <c:v>9.9365220487780386E-3</c:v>
                </c:pt>
                <c:pt idx="17">
                  <c:v>8.4657059211656841E-3</c:v>
                </c:pt>
                <c:pt idx="18">
                  <c:v>7.9553614737796711E-3</c:v>
                </c:pt>
                <c:pt idx="19">
                  <c:v>7.4996684435106068E-3</c:v>
                </c:pt>
                <c:pt idx="20">
                  <c:v>7.0904593241804207E-3</c:v>
                </c:pt>
                <c:pt idx="21">
                  <c:v>6.7211018391806427E-3</c:v>
                </c:pt>
                <c:pt idx="22">
                  <c:v>6.3861563567964887E-3</c:v>
                </c:pt>
                <c:pt idx="23">
                  <c:v>6.0811208038049295E-3</c:v>
                </c:pt>
                <c:pt idx="24">
                  <c:v>5.8022381324425078E-3</c:v>
                </c:pt>
                <c:pt idx="25">
                  <c:v>5.5463491910456271E-3</c:v>
                </c:pt>
                <c:pt idx="26">
                  <c:v>5.310779010037403E-3</c:v>
                </c:pt>
                <c:pt idx="27">
                  <c:v>5.0932479944766516E-3</c:v>
                </c:pt>
                <c:pt idx="28">
                  <c:v>4.8918018990999797E-3</c:v>
                </c:pt>
                <c:pt idx="29">
                  <c:v>4.7047561210999123E-3</c:v>
                </c:pt>
                <c:pt idx="30">
                  <c:v>4.5306510166873582E-3</c:v>
                </c:pt>
                <c:pt idx="31">
                  <c:v>4.3682157843462138E-3</c:v>
                </c:pt>
                <c:pt idx="32">
                  <c:v>4.2163390630665168E-3</c:v>
                </c:pt>
                <c:pt idx="33">
                  <c:v>4.0740448366824627E-3</c:v>
                </c:pt>
                <c:pt idx="34">
                  <c:v>3.9404725627717628E-3</c:v>
                </c:pt>
                <c:pt idx="35">
                  <c:v>3.8148606888889062E-3</c:v>
                </c:pt>
                <c:pt idx="36">
                  <c:v>3.6965329029309099E-3</c:v>
                </c:pt>
                <c:pt idx="37">
                  <c:v>3.5848866042401521E-3</c:v>
                </c:pt>
                <c:pt idx="38">
                  <c:v>3.4793831891206562E-3</c:v>
                </c:pt>
                <c:pt idx="39">
                  <c:v>3.3795398270708901E-3</c:v>
                </c:pt>
                <c:pt idx="40">
                  <c:v>3.2849224682586467E-3</c:v>
                </c:pt>
                <c:pt idx="41">
                  <c:v>3.1951398730204385E-3</c:v>
                </c:pt>
                <c:pt idx="42">
                  <c:v>3.1098384937502683E-3</c:v>
                </c:pt>
                <c:pt idx="43">
                  <c:v>3.0286980709080306E-3</c:v>
                </c:pt>
                <c:pt idx="44">
                  <c:v>2.9514278298769436E-3</c:v>
                </c:pt>
                <c:pt idx="45">
                  <c:v>2.877763185433964E-3</c:v>
                </c:pt>
                <c:pt idx="46">
                  <c:v>2.8074628767381449E-3</c:v>
                </c:pt>
                <c:pt idx="47">
                  <c:v>2.7403064688107685E-3</c:v>
                </c:pt>
                <c:pt idx="48">
                  <c:v>2.6760921671135684E-3</c:v>
                </c:pt>
                <c:pt idx="49">
                  <c:v>2.6146349005210048E-3</c:v>
                </c:pt>
                <c:pt idx="50">
                  <c:v>2.55576463511566E-3</c:v>
                </c:pt>
                <c:pt idx="51">
                  <c:v>2.4993248871155384E-3</c:v>
                </c:pt>
                <c:pt idx="52">
                  <c:v>2.4451714081082784E-3</c:v>
                </c:pt>
                <c:pt idx="53">
                  <c:v>2.3931710198100481E-3</c:v>
                </c:pt>
                <c:pt idx="54">
                  <c:v>2.3432005789380691E-3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067-433B-896E-94DD6EF64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0396112"/>
        <c:axId val="1110397424"/>
      </c:lineChart>
      <c:catAx>
        <c:axId val="1110396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397424"/>
        <c:crosses val="autoZero"/>
        <c:auto val="1"/>
        <c:lblAlgn val="ctr"/>
        <c:lblOffset val="100"/>
        <c:noMultiLvlLbl val="0"/>
      </c:catAx>
      <c:valAx>
        <c:axId val="111039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39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admission!$B$2</c:f>
              <c:strCache>
                <c:ptCount val="1"/>
                <c:pt idx="0">
                  <c:v>Py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admission!#REF!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2C-423E-A2CF-67EB4B1BACF8}"/>
            </c:ext>
          </c:extLst>
        </c:ser>
        <c:ser>
          <c:idx val="1"/>
          <c:order val="1"/>
          <c:tx>
            <c:v>Py_ma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admission!$C$3:$C$33</c:f>
              <c:numCache>
                <c:formatCode>General</c:formatCode>
                <c:ptCount val="31"/>
                <c:pt idx="0">
                  <c:v>0.41558441558441556</c:v>
                </c:pt>
                <c:pt idx="1">
                  <c:v>0.53246753246753231</c:v>
                </c:pt>
                <c:pt idx="2">
                  <c:v>0.61038961038961037</c:v>
                </c:pt>
                <c:pt idx="3">
                  <c:v>0.68831168831168832</c:v>
                </c:pt>
                <c:pt idx="4">
                  <c:v>0.74891774891774887</c:v>
                </c:pt>
                <c:pt idx="5">
                  <c:v>0.79826839826839824</c:v>
                </c:pt>
                <c:pt idx="6">
                  <c:v>0.83982683982683992</c:v>
                </c:pt>
                <c:pt idx="7">
                  <c:v>0.87532467532467539</c:v>
                </c:pt>
                <c:pt idx="8">
                  <c:v>0.90389610389610386</c:v>
                </c:pt>
                <c:pt idx="9">
                  <c:v>0.92554112554112566</c:v>
                </c:pt>
                <c:pt idx="10">
                  <c:v>0.94199134199134182</c:v>
                </c:pt>
                <c:pt idx="11">
                  <c:v>0.95584415584415572</c:v>
                </c:pt>
                <c:pt idx="12">
                  <c:v>0.96536796536796532</c:v>
                </c:pt>
                <c:pt idx="13">
                  <c:v>0.9722943722943721</c:v>
                </c:pt>
                <c:pt idx="14">
                  <c:v>0.9783549783549782</c:v>
                </c:pt>
                <c:pt idx="15">
                  <c:v>0.98268398268398249</c:v>
                </c:pt>
                <c:pt idx="16">
                  <c:v>0.98614718614718599</c:v>
                </c:pt>
                <c:pt idx="17">
                  <c:v>0.98961038961038961</c:v>
                </c:pt>
                <c:pt idx="18">
                  <c:v>0.99307359307359311</c:v>
                </c:pt>
                <c:pt idx="19">
                  <c:v>0.9956709956709956</c:v>
                </c:pt>
                <c:pt idx="20">
                  <c:v>0.9982683982683983</c:v>
                </c:pt>
                <c:pt idx="21">
                  <c:v>0.99913419913419921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2C-423E-A2CF-67EB4B1BA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2613608"/>
        <c:axId val="1052607704"/>
      </c:lineChart>
      <c:catAx>
        <c:axId val="1052613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607704"/>
        <c:crosses val="autoZero"/>
        <c:auto val="1"/>
        <c:lblAlgn val="ctr"/>
        <c:lblOffset val="100"/>
        <c:noMultiLvlLbl val="0"/>
      </c:catAx>
      <c:valAx>
        <c:axId val="105260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613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admission!$D$2</c:f>
              <c:strCache>
                <c:ptCount val="1"/>
                <c:pt idx="0">
                  <c:v>Po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admission!#REF!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CF-4712-8DEC-0ACE4CA66C16}"/>
            </c:ext>
          </c:extLst>
        </c:ser>
        <c:ser>
          <c:idx val="1"/>
          <c:order val="1"/>
          <c:tx>
            <c:v>Po_ma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admission!$E$3:$E$33</c:f>
              <c:numCache>
                <c:formatCode>General</c:formatCode>
                <c:ptCount val="31"/>
                <c:pt idx="0">
                  <c:v>0.52856246076585056</c:v>
                </c:pt>
                <c:pt idx="1">
                  <c:v>0.64888051893701604</c:v>
                </c:pt>
                <c:pt idx="2">
                  <c:v>0.7180790960451976</c:v>
                </c:pt>
                <c:pt idx="3">
                  <c:v>0.78637790332705582</c:v>
                </c:pt>
                <c:pt idx="4">
                  <c:v>0.83145009416195859</c:v>
                </c:pt>
                <c:pt idx="5">
                  <c:v>0.86409290646578785</c:v>
                </c:pt>
                <c:pt idx="6">
                  <c:v>0.88920276208411808</c:v>
                </c:pt>
                <c:pt idx="7">
                  <c:v>0.90985561833019457</c:v>
                </c:pt>
                <c:pt idx="8">
                  <c:v>0.92749529190207158</c:v>
                </c:pt>
                <c:pt idx="9">
                  <c:v>0.9422473320778405</c:v>
                </c:pt>
                <c:pt idx="10">
                  <c:v>0.95398618957940984</c:v>
                </c:pt>
                <c:pt idx="11">
                  <c:v>0.96377903327055869</c:v>
                </c:pt>
                <c:pt idx="12">
                  <c:v>0.97219083490269931</c:v>
                </c:pt>
                <c:pt idx="13">
                  <c:v>0.97815442561205268</c:v>
                </c:pt>
                <c:pt idx="14">
                  <c:v>0.98279974890144384</c:v>
                </c:pt>
                <c:pt idx="15">
                  <c:v>0.98706842435655995</c:v>
                </c:pt>
                <c:pt idx="16">
                  <c:v>0.99039548022598856</c:v>
                </c:pt>
                <c:pt idx="17">
                  <c:v>0.99322033898305084</c:v>
                </c:pt>
                <c:pt idx="18">
                  <c:v>0.99535467671060895</c:v>
                </c:pt>
                <c:pt idx="19">
                  <c:v>0.99736346516007535</c:v>
                </c:pt>
                <c:pt idx="20">
                  <c:v>0.99861895794099176</c:v>
                </c:pt>
                <c:pt idx="21">
                  <c:v>0.99949780288763346</c:v>
                </c:pt>
                <c:pt idx="22">
                  <c:v>0.99974890144381656</c:v>
                </c:pt>
                <c:pt idx="23">
                  <c:v>1.0000000000000002</c:v>
                </c:pt>
                <c:pt idx="24">
                  <c:v>1.0000000000000002</c:v>
                </c:pt>
                <c:pt idx="25">
                  <c:v>1.0000000000000002</c:v>
                </c:pt>
                <c:pt idx="26">
                  <c:v>1.0000000000000002</c:v>
                </c:pt>
                <c:pt idx="27">
                  <c:v>1.0000000000000002</c:v>
                </c:pt>
                <c:pt idx="28">
                  <c:v>1.0000000000000002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CF-4712-8DEC-0ACE4CA66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1848848"/>
        <c:axId val="651851800"/>
      </c:lineChart>
      <c:catAx>
        <c:axId val="651848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851800"/>
        <c:crosses val="autoZero"/>
        <c:auto val="1"/>
        <c:lblAlgn val="ctr"/>
        <c:lblOffset val="100"/>
        <c:noMultiLvlLbl val="0"/>
      </c:catAx>
      <c:valAx>
        <c:axId val="65185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84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Hospital</a:t>
            </a:r>
            <a:r>
              <a:rPr lang="en-US" baseline="0"/>
              <a:t> Admission - Young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admission!$O$2</c:f>
              <c:strCache>
                <c:ptCount val="1"/>
                <c:pt idx="0">
                  <c:v>Chi_y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admission!$O$3:$O$34</c:f>
              <c:numCache>
                <c:formatCode>General</c:formatCode>
                <c:ptCount val="32"/>
                <c:pt idx="0">
                  <c:v>0.5</c:v>
                </c:pt>
                <c:pt idx="1">
                  <c:v>0.30326532985631671</c:v>
                </c:pt>
                <c:pt idx="2">
                  <c:v>0.18393972058572117</c:v>
                </c:pt>
                <c:pt idx="3">
                  <c:v>0.11156508007421491</c:v>
                </c:pt>
                <c:pt idx="4">
                  <c:v>6.7667641618306337E-2</c:v>
                </c:pt>
                <c:pt idx="5">
                  <c:v>4.10424993119494E-2</c:v>
                </c:pt>
                <c:pt idx="6">
                  <c:v>2.4893534183931976E-2</c:v>
                </c:pt>
                <c:pt idx="7">
                  <c:v>1.509869171115925E-2</c:v>
                </c:pt>
                <c:pt idx="8">
                  <c:v>9.1578194443670893E-3</c:v>
                </c:pt>
                <c:pt idx="9">
                  <c:v>5.5544982691211539E-3</c:v>
                </c:pt>
                <c:pt idx="10">
                  <c:v>3.3689734995427331E-3</c:v>
                </c:pt>
                <c:pt idx="11">
                  <c:v>2.0433857192320337E-3</c:v>
                </c:pt>
                <c:pt idx="12">
                  <c:v>1.2393760883331792E-3</c:v>
                </c:pt>
                <c:pt idx="13">
                  <c:v>7.5171959648878618E-4</c:v>
                </c:pt>
                <c:pt idx="14">
                  <c:v>4.5594098277725801E-4</c:v>
                </c:pt>
                <c:pt idx="15">
                  <c:v>2.7654218507391676E-4</c:v>
                </c:pt>
                <c:pt idx="16">
                  <c:v>1.6773131395125587E-4</c:v>
                </c:pt>
                <c:pt idx="17">
                  <c:v>1.0173418450532208E-4</c:v>
                </c:pt>
                <c:pt idx="18">
                  <c:v>6.1704902043339781E-5</c:v>
                </c:pt>
                <c:pt idx="19">
                  <c:v>3.7425914943850299E-5</c:v>
                </c:pt>
                <c:pt idx="20">
                  <c:v>2.269996488124243E-5</c:v>
                </c:pt>
                <c:pt idx="21">
                  <c:v>1.3768224674873576E-5</c:v>
                </c:pt>
                <c:pt idx="22">
                  <c:v>8.3508503951228313E-6</c:v>
                </c:pt>
                <c:pt idx="23">
                  <c:v>5.0650467993153544E-6</c:v>
                </c:pt>
                <c:pt idx="24">
                  <c:v>3.0721061766641045E-6</c:v>
                </c:pt>
                <c:pt idx="25">
                  <c:v>1.8633265860393359E-6</c:v>
                </c:pt>
                <c:pt idx="26">
                  <c:v>1.1301647034905273E-6</c:v>
                </c:pt>
                <c:pt idx="27">
                  <c:v>6.8547954319204212E-7</c:v>
                </c:pt>
                <c:pt idx="28">
                  <c:v>4.1576435955178383E-7</c:v>
                </c:pt>
                <c:pt idx="29">
                  <c:v>2.5217383128394401E-7</c:v>
                </c:pt>
                <c:pt idx="30">
                  <c:v>1.5295116025091289E-7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FC-4CBD-B726-C2F4F0D4D51D}"/>
            </c:ext>
          </c:extLst>
        </c:ser>
        <c:ser>
          <c:idx val="1"/>
          <c:order val="1"/>
          <c:tx>
            <c:strRef>
              <c:f>admission!$L$2</c:f>
              <c:strCache>
                <c:ptCount val="1"/>
                <c:pt idx="0">
                  <c:v>DP_y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admission!$L$3:$L$34</c:f>
              <c:numCache>
                <c:formatCode>General</c:formatCode>
                <c:ptCount val="32"/>
                <c:pt idx="0">
                  <c:v>0.34629260348381818</c:v>
                </c:pt>
                <c:pt idx="1">
                  <c:v>0.17828658257487193</c:v>
                </c:pt>
                <c:pt idx="2">
                  <c:v>0.10177079696525419</c:v>
                </c:pt>
                <c:pt idx="3">
                  <c:v>7.6903166642128359E-2</c:v>
                </c:pt>
                <c:pt idx="4">
                  <c:v>5.9081707314130039E-2</c:v>
                </c:pt>
                <c:pt idx="5">
                  <c:v>4.6959071375092074E-2</c:v>
                </c:pt>
                <c:pt idx="6">
                  <c:v>3.8636448932062722E-2</c:v>
                </c:pt>
                <c:pt idx="7">
                  <c:v>3.2522778822534265E-2</c:v>
                </c:pt>
                <c:pt idx="8">
                  <c:v>2.6640044247744517E-2</c:v>
                </c:pt>
                <c:pt idx="9">
                  <c:v>2.0832363721745038E-2</c:v>
                </c:pt>
                <c:pt idx="10">
                  <c:v>1.6023023708900238E-2</c:v>
                </c:pt>
                <c:pt idx="11">
                  <c:v>1.2999066283778509E-2</c:v>
                </c:pt>
                <c:pt idx="12">
                  <c:v>9.5814102523683713E-3</c:v>
                </c:pt>
                <c:pt idx="13">
                  <c:v>7.0097501212125933E-3</c:v>
                </c:pt>
                <c:pt idx="14">
                  <c:v>5.6869866049379493E-3</c:v>
                </c:pt>
                <c:pt idx="15">
                  <c:v>4.2831405148504101E-3</c:v>
                </c:pt>
                <c:pt idx="16">
                  <c:v>3.3399165619228824E-3</c:v>
                </c:pt>
                <c:pt idx="17">
                  <c:v>3.0333687772214979E-3</c:v>
                </c:pt>
                <c:pt idx="18">
                  <c:v>2.9337407471934857E-3</c:v>
                </c:pt>
                <c:pt idx="19">
                  <c:v>2.4143876637851788E-3</c:v>
                </c:pt>
                <c:pt idx="20">
                  <c:v>2.2455979116776039E-3</c:v>
                </c:pt>
                <c:pt idx="21">
                  <c:v>1.2167932949443616E-3</c:v>
                </c:pt>
                <c:pt idx="22">
                  <c:v>8.8243179450599532E-4</c:v>
                </c:pt>
                <c:pt idx="23">
                  <c:v>2.8679033321444848E-4</c:v>
                </c:pt>
                <c:pt idx="24">
                  <c:v>9.3206858294695748E-5</c:v>
                </c:pt>
                <c:pt idx="25">
                  <c:v>3.0292228945776116E-5</c:v>
                </c:pt>
                <c:pt idx="26">
                  <c:v>9.8449744073772369E-6</c:v>
                </c:pt>
                <c:pt idx="27">
                  <c:v>3.1996166823976015E-6</c:v>
                </c:pt>
                <c:pt idx="28">
                  <c:v>1.0398754217792202E-6</c:v>
                </c:pt>
                <c:pt idx="29">
                  <c:v>3.3795951207824654E-7</c:v>
                </c:pt>
                <c:pt idx="30">
                  <c:v>1.0983684142543012E-7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FC-4CBD-B726-C2F4F0D4D51D}"/>
            </c:ext>
          </c:extLst>
        </c:ser>
        <c:ser>
          <c:idx val="2"/>
          <c:order val="2"/>
          <c:tx>
            <c:strRef>
              <c:f>admission!$J$2</c:f>
              <c:strCache>
                <c:ptCount val="1"/>
                <c:pt idx="0">
                  <c:v>DP_y_raw</c:v>
                </c:pt>
              </c:strCache>
            </c:strRef>
          </c:tx>
          <c:spPr>
            <a:ln w="381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admission!$J$3:$J$33</c:f>
              <c:numCache>
                <c:formatCode>General</c:formatCode>
                <c:ptCount val="31"/>
                <c:pt idx="0">
                  <c:v>0.41558441558441556</c:v>
                </c:pt>
                <c:pt idx="1">
                  <c:v>0.11688311688311676</c:v>
                </c:pt>
                <c:pt idx="2">
                  <c:v>7.7922077922078059E-2</c:v>
                </c:pt>
                <c:pt idx="3">
                  <c:v>7.7922077922077948E-2</c:v>
                </c:pt>
                <c:pt idx="4">
                  <c:v>6.0606060606060552E-2</c:v>
                </c:pt>
                <c:pt idx="5">
                  <c:v>4.9350649350649367E-2</c:v>
                </c:pt>
                <c:pt idx="6">
                  <c:v>4.1558441558441683E-2</c:v>
                </c:pt>
                <c:pt idx="7">
                  <c:v>3.5497835497835473E-2</c:v>
                </c:pt>
                <c:pt idx="8">
                  <c:v>2.857142857142847E-2</c:v>
                </c:pt>
                <c:pt idx="9">
                  <c:v>2.16450216450218E-2</c:v>
                </c:pt>
                <c:pt idx="10">
                  <c:v>1.645021645021616E-2</c:v>
                </c:pt>
                <c:pt idx="11">
                  <c:v>1.3852813852813894E-2</c:v>
                </c:pt>
                <c:pt idx="12">
                  <c:v>9.523809523809601E-3</c:v>
                </c:pt>
                <c:pt idx="13">
                  <c:v>6.9264069264067807E-3</c:v>
                </c:pt>
                <c:pt idx="14">
                  <c:v>6.0606060606060996E-3</c:v>
                </c:pt>
                <c:pt idx="15">
                  <c:v>4.3290043290042934E-3</c:v>
                </c:pt>
                <c:pt idx="16">
                  <c:v>3.4632034632035014E-3</c:v>
                </c:pt>
                <c:pt idx="17">
                  <c:v>3.4632034632036124E-3</c:v>
                </c:pt>
                <c:pt idx="18">
                  <c:v>3.4632034632035014E-3</c:v>
                </c:pt>
                <c:pt idx="19">
                  <c:v>2.5974025974024872E-3</c:v>
                </c:pt>
                <c:pt idx="20">
                  <c:v>2.5974025974027093E-3</c:v>
                </c:pt>
                <c:pt idx="21">
                  <c:v>8.658008658009031E-4</c:v>
                </c:pt>
                <c:pt idx="22">
                  <c:v>8.6580086580079207E-4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FC-4CBD-B726-C2F4F0D4D51D}"/>
            </c:ext>
          </c:extLst>
        </c:ser>
        <c:ser>
          <c:idx val="3"/>
          <c:order val="3"/>
          <c:tx>
            <c:strRef>
              <c:f>admission!$P$2</c:f>
              <c:strCache>
                <c:ptCount val="1"/>
                <c:pt idx="0">
                  <c:v>Pois_y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admission!$P$3:$P$33</c:f>
              <c:numCache>
                <c:formatCode>General</c:formatCode>
                <c:ptCount val="31"/>
                <c:pt idx="0">
                  <c:v>0.52204577676101604</c:v>
                </c:pt>
                <c:pt idx="1">
                  <c:v>0.33932975489466044</c:v>
                </c:pt>
                <c:pt idx="2">
                  <c:v>0.11028217034076465</c:v>
                </c:pt>
                <c:pt idx="3">
                  <c:v>2.3894470240499011E-2</c:v>
                </c:pt>
                <c:pt idx="4">
                  <c:v>3.882851414081089E-3</c:v>
                </c:pt>
                <c:pt idx="5">
                  <c:v>5.0477068383054165E-4</c:v>
                </c:pt>
                <c:pt idx="6">
                  <c:v>5.4683490748308681E-5</c:v>
                </c:pt>
                <c:pt idx="7">
                  <c:v>5.0777527123429496E-6</c:v>
                </c:pt>
                <c:pt idx="8">
                  <c:v>4.1256740787786459E-7</c:v>
                </c:pt>
                <c:pt idx="9">
                  <c:v>2.9796535013401328E-8</c:v>
                </c:pt>
                <c:pt idx="10">
                  <c:v>1.9367747758710869E-9</c:v>
                </c:pt>
                <c:pt idx="11">
                  <c:v>1.1444578221056421E-10</c:v>
                </c:pt>
                <c:pt idx="12">
                  <c:v>6.1991465364055616E-12</c:v>
                </c:pt>
                <c:pt idx="13">
                  <c:v>3.0995732682027813E-13</c:v>
                </c:pt>
                <c:pt idx="14">
                  <c:v>1.4390875888084344E-14</c:v>
                </c:pt>
                <c:pt idx="15">
                  <c:v>6.2360462181698823E-16</c:v>
                </c:pt>
                <c:pt idx="16">
                  <c:v>2.5333937761315145E-17</c:v>
                </c:pt>
                <c:pt idx="17">
                  <c:v>9.6865056146204958E-19</c:v>
                </c:pt>
                <c:pt idx="18">
                  <c:v>3.4979048052796244E-20</c:v>
                </c:pt>
                <c:pt idx="19">
                  <c:v>1.1966516439114506E-21</c:v>
                </c:pt>
                <c:pt idx="20">
                  <c:v>3.8891178427122139E-23</c:v>
                </c:pt>
                <c:pt idx="21">
                  <c:v>1.2037745703633044E-24</c:v>
                </c:pt>
                <c:pt idx="22">
                  <c:v>3.5566066851643087E-26</c:v>
                </c:pt>
                <c:pt idx="23">
                  <c:v>1.0051279762420874E-27</c:v>
                </c:pt>
                <c:pt idx="24">
                  <c:v>2.7222216023223198E-29</c:v>
                </c:pt>
                <c:pt idx="25">
                  <c:v>7.0777761660380331E-31</c:v>
                </c:pt>
                <c:pt idx="26">
                  <c:v>1.7694440415095077E-32</c:v>
                </c:pt>
                <c:pt idx="27">
                  <c:v>4.2597726925228908E-34</c:v>
                </c:pt>
                <c:pt idx="28">
                  <c:v>9.8887580362138541E-36</c:v>
                </c:pt>
                <c:pt idx="29">
                  <c:v>2.2164457667375883E-37</c:v>
                </c:pt>
                <c:pt idx="30">
                  <c:v>4.8022991612647719E-39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FC-4CBD-B726-C2F4F0D4D51D}"/>
            </c:ext>
          </c:extLst>
        </c:ser>
        <c:ser>
          <c:idx val="4"/>
          <c:order val="4"/>
          <c:tx>
            <c:strRef>
              <c:f>admission!$M$2</c:f>
              <c:strCache>
                <c:ptCount val="1"/>
                <c:pt idx="0">
                  <c:v>L_y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admission!$N$3:$N$33</c:f>
              <c:numCache>
                <c:formatCode>General</c:formatCode>
                <c:ptCount val="31"/>
                <c:pt idx="0">
                  <c:v>0.33696958884051037</c:v>
                </c:pt>
                <c:pt idx="1">
                  <c:v>0.15879691874109053</c:v>
                </c:pt>
                <c:pt idx="2">
                  <c:v>9.977739727565188E-2</c:v>
                </c:pt>
                <c:pt idx="3">
                  <c:v>7.0530147699226414E-2</c:v>
                </c:pt>
                <c:pt idx="4">
                  <c:v>5.3179731365216719E-2</c:v>
                </c:pt>
                <c:pt idx="5">
                  <c:v>4.1768247343097302E-2</c:v>
                </c:pt>
                <c:pt idx="6">
                  <c:v>3.3742776960745034E-2</c:v>
                </c:pt>
                <c:pt idx="7">
                  <c:v>2.7827246374814416E-2</c:v>
                </c:pt>
                <c:pt idx="8">
                  <c:v>2.3313048629566745E-2</c:v>
                </c:pt>
                <c:pt idx="9">
                  <c:v>1.9775293500029992E-2</c:v>
                </c:pt>
                <c:pt idx="10">
                  <c:v>1.6943831021616607E-2</c:v>
                </c:pt>
                <c:pt idx="11">
                  <c:v>1.4638764009717514E-2</c:v>
                </c:pt>
                <c:pt idx="12">
                  <c:v>1.2735724688454233E-2</c:v>
                </c:pt>
                <c:pt idx="13">
                  <c:v>1.1146033338948966E-2</c:v>
                </c:pt>
                <c:pt idx="14">
                  <c:v>9.8047939938287754E-3</c:v>
                </c:pt>
                <c:pt idx="15">
                  <c:v>8.6634546929846411E-3</c:v>
                </c:pt>
                <c:pt idx="16">
                  <c:v>7.6849939276593176E-3</c:v>
                </c:pt>
                <c:pt idx="17">
                  <c:v>6.8407119558845228E-3</c:v>
                </c:pt>
                <c:pt idx="18">
                  <c:v>6.108035701662155E-3</c:v>
                </c:pt>
                <c:pt idx="19">
                  <c:v>5.4689824663757521E-3</c:v>
                </c:pt>
                <c:pt idx="20">
                  <c:v>4.9090628329134722E-3</c:v>
                </c:pt>
                <c:pt idx="21">
                  <c:v>4.4164830054745407E-3</c:v>
                </c:pt>
                <c:pt idx="22">
                  <c:v>3.9815554399354183E-3</c:v>
                </c:pt>
                <c:pt idx="23">
                  <c:v>3.5962570020500006E-3</c:v>
                </c:pt>
                <c:pt idx="24">
                  <c:v>3.2538933354548409E-3</c:v>
                </c:pt>
                <c:pt idx="25">
                  <c:v>2.9488408352559494E-3</c:v>
                </c:pt>
                <c:pt idx="26">
                  <c:v>2.6763460988128533E-3</c:v>
                </c:pt>
                <c:pt idx="27">
                  <c:v>2.432368476769288E-3</c:v>
                </c:pt>
                <c:pt idx="28">
                  <c:v>2.2134553138600521E-3</c:v>
                </c:pt>
                <c:pt idx="29">
                  <c:v>2.016642245535996E-3</c:v>
                </c:pt>
                <c:pt idx="30">
                  <c:v>1.8393728868558161E-3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FC-4CBD-B726-C2F4F0D4D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400200"/>
        <c:axId val="1081403480"/>
      </c:lineChart>
      <c:catAx>
        <c:axId val="1081400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03480"/>
        <c:crosses val="autoZero"/>
        <c:auto val="1"/>
        <c:lblAlgn val="ctr"/>
        <c:lblOffset val="100"/>
        <c:noMultiLvlLbl val="0"/>
      </c:catAx>
      <c:valAx>
        <c:axId val="108140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00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Hospital</a:t>
            </a:r>
            <a:r>
              <a:rPr lang="en-US" baseline="0"/>
              <a:t> Admission - 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admission!$W$2</c:f>
              <c:strCache>
                <c:ptCount val="1"/>
                <c:pt idx="0">
                  <c:v>Chi_o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admission!$W$3:$W$34</c:f>
              <c:numCache>
                <c:formatCode>General</c:formatCode>
                <c:ptCount val="32"/>
                <c:pt idx="0">
                  <c:v>0.5</c:v>
                </c:pt>
                <c:pt idx="1">
                  <c:v>0.30326532985631671</c:v>
                </c:pt>
                <c:pt idx="2">
                  <c:v>0.18393972058572117</c:v>
                </c:pt>
                <c:pt idx="3">
                  <c:v>0.11156508007421491</c:v>
                </c:pt>
                <c:pt idx="4">
                  <c:v>6.7667641618306337E-2</c:v>
                </c:pt>
                <c:pt idx="5">
                  <c:v>4.10424993119494E-2</c:v>
                </c:pt>
                <c:pt idx="6">
                  <c:v>2.4893534183931976E-2</c:v>
                </c:pt>
                <c:pt idx="7">
                  <c:v>1.509869171115925E-2</c:v>
                </c:pt>
                <c:pt idx="8">
                  <c:v>9.1578194443670893E-3</c:v>
                </c:pt>
                <c:pt idx="9">
                  <c:v>5.5544982691211539E-3</c:v>
                </c:pt>
                <c:pt idx="10">
                  <c:v>3.3689734995427331E-3</c:v>
                </c:pt>
                <c:pt idx="11">
                  <c:v>2.0433857192320337E-3</c:v>
                </c:pt>
                <c:pt idx="12">
                  <c:v>1.2393760883331792E-3</c:v>
                </c:pt>
                <c:pt idx="13">
                  <c:v>7.5171959648878618E-4</c:v>
                </c:pt>
                <c:pt idx="14">
                  <c:v>4.5594098277725801E-4</c:v>
                </c:pt>
                <c:pt idx="15">
                  <c:v>2.7654218507391676E-4</c:v>
                </c:pt>
                <c:pt idx="16">
                  <c:v>1.6773131395125587E-4</c:v>
                </c:pt>
                <c:pt idx="17">
                  <c:v>1.0173418450532208E-4</c:v>
                </c:pt>
                <c:pt idx="18">
                  <c:v>6.1704902043339781E-5</c:v>
                </c:pt>
                <c:pt idx="19">
                  <c:v>3.7425914943850299E-5</c:v>
                </c:pt>
                <c:pt idx="20">
                  <c:v>2.269996488124243E-5</c:v>
                </c:pt>
                <c:pt idx="21">
                  <c:v>1.3768224674873576E-5</c:v>
                </c:pt>
                <c:pt idx="22">
                  <c:v>8.3508503951228313E-6</c:v>
                </c:pt>
                <c:pt idx="23">
                  <c:v>5.0650467993153544E-6</c:v>
                </c:pt>
                <c:pt idx="24">
                  <c:v>3.0721061766641045E-6</c:v>
                </c:pt>
                <c:pt idx="25">
                  <c:v>1.8633265860393359E-6</c:v>
                </c:pt>
                <c:pt idx="26">
                  <c:v>1.1301647034905273E-6</c:v>
                </c:pt>
                <c:pt idx="27">
                  <c:v>6.8547954319204212E-7</c:v>
                </c:pt>
                <c:pt idx="28">
                  <c:v>4.1576435955178383E-7</c:v>
                </c:pt>
                <c:pt idx="29">
                  <c:v>2.5217383128394401E-7</c:v>
                </c:pt>
                <c:pt idx="30">
                  <c:v>1.5295116025091289E-7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B3-4E36-8104-B9E16EABD149}"/>
            </c:ext>
          </c:extLst>
        </c:ser>
        <c:ser>
          <c:idx val="1"/>
          <c:order val="1"/>
          <c:tx>
            <c:strRef>
              <c:f>admission!$T$2</c:f>
              <c:strCache>
                <c:ptCount val="1"/>
                <c:pt idx="0">
                  <c:v>DP_o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admission!$T$3:$T$34</c:f>
              <c:numCache>
                <c:formatCode>General</c:formatCode>
                <c:ptCount val="32"/>
                <c:pt idx="0">
                  <c:v>0.4213355289841918</c:v>
                </c:pt>
                <c:pt idx="1">
                  <c:v>0.20167310162571717</c:v>
                </c:pt>
                <c:pt idx="2">
                  <c:v>0.10277715870875144</c:v>
                </c:pt>
                <c:pt idx="3">
                  <c:v>7.0151841721198246E-2</c:v>
                </c:pt>
                <c:pt idx="4">
                  <c:v>4.7051161400504492E-2</c:v>
                </c:pt>
                <c:pt idx="5">
                  <c:v>3.2855614471013296E-2</c:v>
                </c:pt>
                <c:pt idx="6">
                  <c:v>2.4188833946040364E-2</c:v>
                </c:pt>
                <c:pt idx="7">
                  <c:v>1.8973970509798505E-2</c:v>
                </c:pt>
                <c:pt idx="8">
                  <c:v>1.5657848783864656E-2</c:v>
                </c:pt>
                <c:pt idx="9">
                  <c:v>1.3026371909995574E-2</c:v>
                </c:pt>
                <c:pt idx="10">
                  <c:v>1.0549850816832821E-2</c:v>
                </c:pt>
                <c:pt idx="11">
                  <c:v>8.6978976202255077E-3</c:v>
                </c:pt>
                <c:pt idx="12">
                  <c:v>7.3529210729652321E-3</c:v>
                </c:pt>
                <c:pt idx="13">
                  <c:v>5.5985046689169165E-3</c:v>
                </c:pt>
                <c:pt idx="14">
                  <c:v>4.3190044773458247E-3</c:v>
                </c:pt>
                <c:pt idx="15">
                  <c:v>3.7005055264407549E-3</c:v>
                </c:pt>
                <c:pt idx="16">
                  <c:v>2.9928398957855037E-3</c:v>
                </c:pt>
                <c:pt idx="17">
                  <c:v>2.4926333809634793E-3</c:v>
                </c:pt>
                <c:pt idx="18">
                  <c:v>1.9585203844648415E-3</c:v>
                </c:pt>
                <c:pt idx="19">
                  <c:v>1.7173798643879423E-3</c:v>
                </c:pt>
                <c:pt idx="20">
                  <c:v>1.2336864180740796E-3</c:v>
                </c:pt>
                <c:pt idx="21">
                  <c:v>8.738246593777882E-4</c:v>
                </c:pt>
                <c:pt idx="22">
                  <c:v>4.1910060672728527E-4</c:v>
                </c:pt>
                <c:pt idx="23">
                  <c:v>2.7131528961617051E-4</c:v>
                </c:pt>
                <c:pt idx="24">
                  <c:v>8.8177469125255399E-5</c:v>
                </c:pt>
                <c:pt idx="25">
                  <c:v>2.8657677465708E-5</c:v>
                </c:pt>
                <c:pt idx="26">
                  <c:v>9.3137451763550989E-6</c:v>
                </c:pt>
                <c:pt idx="27">
                  <c:v>3.0269671823154069E-6</c:v>
                </c:pt>
                <c:pt idx="28">
                  <c:v>9.837643342525071E-7</c:v>
                </c:pt>
                <c:pt idx="29">
                  <c:v>3.1972340863206475E-7</c:v>
                </c:pt>
                <c:pt idx="30">
                  <c:v>1.0391010780542102E-7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B3-4E36-8104-B9E16EABD149}"/>
            </c:ext>
          </c:extLst>
        </c:ser>
        <c:ser>
          <c:idx val="2"/>
          <c:order val="2"/>
          <c:tx>
            <c:strRef>
              <c:f>admission!$R$2</c:f>
              <c:strCache>
                <c:ptCount val="1"/>
                <c:pt idx="0">
                  <c:v>DP_o_raw</c:v>
                </c:pt>
              </c:strCache>
            </c:strRef>
          </c:tx>
          <c:spPr>
            <a:ln w="317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admission!$R$3:$R$33</c:f>
              <c:numCache>
                <c:formatCode>General</c:formatCode>
                <c:ptCount val="31"/>
                <c:pt idx="0">
                  <c:v>0.52856246076585056</c:v>
                </c:pt>
                <c:pt idx="1">
                  <c:v>0.12031805817116548</c:v>
                </c:pt>
                <c:pt idx="2">
                  <c:v>6.9198577108181558E-2</c:v>
                </c:pt>
                <c:pt idx="3">
                  <c:v>6.829880728185822E-2</c:v>
                </c:pt>
                <c:pt idx="4">
                  <c:v>4.507219083490277E-2</c:v>
                </c:pt>
                <c:pt idx="5">
                  <c:v>3.2642812303829261E-2</c:v>
                </c:pt>
                <c:pt idx="6">
                  <c:v>2.5109855618330235E-2</c:v>
                </c:pt>
                <c:pt idx="7">
                  <c:v>2.065285624607649E-2</c:v>
                </c:pt>
                <c:pt idx="8">
                  <c:v>1.7639673571877013E-2</c:v>
                </c:pt>
                <c:pt idx="9">
                  <c:v>1.4752040175768921E-2</c:v>
                </c:pt>
                <c:pt idx="10">
                  <c:v>1.1738857501569333E-2</c:v>
                </c:pt>
                <c:pt idx="11">
                  <c:v>9.7928436911488559E-3</c:v>
                </c:pt>
                <c:pt idx="12">
                  <c:v>8.4118016321406142E-3</c:v>
                </c:pt>
                <c:pt idx="13">
                  <c:v>5.9635907093533724E-3</c:v>
                </c:pt>
                <c:pt idx="14">
                  <c:v>4.6453232893911567E-3</c:v>
                </c:pt>
                <c:pt idx="15">
                  <c:v>4.268675455116111E-3</c:v>
                </c:pt>
                <c:pt idx="16">
                  <c:v>3.3270558694286079E-3</c:v>
                </c:pt>
                <c:pt idx="17">
                  <c:v>2.8248587570622874E-3</c:v>
                </c:pt>
                <c:pt idx="18">
                  <c:v>2.134337727558111E-3</c:v>
                </c:pt>
                <c:pt idx="19">
                  <c:v>2.0087884494663921E-3</c:v>
                </c:pt>
                <c:pt idx="20">
                  <c:v>1.2554927809164118E-3</c:v>
                </c:pt>
                <c:pt idx="21">
                  <c:v>8.7884494664169921E-4</c:v>
                </c:pt>
                <c:pt idx="22">
                  <c:v>2.5109855618310473E-4</c:v>
                </c:pt>
                <c:pt idx="23">
                  <c:v>2.5109855618365984E-4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B3-4E36-8104-B9E16EABD149}"/>
            </c:ext>
          </c:extLst>
        </c:ser>
        <c:ser>
          <c:idx val="3"/>
          <c:order val="3"/>
          <c:tx>
            <c:strRef>
              <c:f>admission!$X$2</c:f>
              <c:strCache>
                <c:ptCount val="1"/>
                <c:pt idx="0">
                  <c:v>Pois_o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admission!$X$3:$X$33</c:f>
              <c:numCache>
                <c:formatCode>General</c:formatCode>
                <c:ptCount val="31"/>
                <c:pt idx="0">
                  <c:v>0.61522168764070195</c:v>
                </c:pt>
                <c:pt idx="1">
                  <c:v>0.29885784396180087</c:v>
                </c:pt>
                <c:pt idx="2">
                  <c:v>7.2588477204056159E-2</c:v>
                </c:pt>
                <c:pt idx="3">
                  <c:v>1.1753831304217579E-2</c:v>
                </c:pt>
                <c:pt idx="4">
                  <c:v>1.4274223228947138E-3</c:v>
                </c:pt>
                <c:pt idx="5">
                  <c:v>1.3868053302191059E-4</c:v>
                </c:pt>
                <c:pt idx="6">
                  <c:v>1.122786737718909E-5</c:v>
                </c:pt>
                <c:pt idx="7">
                  <c:v>7.7917006040162587E-7</c:v>
                </c:pt>
                <c:pt idx="8">
                  <c:v>4.7312434080511917E-8</c:v>
                </c:pt>
                <c:pt idx="9">
                  <c:v>2.5536760571101461E-9</c:v>
                </c:pt>
                <c:pt idx="10">
                  <c:v>1.2405058793221904E-10</c:v>
                </c:pt>
                <c:pt idx="11">
                  <c:v>5.4782161523521061E-12</c:v>
                </c:pt>
                <c:pt idx="12">
                  <c:v>2.2176394581807165E-13</c:v>
                </c:pt>
                <c:pt idx="13">
                  <c:v>8.2866808010434104E-15</c:v>
                </c:pt>
                <c:pt idx="14">
                  <c:v>2.8753161056193552E-16</c:v>
                </c:pt>
                <c:pt idx="15">
                  <c:v>9.3116653643923731E-18</c:v>
                </c:pt>
                <c:pt idx="16">
                  <c:v>2.8270949829971218E-19</c:v>
                </c:pt>
                <c:pt idx="17">
                  <c:v>8.0783841420100666E-21</c:v>
                </c:pt>
                <c:pt idx="18">
                  <c:v>2.1801431869351614E-22</c:v>
                </c:pt>
                <c:pt idx="19">
                  <c:v>5.5739675928771838E-24</c:v>
                </c:pt>
                <c:pt idx="20">
                  <c:v>1.3538403884203513E-25</c:v>
                </c:pt>
                <c:pt idx="21">
                  <c:v>3.1317075088921421E-27</c:v>
                </c:pt>
                <c:pt idx="22">
                  <c:v>6.9149896609234128E-29</c:v>
                </c:pt>
                <c:pt idx="23">
                  <c:v>1.4604837238192835E-30</c:v>
                </c:pt>
                <c:pt idx="24">
                  <c:v>2.9560957836445908E-32</c:v>
                </c:pt>
                <c:pt idx="25">
                  <c:v>5.7439614382420224E-34</c:v>
                </c:pt>
                <c:pt idx="26">
                  <c:v>1.0731765886611276E-35</c:v>
                </c:pt>
                <c:pt idx="27">
                  <c:v>1.9308140398860478E-37</c:v>
                </c:pt>
                <c:pt idx="28">
                  <c:v>3.3497734733195514E-39</c:v>
                </c:pt>
                <c:pt idx="29">
                  <c:v>5.6111317163816708E-41</c:v>
                </c:pt>
                <c:pt idx="30">
                  <c:v>9.0857803001837366E-43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B3-4E36-8104-B9E16EABD149}"/>
            </c:ext>
          </c:extLst>
        </c:ser>
        <c:ser>
          <c:idx val="4"/>
          <c:order val="4"/>
          <c:tx>
            <c:strRef>
              <c:f>admission!$U$2</c:f>
              <c:strCache>
                <c:ptCount val="1"/>
                <c:pt idx="0">
                  <c:v>L_o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admission!$V$3:$V$33</c:f>
              <c:numCache>
                <c:formatCode>General</c:formatCode>
                <c:ptCount val="31"/>
                <c:pt idx="0">
                  <c:v>0.41291506334369904</c:v>
                </c:pt>
                <c:pt idx="1">
                  <c:v>0.18219877170040721</c:v>
                </c:pt>
                <c:pt idx="2">
                  <c:v>0.10719361068373957</c:v>
                </c:pt>
                <c:pt idx="3">
                  <c:v>7.0948771071300126E-2</c:v>
                </c:pt>
                <c:pt idx="4">
                  <c:v>5.0089832376337885E-2</c:v>
                </c:pt>
                <c:pt idx="5">
                  <c:v>3.6836897560098489E-2</c:v>
                </c:pt>
                <c:pt idx="6">
                  <c:v>2.7864481797245929E-2</c:v>
                </c:pt>
                <c:pt idx="7">
                  <c:v>2.1516604537810836E-2</c:v>
                </c:pt>
                <c:pt idx="8">
                  <c:v>1.6878580892993832E-2</c:v>
                </c:pt>
                <c:pt idx="9">
                  <c:v>1.3405812874260353E-2</c:v>
                </c:pt>
                <c:pt idx="10">
                  <c:v>1.0755118055940689E-2</c:v>
                </c:pt>
                <c:pt idx="11">
                  <c:v>8.7004423773370202E-3</c:v>
                </c:pt>
                <c:pt idx="12">
                  <c:v>7.0875142135383871E-3</c:v>
                </c:pt>
                <c:pt idx="13">
                  <c:v>5.8079647724870826E-3</c:v>
                </c:pt>
                <c:pt idx="14">
                  <c:v>4.7838269842718608E-3</c:v>
                </c:pt>
                <c:pt idx="15">
                  <c:v>3.9578693565186715E-3</c:v>
                </c:pt>
                <c:pt idx="16">
                  <c:v>3.2873597243555084E-3</c:v>
                </c:pt>
                <c:pt idx="17">
                  <c:v>2.7399230147024172E-3</c:v>
                </c:pt>
                <c:pt idx="18">
                  <c:v>2.2907198467656789E-3</c:v>
                </c:pt>
                <c:pt idx="19">
                  <c:v>1.920482251532176E-3</c:v>
                </c:pt>
                <c:pt idx="20">
                  <c:v>1.6141196066449001E-3</c:v>
                </c:pt>
                <c:pt idx="21">
                  <c:v>1.3597123459157549E-3</c:v>
                </c:pt>
                <c:pt idx="22">
                  <c:v>1.147774573737147E-3</c:v>
                </c:pt>
                <c:pt idx="23">
                  <c:v>9.7070643376790582E-4</c:v>
                </c:pt>
                <c:pt idx="24">
                  <c:v>8.2238249068816976E-4</c:v>
                </c:pt>
                <c:pt idx="25">
                  <c:v>6.9783898849260569E-4</c:v>
                </c:pt>
                <c:pt idx="26">
                  <c:v>5.9303391077640132E-4</c:v>
                </c:pt>
                <c:pt idx="27">
                  <c:v>5.0466126817945369E-4</c:v>
                </c:pt>
                <c:pt idx="28">
                  <c:v>4.3000620471428613E-4</c:v>
                </c:pt>
                <c:pt idx="29">
                  <c:v>3.6683112647167886E-4</c:v>
                </c:pt>
                <c:pt idx="30">
                  <c:v>3.1328561526895813E-4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B3-4E36-8104-B9E16EABD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400200"/>
        <c:axId val="1081403480"/>
      </c:lineChart>
      <c:catAx>
        <c:axId val="1081400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03480"/>
        <c:crosses val="autoZero"/>
        <c:auto val="1"/>
        <c:lblAlgn val="ctr"/>
        <c:lblOffset val="100"/>
        <c:noMultiLvlLbl val="0"/>
      </c:catAx>
      <c:valAx>
        <c:axId val="108140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00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497414</xdr:colOff>
      <xdr:row>11</xdr:row>
      <xdr:rowOff>88898</xdr:rowOff>
    </xdr:from>
    <xdr:to>
      <xdr:col>13</xdr:col>
      <xdr:colOff>63500</xdr:colOff>
      <xdr:row>32</xdr:row>
      <xdr:rowOff>169331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11805B-130E-44CA-9BC7-543891130B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306918</xdr:colOff>
      <xdr:row>11</xdr:row>
      <xdr:rowOff>105834</xdr:rowOff>
    </xdr:from>
    <xdr:to>
      <xdr:col>22</xdr:col>
      <xdr:colOff>560918</xdr:colOff>
      <xdr:row>33</xdr:row>
      <xdr:rowOff>10583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F5E69CD-2E85-4269-A64B-EB136F7FB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515620</xdr:colOff>
      <xdr:row>30</xdr:row>
      <xdr:rowOff>5080</xdr:rowOff>
    </xdr:from>
    <xdr:to>
      <xdr:col>21</xdr:col>
      <xdr:colOff>226060</xdr:colOff>
      <xdr:row>45</xdr:row>
      <xdr:rowOff>5080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A0E2D4-9A7F-4F57-9831-C1A6DCCEA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11430</xdr:colOff>
      <xdr:row>0</xdr:row>
      <xdr:rowOff>31750</xdr:rowOff>
    </xdr:from>
    <xdr:to>
      <xdr:col>20</xdr:col>
      <xdr:colOff>133350</xdr:colOff>
      <xdr:row>22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05A656-CB79-4037-AC17-104EF4698D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143711</xdr:rowOff>
    </xdr:from>
    <xdr:to>
      <xdr:col>7</xdr:col>
      <xdr:colOff>304800</xdr:colOff>
      <xdr:row>49</xdr:row>
      <xdr:rowOff>143711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361711-B0B2-46C1-8355-3F276E612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42</xdr:row>
      <xdr:rowOff>164685</xdr:rowOff>
    </xdr:from>
    <xdr:to>
      <xdr:col>7</xdr:col>
      <xdr:colOff>304800</xdr:colOff>
      <xdr:row>57</xdr:row>
      <xdr:rowOff>173247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42E4F-9351-4E01-8367-101C82F49B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406684</xdr:colOff>
      <xdr:row>12</xdr:row>
      <xdr:rowOff>41097</xdr:rowOff>
    </xdr:from>
    <xdr:to>
      <xdr:col>15</xdr:col>
      <xdr:colOff>115582</xdr:colOff>
      <xdr:row>27</xdr:row>
      <xdr:rowOff>87332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30EA6D-6EB2-48AE-966E-4E2BB6B4A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111304</xdr:colOff>
      <xdr:row>12</xdr:row>
      <xdr:rowOff>42810</xdr:rowOff>
    </xdr:from>
    <xdr:to>
      <xdr:col>26</xdr:col>
      <xdr:colOff>428090</xdr:colOff>
      <xdr:row>27</xdr:row>
      <xdr:rowOff>89045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BB20B23-26C1-4CD3-A9A9-B1F80AEC95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466A687-6236-4DC0-B64A-54E934BCE32E}" autoFormatId="16" applyNumberFormats="0" applyBorderFormats="0" applyFontFormats="0" applyPatternFormats="0" applyAlignmentFormats="0" applyWidthHeightFormats="0">
  <queryTableRefresh nextId="17" unboundColumnsRight="3">
    <queryTableFields count="7">
      <queryTableField id="1" name="day" tableColumnId="1"/>
      <queryTableField id="2" name="P_y_rec" tableColumnId="2"/>
      <queryTableField id="3" name="P_y_death" tableColumnId="3"/>
      <queryTableField id="4" name="P_y_cont" tableColumnId="4"/>
      <queryTableField id="5" dataBound="0" tableColumnId="5"/>
      <queryTableField id="15" dataBound="0" tableColumnId="6"/>
      <queryTableField id="16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81F0264-CECE-4A65-9948-7861D81A3DE6}" autoFormatId="16" applyNumberFormats="0" applyBorderFormats="0" applyFontFormats="0" applyPatternFormats="0" applyAlignmentFormats="0" applyWidthHeightFormats="0">
  <queryTableRefresh nextId="8" unboundColumnsRight="1">
    <queryTableFields count="5">
      <queryTableField id="1" name="day" tableColumnId="1"/>
      <queryTableField id="2" name="P_o_rec" tableColumnId="2"/>
      <queryTableField id="3" name="P_o_death" tableColumnId="3"/>
      <queryTableField id="4" name="P_o_cont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0CF4ED-703A-4A9D-98D1-FDE57F382223}" name="P_smrt_vyliecenie_hosp_Y" displayName="P_smrt_vyliecenie_hosp_Y" ref="A1:G42" tableType="queryTable" totalsRowCount="1">
  <autoFilter ref="A1:G41" xr:uid="{1284F2EF-7F58-419E-AFA0-2D5A4BD2C07F}"/>
  <tableColumns count="7">
    <tableColumn id="1" xr3:uid="{2FA6D343-B320-4CA2-9F75-D1E088B8A589}" uniqueName="1" name="day" queryTableFieldId="1"/>
    <tableColumn id="2" xr3:uid="{EF8F45F1-66C8-4E98-80CD-6DE6CBD4745A}" uniqueName="2" name="P_rec" totalsRowFunction="custom" queryTableFieldId="2">
      <totalsRowFormula>SUMPRODUCT(P_smrt_vyliecenie_hosp_Y[P_rec],P_smrt_vyliecenie_hosp_Y[P_cont_cum])</totalsRowFormula>
    </tableColumn>
    <tableColumn id="3" xr3:uid="{62224779-418F-4A94-A271-503C8F9372A7}" uniqueName="3" name="P_death" totalsRowFunction="custom" queryTableFieldId="3">
      <totalsRowFormula>SUMPRODUCT(P_smrt_vyliecenie_hosp_Y[P_death],P_smrt_vyliecenie_hosp_Y[P_cont_cum])</totalsRowFormula>
    </tableColumn>
    <tableColumn id="4" xr3:uid="{D0DFCFF0-BA19-4278-A707-7FA8EFCD806D}" uniqueName="4" name="P_cont" queryTableFieldId="4"/>
    <tableColumn id="5" xr3:uid="{D5937E83-DDB3-493B-8881-804F0E20F7DC}" uniqueName="5" name="P_cont_cum" queryTableFieldId="5" dataDxfId="1">
      <calculatedColumnFormula>P_smrt_vyliecenie_hosp_Y[[#This Row],[P_rec]]-B1</calculatedColumnFormula>
    </tableColumn>
    <tableColumn id="6" xr3:uid="{FD18434D-FD64-4C50-ACC5-59D67D99182F}" uniqueName="6" name="Column1" queryTableFieldId="15"/>
    <tableColumn id="7" xr3:uid="{F93F5DD2-5CB5-4FD5-91F6-9F54B3A483A0}" uniqueName="7" name="Column2" queryTableFieldId="16" dataDxfId="0">
      <calculatedColumnFormula>P_smrt_vyliecenie_hosp_Y[[#This Row],[Column1]]/0.029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E1D527-17A3-499A-84B3-0E047BAC1C9C}" name="P_smrt_vyliecenie_hosp_O" displayName="P_smrt_vyliecenie_hosp_O" ref="A1:E58" tableType="queryTable" totalsRowCount="1">
  <autoFilter ref="A1:E57" xr:uid="{4DF7C20E-8217-4C6B-9B9A-5E6283F7B853}"/>
  <tableColumns count="5">
    <tableColumn id="1" xr3:uid="{FC0EF8F6-D5AD-4718-9521-B2A339360A8B}" uniqueName="1" name="day" queryTableFieldId="1"/>
    <tableColumn id="2" xr3:uid="{90BBF2C5-F62D-4692-8B9C-4699FB0A6076}" uniqueName="2" name="P_rec" totalsRowFunction="custom" queryTableFieldId="2">
      <totalsRowFormula>SUMPRODUCT(P_smrt_vyliecenie_hosp_O[P_rec],P_smrt_vyliecenie_hosp_O[P_cont_cum])</totalsRowFormula>
    </tableColumn>
    <tableColumn id="3" xr3:uid="{EFCEC3E2-B9B2-4D98-B827-FBBCE3349D24}" uniqueName="3" name="P_death" totalsRowFunction="custom" queryTableFieldId="3">
      <totalsRowFormula>SUMPRODUCT(P_smrt_vyliecenie_hosp_O[P_death],P_smrt_vyliecenie_hosp_O[P_cont_cum])</totalsRowFormula>
    </tableColumn>
    <tableColumn id="4" xr3:uid="{2AB68203-140A-47C1-982A-0ED2E45C3675}" uniqueName="4" name="P_cont" queryTableFieldId="4"/>
    <tableColumn id="5" xr3:uid="{F8C17FCF-1F8D-4D36-AF3D-F7D702ED25F3}" uniqueName="5" name="P_cont_cum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85BC-5E8B-4698-A0EE-C4FD2EEB2564}">
  <dimension ref="A1:AB45"/>
  <sheetViews>
    <sheetView topLeftCell="A34" zoomScale="72" workbookViewId="0">
      <selection activeCell="AA44" sqref="AA44"/>
    </sheetView>
  </sheetViews>
  <sheetFormatPr defaultRowHeight="14.5" x14ac:dyDescent="0.35"/>
  <cols>
    <col min="9" max="9" width="22" customWidth="1"/>
    <col min="14" max="15" width="8.90625" style="5"/>
  </cols>
  <sheetData>
    <row r="1" spans="1:28" x14ac:dyDescent="0.35">
      <c r="A1" t="s">
        <v>0</v>
      </c>
      <c r="B1" t="s">
        <v>7</v>
      </c>
      <c r="C1" t="s">
        <v>6</v>
      </c>
      <c r="D1" t="s">
        <v>8</v>
      </c>
      <c r="E1" t="s">
        <v>14</v>
      </c>
      <c r="F1" t="s">
        <v>49</v>
      </c>
      <c r="G1" t="s">
        <v>50</v>
      </c>
      <c r="I1" s="2" t="s">
        <v>15</v>
      </c>
      <c r="O1" s="41" t="s">
        <v>20</v>
      </c>
      <c r="P1" s="41"/>
      <c r="Q1" s="41"/>
      <c r="R1" s="41"/>
      <c r="S1" s="41"/>
      <c r="T1" s="41"/>
      <c r="U1" s="41"/>
      <c r="V1" s="41"/>
      <c r="X1" s="42" t="s">
        <v>21</v>
      </c>
      <c r="Y1" s="42"/>
      <c r="Z1" s="42"/>
      <c r="AA1" s="42"/>
      <c r="AB1" s="42"/>
    </row>
    <row r="2" spans="1:28" x14ac:dyDescent="0.35">
      <c r="B2">
        <v>0</v>
      </c>
      <c r="C2">
        <v>0</v>
      </c>
      <c r="D2">
        <v>0</v>
      </c>
      <c r="E2">
        <v>0</v>
      </c>
      <c r="F2">
        <v>0</v>
      </c>
      <c r="G2">
        <f>P_smrt_vyliecenie_hosp_Y[[#This Row],[Column1]]/0.029</f>
        <v>0</v>
      </c>
      <c r="I2" s="2"/>
      <c r="O2" s="11" t="s">
        <v>18</v>
      </c>
      <c r="P2" s="11"/>
      <c r="Q2" s="11" t="s">
        <v>19</v>
      </c>
      <c r="R2" s="11"/>
      <c r="S2" s="11" t="s">
        <v>51</v>
      </c>
      <c r="T2" s="11" t="s">
        <v>52</v>
      </c>
      <c r="U2" s="11"/>
      <c r="V2" s="40" t="s">
        <v>53</v>
      </c>
      <c r="X2" s="11" t="s">
        <v>18</v>
      </c>
      <c r="Y2" s="11"/>
      <c r="Z2" s="11" t="s">
        <v>19</v>
      </c>
      <c r="AA2" s="11"/>
      <c r="AB2" s="11" t="s">
        <v>59</v>
      </c>
    </row>
    <row r="3" spans="1:28" x14ac:dyDescent="0.35">
      <c r="A3">
        <v>0</v>
      </c>
      <c r="B3">
        <v>0</v>
      </c>
      <c r="C3">
        <v>4.0000000000000001E-3</v>
      </c>
      <c r="D3">
        <v>0.996</v>
      </c>
      <c r="E3">
        <v>1</v>
      </c>
      <c r="F3">
        <v>4.0000000000000001E-3</v>
      </c>
      <c r="G3">
        <f>P_smrt_vyliecenie_hosp_Y[[#This Row],[Column1]]/0.029</f>
        <v>0.13793103448275862</v>
      </c>
      <c r="I3" s="33" t="s">
        <v>22</v>
      </c>
      <c r="J3" s="34">
        <v>0.45</v>
      </c>
      <c r="N3" s="6">
        <v>0</v>
      </c>
      <c r="O3" s="7">
        <f>(P_smrt_vyliecenie_hosp_Y[[#This Row],[P_death]]-C2)/$C$41</f>
        <v>0.13793103448275862</v>
      </c>
      <c r="P3">
        <f>O3</f>
        <v>0.13793103448275862</v>
      </c>
      <c r="Q3">
        <f>P3/$P$42</f>
        <v>0.11808894718190492</v>
      </c>
      <c r="R3">
        <f>-1/LN(1-$J$4)*$J$4^(1+N3)/(1+N3)</f>
        <v>8.6858027791652234E-2</v>
      </c>
      <c r="S3">
        <f>R3/$R$42</f>
        <v>0.23511733110353703</v>
      </c>
      <c r="T3">
        <f>P_smrt_vyliecenie_hosp_Y[[#This Row],[Column2]]</f>
        <v>0.13793103448275862</v>
      </c>
      <c r="U3">
        <f>1/(1+N3)^$J$5</f>
        <v>1</v>
      </c>
      <c r="V3">
        <f>U3/$U$42</f>
        <v>0.16135396197338889</v>
      </c>
      <c r="X3">
        <f>P_smrt_vyliecenie_hosp_Y[[#This Row],[P_rec]]-B2</f>
        <v>0</v>
      </c>
      <c r="Y3">
        <f>X3</f>
        <v>0</v>
      </c>
      <c r="Z3">
        <f>X3/$X$42</f>
        <v>0</v>
      </c>
      <c r="AA3">
        <f t="shared" ref="AA3:AA41" si="0">_xlfn.GAMMA.DIST(N3,$J$7,$J$8,FALSE)</f>
        <v>0</v>
      </c>
      <c r="AB3">
        <f>AA3/$AA$42</f>
        <v>0</v>
      </c>
    </row>
    <row r="4" spans="1:28" x14ac:dyDescent="0.35">
      <c r="A4">
        <v>1</v>
      </c>
      <c r="B4">
        <v>2.9000000000000001E-2</v>
      </c>
      <c r="C4">
        <v>7.0000000000000001E-3</v>
      </c>
      <c r="D4">
        <v>0.96399999999999997</v>
      </c>
      <c r="E4">
        <f>D3</f>
        <v>0.996</v>
      </c>
      <c r="F4">
        <v>7.0000000000000001E-3</v>
      </c>
      <c r="G4">
        <f>P_smrt_vyliecenie_hosp_Y[[#This Row],[Column1]]/0.029</f>
        <v>0.24137931034482757</v>
      </c>
      <c r="I4" s="33" t="s">
        <v>55</v>
      </c>
      <c r="J4" s="34">
        <f>1-0.00001</f>
        <v>0.99999000000000005</v>
      </c>
      <c r="N4" s="6">
        <v>1</v>
      </c>
      <c r="O4" s="7">
        <f>(P_smrt_vyliecenie_hosp_Y[[#This Row],[P_death]]-C3)/$C$41</f>
        <v>0.10344827586206896</v>
      </c>
      <c r="P4">
        <f>$J$3*O4+(1-$J$3)*P3</f>
        <v>0.12241379310344827</v>
      </c>
      <c r="Q4">
        <f t="shared" ref="Q4:Q41" si="1">P4/$P$42</f>
        <v>0.10480394062394062</v>
      </c>
      <c r="R4">
        <f t="shared" ref="R4:R41" si="2">-1/LN(1-$J$4)*$J$4^(1+N4)/(1+N4)</f>
        <v>4.3428579605687155E-2</v>
      </c>
      <c r="S4">
        <f t="shared" ref="S4:S41" si="3">R4/$R$42</f>
        <v>0.11755748996511298</v>
      </c>
      <c r="T4">
        <f>P_smrt_vyliecenie_hosp_Y[[#This Row],[Column2]]-G3</f>
        <v>0.10344827586206895</v>
      </c>
      <c r="U4">
        <f t="shared" ref="U4:U41" si="4">1/(1+N4)^$J$5</f>
        <v>0.58156002077392543</v>
      </c>
      <c r="V4">
        <f t="shared" ref="V4:V41" si="5">U4/$U$42</f>
        <v>9.3837013477199221E-2</v>
      </c>
      <c r="X4">
        <f>(P_smrt_vyliecenie_hosp_Y[[#This Row],[P_rec]]-B3)/$B$41</f>
        <v>2.9866117404737387E-2</v>
      </c>
      <c r="Y4">
        <f>$J$6*X4*$B$41+(1-$J$6)*Y3</f>
        <v>1.8849999999999999E-2</v>
      </c>
      <c r="Z4">
        <f>Y4/$Y$42</f>
        <v>1.9449301294080876E-2</v>
      </c>
      <c r="AA4">
        <f t="shared" si="0"/>
        <v>3.1887537662115398E-2</v>
      </c>
      <c r="AB4">
        <f t="shared" ref="AB4:AB41" si="6">AA4/$AA$42</f>
        <v>3.1938703654614542E-2</v>
      </c>
    </row>
    <row r="5" spans="1:28" x14ac:dyDescent="0.35">
      <c r="A5">
        <v>2</v>
      </c>
      <c r="B5">
        <v>0.108</v>
      </c>
      <c r="C5">
        <v>8.9999999999999993E-3</v>
      </c>
      <c r="D5">
        <v>0.88300000000000001</v>
      </c>
      <c r="E5">
        <f>D4*E4</f>
        <v>0.960144</v>
      </c>
      <c r="F5">
        <v>8.9999999999999993E-3</v>
      </c>
      <c r="G5">
        <f>P_smrt_vyliecenie_hosp_Y[[#This Row],[Column1]]/0.029</f>
        <v>0.31034482758620685</v>
      </c>
      <c r="I5" s="35" t="s">
        <v>56</v>
      </c>
      <c r="J5" s="36">
        <v>0.78200000000000003</v>
      </c>
      <c r="N5" s="6">
        <v>2</v>
      </c>
      <c r="O5" s="7">
        <f>(P_smrt_vyliecenie_hosp_Y[[#This Row],[P_death]]-C4)/$C$41</f>
        <v>6.8965517241379282E-2</v>
      </c>
      <c r="P5">
        <f t="shared" ref="P5:P41" si="7">$J$3*O5+(1-$J$3)*P4</f>
        <v>9.8362068965517233E-2</v>
      </c>
      <c r="Q5">
        <f t="shared" si="1"/>
        <v>8.4212180459095939E-2</v>
      </c>
      <c r="R5">
        <f t="shared" si="2"/>
        <v>2.8952096879927402E-2</v>
      </c>
      <c r="S5">
        <f t="shared" si="3"/>
        <v>7.8370876260142233E-2</v>
      </c>
      <c r="T5">
        <f>P_smrt_vyliecenie_hosp_Y[[#This Row],[Column2]]-G4</f>
        <v>6.8965517241379282E-2</v>
      </c>
      <c r="U5">
        <f t="shared" si="4"/>
        <v>0.42353682710781837</v>
      </c>
      <c r="V5">
        <f t="shared" si="5"/>
        <v>6.8339345095484713E-2</v>
      </c>
      <c r="X5">
        <f>(P_smrt_vyliecenie_hosp_Y[[#This Row],[P_rec]]-B4)/$B$41</f>
        <v>8.1359423274974252E-2</v>
      </c>
      <c r="Y5">
        <f t="shared" ref="Y5:Y41" si="8">$J$6*X5*$B$41+(1-$J$6)*Y4</f>
        <v>5.7947499999999999E-2</v>
      </c>
      <c r="Z5">
        <f t="shared" ref="Z5:Z41" si="9">Y5/$Y$42</f>
        <v>5.9789834840252076E-2</v>
      </c>
      <c r="AA5">
        <f t="shared" si="0"/>
        <v>6.4045026091754748E-2</v>
      </c>
      <c r="AB5">
        <f t="shared" si="6"/>
        <v>6.4147791233401655E-2</v>
      </c>
    </row>
    <row r="6" spans="1:28" x14ac:dyDescent="0.35">
      <c r="A6">
        <v>3</v>
      </c>
      <c r="B6">
        <v>0.19500000000000001</v>
      </c>
      <c r="C6">
        <v>0.01</v>
      </c>
      <c r="D6">
        <v>0.79500000000000004</v>
      </c>
      <c r="E6">
        <f t="shared" ref="E6:E40" si="10">D5*E5</f>
        <v>0.84780715200000001</v>
      </c>
      <c r="F6">
        <v>0.01</v>
      </c>
      <c r="G6">
        <f>P_smrt_vyliecenie_hosp_Y[[#This Row],[Column1]]/0.029</f>
        <v>0.34482758620689652</v>
      </c>
      <c r="I6" s="33" t="s">
        <v>23</v>
      </c>
      <c r="J6" s="34">
        <v>0.65</v>
      </c>
      <c r="N6" s="6">
        <v>3</v>
      </c>
      <c r="O6" s="7">
        <f>(P_smrt_vyliecenie_hosp_Y[[#This Row],[P_death]]-C5)/$C$41</f>
        <v>3.4482758620689682E-2</v>
      </c>
      <c r="P6">
        <f t="shared" si="7"/>
        <v>6.9616379310344839E-2</v>
      </c>
      <c r="Q6">
        <f t="shared" si="1"/>
        <v>5.9601705810467087E-2</v>
      </c>
      <c r="R6">
        <f t="shared" si="2"/>
        <v>2.1713855519218953E-2</v>
      </c>
      <c r="S6">
        <f t="shared" si="3"/>
        <v>5.8777569413534722E-2</v>
      </c>
      <c r="T6">
        <f>P_smrt_vyliecenie_hosp_Y[[#This Row],[Column2]]-G5</f>
        <v>3.4482758620689669E-2</v>
      </c>
      <c r="U6">
        <f t="shared" si="4"/>
        <v>0.33821205776256863</v>
      </c>
      <c r="V6">
        <f t="shared" si="5"/>
        <v>5.4571855507163106E-2</v>
      </c>
      <c r="X6">
        <f>(P_smrt_vyliecenie_hosp_Y[[#This Row],[P_rec]]-B5)/$B$41</f>
        <v>8.9598352214212168E-2</v>
      </c>
      <c r="Y6">
        <f t="shared" si="8"/>
        <v>7.6831625000000014E-2</v>
      </c>
      <c r="Z6">
        <f t="shared" si="9"/>
        <v>7.9274346076330882E-2</v>
      </c>
      <c r="AA6">
        <f t="shared" si="0"/>
        <v>8.4759553684228925E-2</v>
      </c>
      <c r="AB6">
        <f t="shared" si="6"/>
        <v>8.4895556869360109E-2</v>
      </c>
    </row>
    <row r="7" spans="1:28" x14ac:dyDescent="0.35">
      <c r="A7">
        <v>4</v>
      </c>
      <c r="B7">
        <v>0.27700000000000002</v>
      </c>
      <c r="C7">
        <v>1.0999999999999999E-2</v>
      </c>
      <c r="D7">
        <v>0.71199999999999997</v>
      </c>
      <c r="E7">
        <f t="shared" si="10"/>
        <v>0.67400668584000001</v>
      </c>
      <c r="F7">
        <v>1.0999999999999999E-2</v>
      </c>
      <c r="G7">
        <f>P_smrt_vyliecenie_hosp_Y[[#This Row],[Column1]]/0.029</f>
        <v>0.37931034482758619</v>
      </c>
      <c r="I7" s="35" t="s">
        <v>57</v>
      </c>
      <c r="J7" s="36">
        <v>2.4500000000000002</v>
      </c>
      <c r="K7">
        <f>J7*J8</f>
        <v>7.9625000000000004</v>
      </c>
      <c r="N7" s="6">
        <v>4</v>
      </c>
      <c r="O7" s="7">
        <f>(P_smrt_vyliecenie_hosp_Y[[#This Row],[P_death]]-C6)/$C$41</f>
        <v>3.4482758620689627E-2</v>
      </c>
      <c r="P7">
        <f t="shared" si="7"/>
        <v>5.380625E-2</v>
      </c>
      <c r="Q7">
        <f t="shared" si="1"/>
        <v>4.6065944753721194E-2</v>
      </c>
      <c r="R7">
        <f t="shared" si="2"/>
        <v>1.7370910704531013E-2</v>
      </c>
      <c r="S7">
        <f t="shared" si="3"/>
        <v>4.7021585310272486E-2</v>
      </c>
      <c r="T7">
        <f>P_smrt_vyliecenie_hosp_Y[[#This Row],[Column2]]-G6</f>
        <v>3.4482758620689669E-2</v>
      </c>
      <c r="U7">
        <f t="shared" si="4"/>
        <v>0.28405697421061127</v>
      </c>
      <c r="V7">
        <f t="shared" si="5"/>
        <v>4.5833718215054879E-2</v>
      </c>
      <c r="X7">
        <f>(P_smrt_vyliecenie_hosp_Y[[#This Row],[P_rec]]-B6)/$B$41</f>
        <v>8.4449021627188481E-2</v>
      </c>
      <c r="Y7">
        <f t="shared" si="8"/>
        <v>8.0191068750000011E-2</v>
      </c>
      <c r="Z7">
        <f t="shared" si="9"/>
        <v>8.2740597199634155E-2</v>
      </c>
      <c r="AA7">
        <f t="shared" si="0"/>
        <v>9.456289466299303E-2</v>
      </c>
      <c r="AB7">
        <f t="shared" si="6"/>
        <v>9.4714628058349321E-2</v>
      </c>
    </row>
    <row r="8" spans="1:28" x14ac:dyDescent="0.35">
      <c r="A8">
        <v>5</v>
      </c>
      <c r="B8">
        <v>0.375</v>
      </c>
      <c r="C8">
        <v>1.4E-2</v>
      </c>
      <c r="D8">
        <v>0.61099999999999999</v>
      </c>
      <c r="E8">
        <f t="shared" si="10"/>
        <v>0.47989276031807998</v>
      </c>
      <c r="F8">
        <v>1.4E-2</v>
      </c>
      <c r="G8">
        <f>P_smrt_vyliecenie_hosp_Y[[#This Row],[Column1]]/0.029</f>
        <v>0.48275862068965514</v>
      </c>
      <c r="I8" s="35" t="s">
        <v>58</v>
      </c>
      <c r="J8" s="36">
        <v>3.25</v>
      </c>
      <c r="N8" s="6">
        <v>5</v>
      </c>
      <c r="O8" s="7">
        <f>(P_smrt_vyliecenie_hosp_Y[[#This Row],[P_death]]-C7)/$C$41</f>
        <v>0.10344827586206899</v>
      </c>
      <c r="P8">
        <f t="shared" si="7"/>
        <v>7.6145161637931044E-2</v>
      </c>
      <c r="Q8">
        <f t="shared" si="1"/>
        <v>6.5191289288439577E-2</v>
      </c>
      <c r="R8">
        <f t="shared" si="2"/>
        <v>1.4475614162853305E-2</v>
      </c>
      <c r="S8">
        <f t="shared" si="3"/>
        <v>3.9184262578682814E-2</v>
      </c>
      <c r="T8">
        <f>P_smrt_vyliecenie_hosp_Y[[#This Row],[Column2]]-G7</f>
        <v>0.10344827586206895</v>
      </c>
      <c r="U8">
        <f t="shared" si="4"/>
        <v>0.24631208597134535</v>
      </c>
      <c r="V8">
        <f t="shared" si="5"/>
        <v>3.9743430953406551E-2</v>
      </c>
      <c r="X8">
        <f>(P_smrt_vyliecenie_hosp_Y[[#This Row],[P_rec]]-B7)/$B$41</f>
        <v>0.10092687950566424</v>
      </c>
      <c r="Y8">
        <f t="shared" si="8"/>
        <v>9.176687406249999E-2</v>
      </c>
      <c r="Z8">
        <f t="shared" si="9"/>
        <v>9.4684434082628013E-2</v>
      </c>
      <c r="AA8">
        <f t="shared" si="0"/>
        <v>9.6075179695958801E-2</v>
      </c>
      <c r="AB8">
        <f t="shared" si="6"/>
        <v>9.622933966828924E-2</v>
      </c>
    </row>
    <row r="9" spans="1:28" x14ac:dyDescent="0.35">
      <c r="A9">
        <v>6</v>
      </c>
      <c r="B9">
        <v>0.46500000000000002</v>
      </c>
      <c r="C9">
        <v>1.7000000000000001E-2</v>
      </c>
      <c r="D9">
        <v>0.51800000000000002</v>
      </c>
      <c r="E9">
        <f t="shared" si="10"/>
        <v>0.29321447655434685</v>
      </c>
      <c r="F9">
        <v>1.6E-2</v>
      </c>
      <c r="G9">
        <f>P_smrt_vyliecenie_hosp_Y[[#This Row],[Column1]]/0.029</f>
        <v>0.55172413793103448</v>
      </c>
      <c r="N9" s="6">
        <v>6</v>
      </c>
      <c r="O9" s="7">
        <f>(P_smrt_vyliecenie_hosp_Y[[#This Row],[P_death]]-C8)/$C$41</f>
        <v>0.10344827586206899</v>
      </c>
      <c r="P9">
        <f t="shared" si="7"/>
        <v>8.8431563038793126E-2</v>
      </c>
      <c r="Q9">
        <f t="shared" si="1"/>
        <v>7.5710228782534694E-2</v>
      </c>
      <c r="R9">
        <f t="shared" si="2"/>
        <v>1.2407545205752867E-2</v>
      </c>
      <c r="S9">
        <f t="shared" si="3"/>
        <v>3.3586174916620311E-2</v>
      </c>
      <c r="T9">
        <f>P_smrt_vyliecenie_hosp_Y[[#This Row],[Column2]]-G8</f>
        <v>6.8965517241379337E-2</v>
      </c>
      <c r="U9">
        <f t="shared" si="4"/>
        <v>0.21834001344292314</v>
      </c>
      <c r="V9">
        <f t="shared" si="5"/>
        <v>3.523002622633864E-2</v>
      </c>
      <c r="X9">
        <f>(P_smrt_vyliecenie_hosp_Y[[#This Row],[P_rec]]-B8)/$B$41</f>
        <v>9.2687950566426397E-2</v>
      </c>
      <c r="Y9">
        <f t="shared" si="8"/>
        <v>9.0618405921875006E-2</v>
      </c>
      <c r="Z9">
        <f t="shared" si="9"/>
        <v>9.3499452496757021E-2</v>
      </c>
      <c r="AA9">
        <f t="shared" si="0"/>
        <v>9.2001506919967543E-2</v>
      </c>
      <c r="AB9">
        <f t="shared" si="6"/>
        <v>9.2149130372830443E-2</v>
      </c>
    </row>
    <row r="10" spans="1:28" x14ac:dyDescent="0.35">
      <c r="A10">
        <v>7</v>
      </c>
      <c r="B10">
        <v>0.54200000000000004</v>
      </c>
      <c r="C10">
        <v>1.7000000000000001E-2</v>
      </c>
      <c r="D10">
        <v>0.441</v>
      </c>
      <c r="E10">
        <f t="shared" si="10"/>
        <v>0.15188509885515167</v>
      </c>
      <c r="F10">
        <v>1.7999999999999999E-2</v>
      </c>
      <c r="G10">
        <f>P_smrt_vyliecenie_hosp_Y[[#This Row],[Column1]]/0.029</f>
        <v>0.6206896551724137</v>
      </c>
      <c r="N10" s="6">
        <v>7</v>
      </c>
      <c r="O10" s="7">
        <f>(P_smrt_vyliecenie_hosp_Y[[#This Row],[P_death]]-C9)/$C$41</f>
        <v>0</v>
      </c>
      <c r="P10">
        <f t="shared" si="7"/>
        <v>4.8637359671336221E-2</v>
      </c>
      <c r="Q10">
        <f t="shared" si="1"/>
        <v>4.1640625830394087E-2</v>
      </c>
      <c r="R10">
        <f t="shared" si="2"/>
        <v>1.0856493489013208E-2</v>
      </c>
      <c r="S10">
        <f t="shared" si="3"/>
        <v>2.9387609173012252E-2</v>
      </c>
      <c r="T10">
        <f>P_smrt_vyliecenie_hosp_Y[[#This Row],[Column2]]-G9</f>
        <v>6.8965517241379226E-2</v>
      </c>
      <c r="U10">
        <f t="shared" si="4"/>
        <v>0.1966906113383915</v>
      </c>
      <c r="V10">
        <f t="shared" si="5"/>
        <v>3.1736809422417432E-2</v>
      </c>
      <c r="X10">
        <f>(P_smrt_vyliecenie_hosp_Y[[#This Row],[P_rec]]-B9)/$B$41</f>
        <v>7.9299691040164794E-2</v>
      </c>
      <c r="Y10">
        <f t="shared" si="8"/>
        <v>8.1766442072656265E-2</v>
      </c>
      <c r="Z10">
        <f t="shared" si="9"/>
        <v>8.4366056637459025E-2</v>
      </c>
      <c r="AA10">
        <f t="shared" si="0"/>
        <v>8.4574358912952438E-2</v>
      </c>
      <c r="AB10">
        <f t="shared" si="6"/>
        <v>8.4710064938911964E-2</v>
      </c>
    </row>
    <row r="11" spans="1:28" x14ac:dyDescent="0.35">
      <c r="A11">
        <v>8</v>
      </c>
      <c r="B11">
        <v>0.61499999999999999</v>
      </c>
      <c r="C11">
        <v>1.7000000000000001E-2</v>
      </c>
      <c r="D11">
        <v>0.36799999999999999</v>
      </c>
      <c r="E11">
        <f t="shared" si="10"/>
        <v>6.6981328595121889E-2</v>
      </c>
      <c r="F11">
        <v>1.7999999999999999E-2</v>
      </c>
      <c r="G11">
        <f>P_smrt_vyliecenie_hosp_Y[[#This Row],[Column1]]/0.029</f>
        <v>0.6206896551724137</v>
      </c>
      <c r="N11" s="6">
        <v>8</v>
      </c>
      <c r="O11" s="7">
        <f>(P_smrt_vyliecenie_hosp_Y[[#This Row],[P_death]]-C10)/$C$41</f>
        <v>0</v>
      </c>
      <c r="P11">
        <f t="shared" si="7"/>
        <v>2.6750547819234922E-2</v>
      </c>
      <c r="Q11">
        <f t="shared" si="1"/>
        <v>2.2902344206716746E-2</v>
      </c>
      <c r="R11">
        <f t="shared" si="2"/>
        <v>9.6501199325140594E-3</v>
      </c>
      <c r="S11">
        <f t="shared" si="3"/>
        <v>2.6122058041707127E-2</v>
      </c>
      <c r="T11">
        <f>P_smrt_vyliecenie_hosp_Y[[#This Row],[Column2]]-G10</f>
        <v>0</v>
      </c>
      <c r="U11">
        <f t="shared" si="4"/>
        <v>0.17938344391655806</v>
      </c>
      <c r="V11">
        <f t="shared" si="5"/>
        <v>2.8944229388367847E-2</v>
      </c>
      <c r="X11">
        <f>(P_smrt_vyliecenie_hosp_Y[[#This Row],[P_rec]]-B10)/$B$41</f>
        <v>7.518022657054578E-2</v>
      </c>
      <c r="Y11">
        <f t="shared" si="8"/>
        <v>7.6068254725429663E-2</v>
      </c>
      <c r="Z11">
        <f t="shared" si="9"/>
        <v>7.848670583924526E-2</v>
      </c>
      <c r="AA11">
        <f t="shared" si="0"/>
        <v>7.5456727492559453E-2</v>
      </c>
      <c r="AB11">
        <f t="shared" si="6"/>
        <v>7.5577803581713912E-2</v>
      </c>
    </row>
    <row r="12" spans="1:28" x14ac:dyDescent="0.35">
      <c r="A12">
        <v>9</v>
      </c>
      <c r="B12">
        <v>0.67800000000000005</v>
      </c>
      <c r="C12">
        <v>1.7000000000000001E-2</v>
      </c>
      <c r="D12">
        <v>0.30499999999999999</v>
      </c>
      <c r="E12">
        <f t="shared" si="10"/>
        <v>2.4649128923004856E-2</v>
      </c>
      <c r="F12">
        <v>1.9E-2</v>
      </c>
      <c r="G12">
        <f>P_smrt_vyliecenie_hosp_Y[[#This Row],[Column1]]/0.029</f>
        <v>0.65517241379310343</v>
      </c>
      <c r="I12" s="1"/>
      <c r="N12" s="6">
        <v>9</v>
      </c>
      <c r="O12" s="7">
        <f>(P_smrt_vyliecenie_hosp_Y[[#This Row],[P_death]]-C11)/$C$41</f>
        <v>0</v>
      </c>
      <c r="P12">
        <f t="shared" si="7"/>
        <v>1.4712801300579208E-2</v>
      </c>
      <c r="Q12">
        <f t="shared" si="1"/>
        <v>1.2596289313694211E-2</v>
      </c>
      <c r="R12">
        <f t="shared" si="2"/>
        <v>8.6850210881832621E-3</v>
      </c>
      <c r="S12">
        <f t="shared" si="3"/>
        <v>2.3509617139014043E-2</v>
      </c>
      <c r="T12">
        <f>P_smrt_vyliecenie_hosp_Y[[#This Row],[Column2]]-G11</f>
        <v>3.4482758620689724E-2</v>
      </c>
      <c r="U12">
        <f t="shared" si="4"/>
        <v>0.16519617982290147</v>
      </c>
      <c r="V12">
        <f t="shared" si="5"/>
        <v>2.6655058117293556E-2</v>
      </c>
      <c r="X12">
        <f>(P_smrt_vyliecenie_hosp_Y[[#This Row],[P_rec]]-B11)/$B$41</f>
        <v>6.4881565396498517E-2</v>
      </c>
      <c r="Y12">
        <f t="shared" si="8"/>
        <v>6.7573889153900418E-2</v>
      </c>
      <c r="Z12">
        <f t="shared" si="9"/>
        <v>6.9722277441221919E-2</v>
      </c>
      <c r="AA12">
        <f t="shared" si="0"/>
        <v>6.5802145235278164E-2</v>
      </c>
      <c r="AB12">
        <f t="shared" si="6"/>
        <v>6.5907729808951154E-2</v>
      </c>
    </row>
    <row r="13" spans="1:28" x14ac:dyDescent="0.35">
      <c r="A13">
        <v>10</v>
      </c>
      <c r="B13">
        <v>0.73299999999999998</v>
      </c>
      <c r="C13">
        <v>1.7000000000000001E-2</v>
      </c>
      <c r="D13">
        <v>0.25</v>
      </c>
      <c r="E13">
        <f t="shared" si="10"/>
        <v>7.5179843215164811E-3</v>
      </c>
      <c r="F13">
        <v>1.9E-2</v>
      </c>
      <c r="G13">
        <f>P_smrt_vyliecenie_hosp_Y[[#This Row],[Column1]]/0.029</f>
        <v>0.65517241379310343</v>
      </c>
      <c r="I13" s="1"/>
      <c r="N13" s="6">
        <v>10</v>
      </c>
      <c r="O13" s="7">
        <f>(P_smrt_vyliecenie_hosp_Y[[#This Row],[P_death]]-C12)/$C$41</f>
        <v>0</v>
      </c>
      <c r="P13">
        <f t="shared" si="7"/>
        <v>8.0920407153185648E-3</v>
      </c>
      <c r="Q13">
        <f t="shared" si="1"/>
        <v>6.9279591225318163E-3</v>
      </c>
      <c r="R13">
        <f t="shared" si="2"/>
        <v>7.8953947617930731E-3</v>
      </c>
      <c r="S13">
        <f t="shared" si="3"/>
        <v>2.1372165493493321E-2</v>
      </c>
      <c r="T13">
        <f>P_smrt_vyliecenie_hosp_Y[[#This Row],[Column2]]-G12</f>
        <v>0</v>
      </c>
      <c r="U13">
        <f t="shared" si="4"/>
        <v>0.15333133615495312</v>
      </c>
      <c r="V13">
        <f t="shared" si="5"/>
        <v>2.4740618583275215E-2</v>
      </c>
      <c r="X13">
        <f>(P_smrt_vyliecenie_hosp_Y[[#This Row],[P_rec]]-B12)/$B$41</f>
        <v>5.6642636457260497E-2</v>
      </c>
      <c r="Y13">
        <f t="shared" si="8"/>
        <v>5.9400861203865105E-2</v>
      </c>
      <c r="Z13">
        <f t="shared" si="9"/>
        <v>6.1289403006994814E-2</v>
      </c>
      <c r="AA13">
        <f t="shared" si="0"/>
        <v>5.6358489185662157E-2</v>
      </c>
      <c r="AB13">
        <f t="shared" si="6"/>
        <v>5.6448920691082621E-2</v>
      </c>
    </row>
    <row r="14" spans="1:28" x14ac:dyDescent="0.35">
      <c r="A14">
        <v>11</v>
      </c>
      <c r="B14">
        <v>0.77800000000000002</v>
      </c>
      <c r="C14">
        <v>1.7999999999999999E-2</v>
      </c>
      <c r="D14">
        <v>0.20399999999999999</v>
      </c>
      <c r="E14">
        <f t="shared" si="10"/>
        <v>1.8794960803791203E-3</v>
      </c>
      <c r="F14">
        <v>2.1000000000000001E-2</v>
      </c>
      <c r="G14">
        <f>P_smrt_vyliecenie_hosp_Y[[#This Row],[Column1]]/0.029</f>
        <v>0.72413793103448276</v>
      </c>
      <c r="I14" s="1"/>
      <c r="N14" s="6">
        <v>11</v>
      </c>
      <c r="O14" s="7">
        <f>(P_smrt_vyliecenie_hosp_Y[[#This Row],[P_death]]-C13)/$C$41</f>
        <v>3.4482758620689564E-2</v>
      </c>
      <c r="P14">
        <f t="shared" si="7"/>
        <v>1.9967863772735517E-2</v>
      </c>
      <c r="Q14">
        <f t="shared" si="1"/>
        <v>1.7095384075356771E-2</v>
      </c>
      <c r="R14">
        <f t="shared" si="2"/>
        <v>7.2373728238583354E-3</v>
      </c>
      <c r="S14">
        <f t="shared" si="3"/>
        <v>1.959095579085186E-2</v>
      </c>
      <c r="T14">
        <f>P_smrt_vyliecenie_hosp_Y[[#This Row],[Column2]]-G13</f>
        <v>6.8965517241379337E-2</v>
      </c>
      <c r="U14">
        <f t="shared" si="4"/>
        <v>0.14324526183436453</v>
      </c>
      <c r="V14">
        <f t="shared" si="5"/>
        <v>2.3113190530890188E-2</v>
      </c>
      <c r="X14">
        <f>(P_smrt_vyliecenie_hosp_Y[[#This Row],[P_rec]]-B13)/$B$41</f>
        <v>4.6343975283213226E-2</v>
      </c>
      <c r="Y14">
        <f t="shared" si="8"/>
        <v>5.0040301421352809E-2</v>
      </c>
      <c r="Z14">
        <f t="shared" si="9"/>
        <v>5.1631241336366811E-2</v>
      </c>
      <c r="AA14">
        <f t="shared" si="0"/>
        <v>4.7571808776651722E-2</v>
      </c>
      <c r="AB14">
        <f t="shared" si="6"/>
        <v>4.764814138147147E-2</v>
      </c>
    </row>
    <row r="15" spans="1:28" x14ac:dyDescent="0.35">
      <c r="A15">
        <v>12</v>
      </c>
      <c r="B15">
        <v>0.81399999999999995</v>
      </c>
      <c r="C15">
        <v>1.7999999999999999E-2</v>
      </c>
      <c r="D15">
        <v>0.16800000000000001</v>
      </c>
      <c r="E15">
        <f t="shared" si="10"/>
        <v>3.8341720039734053E-4</v>
      </c>
      <c r="F15">
        <v>2.1999999999999999E-2</v>
      </c>
      <c r="G15">
        <f>P_smrt_vyliecenie_hosp_Y[[#This Row],[Column1]]/0.029</f>
        <v>0.75862068965517238</v>
      </c>
      <c r="I15" s="1"/>
      <c r="N15" s="6">
        <v>12</v>
      </c>
      <c r="O15" s="7">
        <f>(P_smrt_vyliecenie_hosp_Y[[#This Row],[P_death]]-C14)/$C$41</f>
        <v>0</v>
      </c>
      <c r="P15">
        <f t="shared" si="7"/>
        <v>1.0982325075004535E-2</v>
      </c>
      <c r="Q15">
        <f t="shared" si="1"/>
        <v>9.402461241446225E-3</v>
      </c>
      <c r="R15">
        <f t="shared" si="2"/>
        <v>6.6805850308893199E-3</v>
      </c>
      <c r="S15">
        <f t="shared" si="3"/>
        <v>1.8083778351963644E-2</v>
      </c>
      <c r="T15">
        <f>P_smrt_vyliecenie_hosp_Y[[#This Row],[Column2]]-G14</f>
        <v>3.4482758620689613E-2</v>
      </c>
      <c r="U15">
        <f t="shared" si="4"/>
        <v>0.13455390258170266</v>
      </c>
      <c r="V15">
        <f t="shared" si="5"/>
        <v>2.1710805280539123E-2</v>
      </c>
      <c r="X15">
        <f>(P_smrt_vyliecenie_hosp_Y[[#This Row],[P_rec]]-B14)/$B$41</f>
        <v>3.7075180226570463E-2</v>
      </c>
      <c r="Y15">
        <f t="shared" si="8"/>
        <v>4.091410549747343E-2</v>
      </c>
      <c r="Z15">
        <f t="shared" si="9"/>
        <v>4.2214894694863211E-2</v>
      </c>
      <c r="AA15">
        <f t="shared" si="0"/>
        <v>3.9674732421806087E-2</v>
      </c>
      <c r="AB15">
        <f t="shared" si="6"/>
        <v>3.9738393563754706E-2</v>
      </c>
    </row>
    <row r="16" spans="1:28" x14ac:dyDescent="0.35">
      <c r="A16">
        <v>13</v>
      </c>
      <c r="B16">
        <v>0.84099999999999997</v>
      </c>
      <c r="C16">
        <v>1.9E-2</v>
      </c>
      <c r="D16">
        <v>0.14000000000000001</v>
      </c>
      <c r="E16">
        <f t="shared" si="10"/>
        <v>6.4414089666753213E-5</v>
      </c>
      <c r="F16">
        <v>2.4E-2</v>
      </c>
      <c r="G16">
        <f>P_smrt_vyliecenie_hosp_Y[[#This Row],[Column1]]/0.029</f>
        <v>0.82758620689655171</v>
      </c>
      <c r="N16" s="6">
        <v>13</v>
      </c>
      <c r="O16" s="7">
        <f>(P_smrt_vyliecenie_hosp_Y[[#This Row],[P_death]]-C15)/$C$41</f>
        <v>3.4482758620689682E-2</v>
      </c>
      <c r="P16">
        <f t="shared" si="7"/>
        <v>2.1557520170562852E-2</v>
      </c>
      <c r="Q16">
        <f t="shared" si="1"/>
        <v>1.845636024075974E-2</v>
      </c>
      <c r="R16">
        <f t="shared" si="2"/>
        <v>6.203338351821938E-3</v>
      </c>
      <c r="S16">
        <f t="shared" si="3"/>
        <v>1.6791911977452972E-2</v>
      </c>
      <c r="T16">
        <f>P_smrt_vyliecenie_hosp_Y[[#This Row],[Column2]]-G15</f>
        <v>6.8965517241379337E-2</v>
      </c>
      <c r="U16">
        <f t="shared" si="4"/>
        <v>0.12697782275364555</v>
      </c>
      <c r="V16">
        <f t="shared" si="5"/>
        <v>2.0488374784055439E-2</v>
      </c>
      <c r="X16">
        <f>(P_smrt_vyliecenie_hosp_Y[[#This Row],[P_rec]]-B15)/$B$41</f>
        <v>2.7806385169927936E-2</v>
      </c>
      <c r="Y16">
        <f t="shared" si="8"/>
        <v>3.1869936924115716E-2</v>
      </c>
      <c r="Z16">
        <f t="shared" si="9"/>
        <v>3.2883183313553305E-2</v>
      </c>
      <c r="AA16">
        <f t="shared" si="0"/>
        <v>3.2755934133129223E-2</v>
      </c>
      <c r="AB16">
        <f t="shared" si="6"/>
        <v>3.2808493534169127E-2</v>
      </c>
    </row>
    <row r="17" spans="1:28" x14ac:dyDescent="0.35">
      <c r="A17">
        <v>14</v>
      </c>
      <c r="B17">
        <v>0.85799999999999998</v>
      </c>
      <c r="C17">
        <v>1.9E-2</v>
      </c>
      <c r="D17">
        <v>0.123</v>
      </c>
      <c r="E17">
        <f t="shared" si="10"/>
        <v>9.0179725533454511E-6</v>
      </c>
      <c r="F17">
        <v>2.5000000000000001E-2</v>
      </c>
      <c r="G17">
        <f>P_smrt_vyliecenie_hosp_Y[[#This Row],[Column1]]/0.029</f>
        <v>0.86206896551724144</v>
      </c>
      <c r="N17" s="6">
        <v>14</v>
      </c>
      <c r="O17" s="7">
        <f>(P_smrt_vyliecenie_hosp_Y[[#This Row],[P_death]]-C16)/$C$41</f>
        <v>0</v>
      </c>
      <c r="P17">
        <f t="shared" si="7"/>
        <v>1.185663609380957E-2</v>
      </c>
      <c r="Q17">
        <f t="shared" si="1"/>
        <v>1.0150998132417858E-2</v>
      </c>
      <c r="R17">
        <f t="shared" si="2"/>
        <v>5.7897245638758596E-3</v>
      </c>
      <c r="S17">
        <f t="shared" si="3"/>
        <v>1.5672294454444319E-2</v>
      </c>
      <c r="T17">
        <f>P_smrt_vyliecenie_hosp_Y[[#This Row],[Column2]]-G16</f>
        <v>3.4482758620689724E-2</v>
      </c>
      <c r="U17">
        <f t="shared" si="4"/>
        <v>0.12030858957500967</v>
      </c>
      <c r="V17">
        <f t="shared" si="5"/>
        <v>1.9412267587358163E-2</v>
      </c>
      <c r="X17">
        <f>(P_smrt_vyliecenie_hosp_Y[[#This Row],[P_rec]]-B16)/$B$41</f>
        <v>1.7507723995880551E-2</v>
      </c>
      <c r="Y17">
        <f t="shared" si="8"/>
        <v>2.2204477923440512E-2</v>
      </c>
      <c r="Z17">
        <f t="shared" si="9"/>
        <v>2.2910428711446253E-2</v>
      </c>
      <c r="AA17">
        <f t="shared" si="0"/>
        <v>2.6811969005534505E-2</v>
      </c>
      <c r="AB17">
        <f t="shared" si="6"/>
        <v>2.6854990860014489E-2</v>
      </c>
    </row>
    <row r="18" spans="1:28" x14ac:dyDescent="0.35">
      <c r="A18">
        <v>15</v>
      </c>
      <c r="B18">
        <v>0.875</v>
      </c>
      <c r="C18">
        <v>1.9E-2</v>
      </c>
      <c r="D18">
        <v>0.106</v>
      </c>
      <c r="E18">
        <f>D17*E17</f>
        <v>1.1092106240614905E-6</v>
      </c>
      <c r="F18">
        <v>2.5999999999999999E-2</v>
      </c>
      <c r="G18">
        <f>P_smrt_vyliecenie_hosp_Y[[#This Row],[Column1]]/0.029</f>
        <v>0.89655172413793094</v>
      </c>
      <c r="N18" s="6">
        <v>15</v>
      </c>
      <c r="O18" s="7">
        <f>(P_smrt_vyliecenie_hosp_Y[[#This Row],[P_death]]-C17)/$C$41</f>
        <v>0</v>
      </c>
      <c r="P18">
        <f t="shared" si="7"/>
        <v>6.5211498515952643E-3</v>
      </c>
      <c r="Q18">
        <f t="shared" si="1"/>
        <v>5.5830489728298221E-3</v>
      </c>
      <c r="R18">
        <f t="shared" si="2"/>
        <v>5.4278124999658324E-3</v>
      </c>
      <c r="S18">
        <f t="shared" si="3"/>
        <v>1.469262912328104E-2</v>
      </c>
      <c r="T18">
        <f>P_smrt_vyliecenie_hosp_Y[[#This Row],[Column2]]-G17</f>
        <v>3.4482758620689502E-2</v>
      </c>
      <c r="U18">
        <f t="shared" si="4"/>
        <v>0.11438739601599104</v>
      </c>
      <c r="V18">
        <f t="shared" si="5"/>
        <v>1.8456859546999195E-2</v>
      </c>
      <c r="X18">
        <f>(P_smrt_vyliecenie_hosp_Y[[#This Row],[P_rec]]-B17)/$B$41</f>
        <v>1.7507723995880551E-2</v>
      </c>
      <c r="Y18">
        <f t="shared" si="8"/>
        <v>1.8821567273204189E-2</v>
      </c>
      <c r="Z18">
        <f t="shared" si="9"/>
        <v>1.9419964600708783E-2</v>
      </c>
      <c r="AA18">
        <f t="shared" si="0"/>
        <v>2.1784435533936584E-2</v>
      </c>
      <c r="AB18">
        <f t="shared" si="6"/>
        <v>2.181939032652478E-2</v>
      </c>
    </row>
    <row r="19" spans="1:28" x14ac:dyDescent="0.35">
      <c r="A19">
        <v>16</v>
      </c>
      <c r="B19">
        <v>0.89700000000000002</v>
      </c>
      <c r="C19">
        <v>1.9E-2</v>
      </c>
      <c r="D19">
        <v>8.4000000000000005E-2</v>
      </c>
      <c r="E19">
        <f t="shared" si="10"/>
        <v>1.1757632615051799E-7</v>
      </c>
      <c r="F19">
        <v>2.7E-2</v>
      </c>
      <c r="G19">
        <f>P_smrt_vyliecenie_hosp_Y[[#This Row],[Column1]]/0.029</f>
        <v>0.93103448275862066</v>
      </c>
      <c r="N19" s="6">
        <v>16</v>
      </c>
      <c r="O19" s="7">
        <f>(P_smrt_vyliecenie_hosp_Y[[#This Row],[P_death]]-C18)/$C$41</f>
        <v>0</v>
      </c>
      <c r="P19">
        <f t="shared" si="7"/>
        <v>3.5866324183773958E-3</v>
      </c>
      <c r="Q19">
        <f t="shared" si="1"/>
        <v>3.0706769350564026E-3</v>
      </c>
      <c r="R19">
        <f t="shared" si="2"/>
        <v>5.1084783264384315E-3</v>
      </c>
      <c r="S19">
        <f t="shared" si="3"/>
        <v>1.3828218538343351E-2</v>
      </c>
      <c r="T19">
        <f>P_smrt_vyliecenie_hosp_Y[[#This Row],[Column2]]-G18</f>
        <v>3.4482758620689724E-2</v>
      </c>
      <c r="U19">
        <f t="shared" si="4"/>
        <v>0.10909100519485557</v>
      </c>
      <c r="V19">
        <f t="shared" si="5"/>
        <v>1.7602265903849494E-2</v>
      </c>
      <c r="X19">
        <f>(P_smrt_vyliecenie_hosp_Y[[#This Row],[P_rec]]-B18)/$B$41</f>
        <v>2.2657054582904242E-2</v>
      </c>
      <c r="Y19">
        <f t="shared" si="8"/>
        <v>2.0887548545621477E-2</v>
      </c>
      <c r="Z19">
        <f t="shared" si="9"/>
        <v>2.1551629971274959E-2</v>
      </c>
      <c r="AA19">
        <f t="shared" si="0"/>
        <v>1.7585668779019705E-2</v>
      </c>
      <c r="AB19">
        <f t="shared" si="6"/>
        <v>1.7613886329285709E-2</v>
      </c>
    </row>
    <row r="20" spans="1:28" x14ac:dyDescent="0.35">
      <c r="A20">
        <v>17</v>
      </c>
      <c r="B20">
        <v>0.90400000000000003</v>
      </c>
      <c r="C20">
        <v>1.9E-2</v>
      </c>
      <c r="D20">
        <v>7.6999999999999999E-2</v>
      </c>
      <c r="E20">
        <f t="shared" si="10"/>
        <v>9.8764113966435118E-9</v>
      </c>
      <c r="F20">
        <v>2.7E-2</v>
      </c>
      <c r="G20">
        <f>P_smrt_vyliecenie_hosp_Y[[#This Row],[Column1]]/0.029</f>
        <v>0.93103448275862066</v>
      </c>
      <c r="N20" s="6">
        <v>17</v>
      </c>
      <c r="O20" s="7">
        <f>(P_smrt_vyliecenie_hosp_Y[[#This Row],[P_death]]-C19)/$C$41</f>
        <v>0</v>
      </c>
      <c r="P20">
        <f t="shared" si="7"/>
        <v>1.9726478301075679E-3</v>
      </c>
      <c r="Q20">
        <f t="shared" si="1"/>
        <v>1.6888723142810217E-3</v>
      </c>
      <c r="R20">
        <f t="shared" si="2"/>
        <v>4.82462572822988E-3</v>
      </c>
      <c r="S20">
        <f t="shared" si="3"/>
        <v>1.3059853575260303E-2</v>
      </c>
      <c r="T20">
        <f>P_smrt_vyliecenie_hosp_Y[[#This Row],[Column2]]-G19</f>
        <v>0</v>
      </c>
      <c r="U20">
        <f t="shared" si="4"/>
        <v>0.10432223937061182</v>
      </c>
      <c r="V20">
        <f t="shared" si="5"/>
        <v>1.6832806644384472E-2</v>
      </c>
      <c r="X20">
        <f>(P_smrt_vyliecenie_hosp_Y[[#This Row],[P_rec]]-B19)/$B$41</f>
        <v>7.2090628218331679E-3</v>
      </c>
      <c r="Y20">
        <f t="shared" si="8"/>
        <v>1.1860641990967521E-2</v>
      </c>
      <c r="Z20">
        <f t="shared" si="9"/>
        <v>1.2237729423000245E-2</v>
      </c>
      <c r="AA20">
        <f t="shared" si="0"/>
        <v>1.4115841683626465E-2</v>
      </c>
      <c r="AB20">
        <f t="shared" si="6"/>
        <v>1.4138491630993259E-2</v>
      </c>
    </row>
    <row r="21" spans="1:28" x14ac:dyDescent="0.35">
      <c r="A21">
        <v>18</v>
      </c>
      <c r="B21">
        <v>0.90900000000000003</v>
      </c>
      <c r="C21">
        <v>2.1000000000000001E-2</v>
      </c>
      <c r="D21">
        <v>7.0000000000000007E-2</v>
      </c>
      <c r="E21">
        <f t="shared" si="10"/>
        <v>7.6048367754155036E-10</v>
      </c>
      <c r="F21">
        <v>2.8000000000000001E-2</v>
      </c>
      <c r="G21">
        <f>P_smrt_vyliecenie_hosp_Y[[#This Row],[Column1]]/0.029</f>
        <v>0.96551724137931028</v>
      </c>
      <c r="N21" s="6">
        <v>18</v>
      </c>
      <c r="O21" s="7">
        <f>(P_smrt_vyliecenie_hosp_Y[[#This Row],[P_death]]-C20)/$C$41</f>
        <v>6.8965517241379365E-2</v>
      </c>
      <c r="P21">
        <f t="shared" si="7"/>
        <v>3.2119439065179875E-2</v>
      </c>
      <c r="Q21">
        <f t="shared" si="1"/>
        <v>2.749889288878319E-2</v>
      </c>
      <c r="R21">
        <f t="shared" si="2"/>
        <v>4.5706523513424609E-3</v>
      </c>
      <c r="S21">
        <f t="shared" si="3"/>
        <v>1.2372369135844309E-2</v>
      </c>
      <c r="T21">
        <f>P_smrt_vyliecenie_hosp_Y[[#This Row],[Column2]]-G20</f>
        <v>3.4482758620689613E-2</v>
      </c>
      <c r="U21">
        <f t="shared" si="4"/>
        <v>0.10000338118574975</v>
      </c>
      <c r="V21">
        <f t="shared" si="5"/>
        <v>1.613594176505578E-2</v>
      </c>
      <c r="X21">
        <f>(P_smrt_vyliecenie_hosp_Y[[#This Row],[P_rec]]-B20)/$B$41</f>
        <v>5.1493305870236915E-3</v>
      </c>
      <c r="Y21">
        <f t="shared" si="8"/>
        <v>7.4012246968386351E-3</v>
      </c>
      <c r="Z21">
        <f t="shared" si="9"/>
        <v>7.6365331073743777E-3</v>
      </c>
      <c r="AA21">
        <f t="shared" si="0"/>
        <v>1.1273840959722E-2</v>
      </c>
      <c r="AB21">
        <f t="shared" si="6"/>
        <v>1.1291930699610165E-2</v>
      </c>
    </row>
    <row r="22" spans="1:28" x14ac:dyDescent="0.35">
      <c r="A22">
        <v>19</v>
      </c>
      <c r="B22">
        <v>0.92100000000000004</v>
      </c>
      <c r="C22">
        <v>2.1999999999999999E-2</v>
      </c>
      <c r="D22">
        <v>5.7000000000000002E-2</v>
      </c>
      <c r="E22">
        <f t="shared" si="10"/>
        <v>5.3233857427908528E-11</v>
      </c>
      <c r="F22">
        <v>2.8000000000000001E-2</v>
      </c>
      <c r="G22">
        <f>P_smrt_vyliecenie_hosp_Y[[#This Row],[Column1]]/0.029</f>
        <v>0.96551724137931028</v>
      </c>
      <c r="N22" s="6">
        <v>19</v>
      </c>
      <c r="O22" s="7">
        <f>(P_smrt_vyliecenie_hosp_Y[[#This Row],[P_death]]-C21)/$C$41</f>
        <v>3.4482758620689564E-2</v>
      </c>
      <c r="P22">
        <f t="shared" si="7"/>
        <v>3.3182932865159234E-2</v>
      </c>
      <c r="Q22">
        <f t="shared" si="1"/>
        <v>2.8409397646795023E-2</v>
      </c>
      <c r="R22">
        <f t="shared" si="2"/>
        <v>4.3420763125780002E-3</v>
      </c>
      <c r="S22">
        <f t="shared" si="3"/>
        <v>1.1753633141545304E-2</v>
      </c>
      <c r="T22">
        <f>P_smrt_vyliecenie_hosp_Y[[#This Row],[Column2]]-G21</f>
        <v>0</v>
      </c>
      <c r="U22">
        <f t="shared" si="4"/>
        <v>9.6071493769579741E-2</v>
      </c>
      <c r="V22">
        <f t="shared" si="5"/>
        <v>1.5501516152423437E-2</v>
      </c>
      <c r="X22">
        <f>(P_smrt_vyliecenie_hosp_Y[[#This Row],[P_rec]]-B21)/$B$41</f>
        <v>1.235839340885686E-2</v>
      </c>
      <c r="Y22">
        <f t="shared" si="8"/>
        <v>1.0390428643893531E-2</v>
      </c>
      <c r="Z22">
        <f t="shared" si="9"/>
        <v>1.0720773329959335E-2</v>
      </c>
      <c r="AA22">
        <f t="shared" si="0"/>
        <v>8.9637641598298966E-3</v>
      </c>
      <c r="AB22">
        <f t="shared" si="6"/>
        <v>8.978147204849735E-3</v>
      </c>
    </row>
    <row r="23" spans="1:28" x14ac:dyDescent="0.35">
      <c r="A23">
        <v>20</v>
      </c>
      <c r="B23">
        <v>0.93200000000000005</v>
      </c>
      <c r="C23">
        <v>2.1999999999999999E-2</v>
      </c>
      <c r="D23">
        <v>4.5999999999999999E-2</v>
      </c>
      <c r="E23">
        <f t="shared" si="10"/>
        <v>3.0343298733907863E-12</v>
      </c>
      <c r="F23">
        <v>2.9000000000000001E-2</v>
      </c>
      <c r="G23">
        <f>P_smrt_vyliecenie_hosp_Y[[#This Row],[Column1]]/0.029</f>
        <v>1</v>
      </c>
      <c r="N23" s="6">
        <v>20</v>
      </c>
      <c r="O23" s="7">
        <f>(P_smrt_vyliecenie_hosp_Y[[#This Row],[P_death]]-C22)/$C$41</f>
        <v>0</v>
      </c>
      <c r="P23">
        <f t="shared" si="7"/>
        <v>1.8250613075837582E-2</v>
      </c>
      <c r="Q23">
        <f t="shared" si="1"/>
        <v>1.5625168705737266E-2</v>
      </c>
      <c r="R23">
        <f t="shared" si="2"/>
        <v>4.1352694207760715E-3</v>
      </c>
      <c r="S23">
        <f t="shared" si="3"/>
        <v>1.1193824385917992E-2</v>
      </c>
      <c r="T23">
        <f>P_smrt_vyliecenie_hosp_Y[[#This Row],[Column2]]-G22</f>
        <v>3.4482758620689724E-2</v>
      </c>
      <c r="U23">
        <f t="shared" si="4"/>
        <v>9.2475036524294091E-2</v>
      </c>
      <c r="V23">
        <f t="shared" si="5"/>
        <v>1.4921213526828698E-2</v>
      </c>
      <c r="X23">
        <f>(P_smrt_vyliecenie_hosp_Y[[#This Row],[P_rec]]-B22)/$B$41</f>
        <v>1.1328527291452121E-2</v>
      </c>
      <c r="Y23">
        <f t="shared" si="8"/>
        <v>1.0786650025362741E-2</v>
      </c>
      <c r="Z23">
        <f t="shared" si="9"/>
        <v>1.1129591845999209E-2</v>
      </c>
      <c r="AA23">
        <f t="shared" si="0"/>
        <v>7.098427034457443E-3</v>
      </c>
      <c r="AB23">
        <f t="shared" si="6"/>
        <v>7.1098170034242939E-3</v>
      </c>
    </row>
    <row r="24" spans="1:28" x14ac:dyDescent="0.35">
      <c r="A24">
        <v>21</v>
      </c>
      <c r="B24">
        <v>0.93400000000000005</v>
      </c>
      <c r="C24">
        <v>2.4E-2</v>
      </c>
      <c r="D24">
        <v>4.2000000000000003E-2</v>
      </c>
      <c r="E24">
        <f t="shared" si="10"/>
        <v>1.3957917417597617E-13</v>
      </c>
      <c r="F24">
        <v>2.9000000000000001E-2</v>
      </c>
      <c r="G24">
        <f>P_smrt_vyliecenie_hosp_Y[[#This Row],[Column1]]/0.029</f>
        <v>1</v>
      </c>
      <c r="N24" s="6">
        <v>21</v>
      </c>
      <c r="O24" s="7">
        <f>(P_smrt_vyliecenie_hosp_Y[[#This Row],[P_death]]-C23)/$C$41</f>
        <v>6.8965517241379365E-2</v>
      </c>
      <c r="P24">
        <f t="shared" si="7"/>
        <v>4.1072319950331386E-2</v>
      </c>
      <c r="Q24">
        <f t="shared" si="1"/>
        <v>3.5163855904084128E-2</v>
      </c>
      <c r="R24">
        <f t="shared" si="2"/>
        <v>3.947263155896324E-3</v>
      </c>
      <c r="S24">
        <f t="shared" si="3"/>
        <v>1.0684907336416215E-2</v>
      </c>
      <c r="T24">
        <f>P_smrt_vyliecenie_hosp_Y[[#This Row],[Column2]]-G23</f>
        <v>0</v>
      </c>
      <c r="U24">
        <f t="shared" si="4"/>
        <v>8.9171375039568249E-2</v>
      </c>
      <c r="V24">
        <f t="shared" si="5"/>
        <v>1.4388154657249293E-2</v>
      </c>
      <c r="X24">
        <f>(P_smrt_vyliecenie_hosp_Y[[#This Row],[P_rec]]-B23)/$B$41</f>
        <v>2.0597322348094769E-3</v>
      </c>
      <c r="Y24">
        <f t="shared" si="8"/>
        <v>5.0753275088769607E-3</v>
      </c>
      <c r="Z24">
        <f t="shared" si="9"/>
        <v>5.2366882698294407E-3</v>
      </c>
      <c r="AA24">
        <f t="shared" si="0"/>
        <v>5.6008963386915706E-3</v>
      </c>
      <c r="AB24">
        <f t="shared" si="6"/>
        <v>5.6098834051465157E-3</v>
      </c>
    </row>
    <row r="25" spans="1:28" x14ac:dyDescent="0.35">
      <c r="A25">
        <v>22</v>
      </c>
      <c r="B25">
        <v>0.93600000000000005</v>
      </c>
      <c r="C25">
        <v>2.4E-2</v>
      </c>
      <c r="D25">
        <v>0.04</v>
      </c>
      <c r="E25">
        <f t="shared" si="10"/>
        <v>5.8623253153909997E-15</v>
      </c>
      <c r="F25">
        <v>2.9000000000000001E-2</v>
      </c>
      <c r="G25">
        <f>P_smrt_vyliecenie_hosp_Y[[#This Row],[Column1]]/0.029</f>
        <v>1</v>
      </c>
      <c r="N25" s="6">
        <v>22</v>
      </c>
      <c r="O25" s="7">
        <f>(P_smrt_vyliecenie_hosp_Y[[#This Row],[P_death]]-C24)/$C$41</f>
        <v>0</v>
      </c>
      <c r="P25">
        <f t="shared" si="7"/>
        <v>2.2589775972682264E-2</v>
      </c>
      <c r="Q25">
        <f t="shared" si="1"/>
        <v>1.9340120747246271E-2</v>
      </c>
      <c r="R25">
        <f t="shared" si="2"/>
        <v>3.7756052622532547E-3</v>
      </c>
      <c r="S25">
        <f t="shared" si="3"/>
        <v>1.0220243944414904E-2</v>
      </c>
      <c r="T25">
        <f>P_smrt_vyliecenie_hosp_Y[[#This Row],[Column2]]-G24</f>
        <v>0</v>
      </c>
      <c r="U25">
        <f t="shared" si="4"/>
        <v>8.6124920144223835E-2</v>
      </c>
      <c r="V25">
        <f t="shared" si="5"/>
        <v>1.3896597089912248E-2</v>
      </c>
      <c r="X25">
        <f>(P_smrt_vyliecenie_hosp_Y[[#This Row],[P_rec]]-B24)/$B$41</f>
        <v>2.0597322348094769E-3</v>
      </c>
      <c r="Y25">
        <f t="shared" si="8"/>
        <v>3.0763646281069378E-3</v>
      </c>
      <c r="Z25">
        <f t="shared" si="9"/>
        <v>3.1741720181700218E-3</v>
      </c>
      <c r="AA25">
        <f t="shared" si="0"/>
        <v>4.4047713908530878E-3</v>
      </c>
      <c r="AB25">
        <f t="shared" si="6"/>
        <v>4.4118391833660418E-3</v>
      </c>
    </row>
    <row r="26" spans="1:28" x14ac:dyDescent="0.35">
      <c r="A26">
        <v>23</v>
      </c>
      <c r="B26">
        <v>0.93799999999999994</v>
      </c>
      <c r="C26">
        <v>2.4E-2</v>
      </c>
      <c r="D26">
        <v>3.7999999999999999E-2</v>
      </c>
      <c r="E26">
        <f t="shared" si="10"/>
        <v>2.3449301261564E-16</v>
      </c>
      <c r="F26">
        <v>2.9000000000000001E-2</v>
      </c>
      <c r="G26">
        <f>P_smrt_vyliecenie_hosp_Y[[#This Row],[Column1]]/0.029</f>
        <v>1</v>
      </c>
      <c r="N26" s="6">
        <v>23</v>
      </c>
      <c r="O26" s="7">
        <f>(P_smrt_vyliecenie_hosp_Y[[#This Row],[P_death]]-C25)/$C$41</f>
        <v>0</v>
      </c>
      <c r="P26">
        <f t="shared" si="7"/>
        <v>1.2424376784975245E-2</v>
      </c>
      <c r="Q26">
        <f t="shared" si="1"/>
        <v>1.0637066410985449E-2</v>
      </c>
      <c r="R26">
        <f t="shared" si="2"/>
        <v>3.6182521934422719E-3</v>
      </c>
      <c r="S26">
        <f t="shared" si="3"/>
        <v>9.7943025027264815E-3</v>
      </c>
      <c r="T26">
        <f>P_smrt_vyliecenie_hosp_Y[[#This Row],[Column2]]-G25</f>
        <v>0</v>
      </c>
      <c r="U26">
        <f t="shared" si="4"/>
        <v>8.3305717448159414E-2</v>
      </c>
      <c r="V26">
        <f t="shared" si="5"/>
        <v>1.3441707565296192E-2</v>
      </c>
      <c r="X26">
        <f>(P_smrt_vyliecenie_hosp_Y[[#This Row],[P_rec]]-B25)/$B$41</f>
        <v>2.0597322348093624E-3</v>
      </c>
      <c r="Y26">
        <f t="shared" si="8"/>
        <v>2.3767276198373571E-3</v>
      </c>
      <c r="Z26">
        <f t="shared" si="9"/>
        <v>2.4522913300891501E-3</v>
      </c>
      <c r="AA26">
        <f t="shared" si="0"/>
        <v>3.4537172281144976E-3</v>
      </c>
      <c r="AB26">
        <f t="shared" si="6"/>
        <v>3.4592589814997966E-3</v>
      </c>
    </row>
    <row r="27" spans="1:28" x14ac:dyDescent="0.35">
      <c r="A27">
        <v>24</v>
      </c>
      <c r="B27">
        <v>0.94399999999999995</v>
      </c>
      <c r="C27">
        <v>2.5000000000000001E-2</v>
      </c>
      <c r="D27">
        <v>0.03</v>
      </c>
      <c r="E27">
        <f t="shared" si="10"/>
        <v>8.9107344793943191E-18</v>
      </c>
      <c r="F27">
        <v>2.9000000000000001E-2</v>
      </c>
      <c r="G27">
        <f>P_smrt_vyliecenie_hosp_Y[[#This Row],[Column1]]/0.029</f>
        <v>1</v>
      </c>
      <c r="N27" s="6">
        <v>24</v>
      </c>
      <c r="O27" s="7">
        <f>(P_smrt_vyliecenie_hosp_Y[[#This Row],[P_death]]-C26)/$C$41</f>
        <v>3.4482758620689682E-2</v>
      </c>
      <c r="P27">
        <f t="shared" si="7"/>
        <v>2.2350648611046742E-2</v>
      </c>
      <c r="Q27">
        <f t="shared" si="1"/>
        <v>1.9135393084006313E-2</v>
      </c>
      <c r="R27">
        <f t="shared" si="2"/>
        <v>3.4734873704835244E-3</v>
      </c>
      <c r="S27">
        <f t="shared" si="3"/>
        <v>9.4024363773133977E-3</v>
      </c>
      <c r="T27">
        <f>P_smrt_vyliecenie_hosp_Y[[#This Row],[Column2]]-G26</f>
        <v>0</v>
      </c>
      <c r="U27">
        <f t="shared" si="4"/>
        <v>8.068836459768787E-2</v>
      </c>
      <c r="V27">
        <f t="shared" si="5"/>
        <v>1.3019387312990266E-2</v>
      </c>
      <c r="X27">
        <f>(P_smrt_vyliecenie_hosp_Y[[#This Row],[P_rec]]-B26)/$B$41</f>
        <v>6.1791967044284302E-3</v>
      </c>
      <c r="Y27">
        <f t="shared" si="8"/>
        <v>4.7318546669430795E-3</v>
      </c>
      <c r="Z27">
        <f t="shared" si="9"/>
        <v>4.8822953367203548E-3</v>
      </c>
      <c r="AA27">
        <f t="shared" si="0"/>
        <v>2.7005899297440328E-3</v>
      </c>
      <c r="AB27">
        <f t="shared" si="6"/>
        <v>2.7049232327902798E-3</v>
      </c>
    </row>
    <row r="28" spans="1:28" x14ac:dyDescent="0.35">
      <c r="A28">
        <v>25</v>
      </c>
      <c r="B28">
        <v>0.94399999999999995</v>
      </c>
      <c r="C28">
        <v>2.5000000000000001E-2</v>
      </c>
      <c r="D28">
        <v>0.03</v>
      </c>
      <c r="E28">
        <f t="shared" si="10"/>
        <v>2.6732203438182955E-19</v>
      </c>
      <c r="F28">
        <v>2.9000000000000001E-2</v>
      </c>
      <c r="G28">
        <f>P_smrt_vyliecenie_hosp_Y[[#This Row],[Column1]]/0.029</f>
        <v>1</v>
      </c>
      <c r="N28" s="6">
        <v>25</v>
      </c>
      <c r="O28" s="7">
        <f>(P_smrt_vyliecenie_hosp_Y[[#This Row],[P_death]]-C27)/$C$41</f>
        <v>0</v>
      </c>
      <c r="P28">
        <f t="shared" si="7"/>
        <v>1.2292856736075709E-2</v>
      </c>
      <c r="Q28">
        <f t="shared" si="1"/>
        <v>1.0524466196203472E-2</v>
      </c>
      <c r="R28">
        <f t="shared" si="2"/>
        <v>3.3398583034709804E-3</v>
      </c>
      <c r="S28">
        <f t="shared" si="3"/>
        <v>9.0407138009131003E-3</v>
      </c>
      <c r="T28">
        <f>P_smrt_vyliecenie_hosp_Y[[#This Row],[Column2]]-G27</f>
        <v>0</v>
      </c>
      <c r="U28">
        <f t="shared" si="4"/>
        <v>7.8251170380627719E-2</v>
      </c>
      <c r="V28">
        <f t="shared" si="5"/>
        <v>1.262613636996898E-2</v>
      </c>
      <c r="X28">
        <f>(P_smrt_vyliecenie_hosp_Y[[#This Row],[P_rec]]-B27)/$B$41</f>
        <v>0</v>
      </c>
      <c r="Y28">
        <f t="shared" si="8"/>
        <v>1.6561491334300777E-3</v>
      </c>
      <c r="Z28">
        <f t="shared" si="9"/>
        <v>1.708803367852124E-3</v>
      </c>
      <c r="AA28">
        <f t="shared" si="0"/>
        <v>2.1063778761844765E-3</v>
      </c>
      <c r="AB28">
        <f t="shared" si="6"/>
        <v>2.1097577205536223E-3</v>
      </c>
    </row>
    <row r="29" spans="1:28" x14ac:dyDescent="0.35">
      <c r="A29">
        <v>26</v>
      </c>
      <c r="B29">
        <v>0.94899999999999995</v>
      </c>
      <c r="C29">
        <v>2.5999999999999999E-2</v>
      </c>
      <c r="D29">
        <v>2.5000000000000001E-2</v>
      </c>
      <c r="E29">
        <f t="shared" si="10"/>
        <v>8.0196610314548865E-21</v>
      </c>
      <c r="F29">
        <v>2.9000000000000001E-2</v>
      </c>
      <c r="G29">
        <f>P_smrt_vyliecenie_hosp_Y[[#This Row],[Column1]]/0.029</f>
        <v>1</v>
      </c>
      <c r="N29" s="6">
        <v>26</v>
      </c>
      <c r="O29" s="7">
        <f>(P_smrt_vyliecenie_hosp_Y[[#This Row],[P_death]]-C28)/$C$41</f>
        <v>3.4482758620689564E-2</v>
      </c>
      <c r="P29">
        <f t="shared" si="7"/>
        <v>2.2278312584151944E-2</v>
      </c>
      <c r="Q29">
        <f t="shared" si="1"/>
        <v>1.907346296587618E-2</v>
      </c>
      <c r="R29">
        <f t="shared" si="2"/>
        <v>3.2161276861883922E-3</v>
      </c>
      <c r="S29">
        <f t="shared" si="3"/>
        <v>8.7057854903019385E-3</v>
      </c>
      <c r="T29">
        <f>P_smrt_vyliecenie_hosp_Y[[#This Row],[Column2]]-G28</f>
        <v>0</v>
      </c>
      <c r="U29">
        <f t="shared" si="4"/>
        <v>7.5975494672092303E-2</v>
      </c>
      <c r="V29">
        <f t="shared" si="5"/>
        <v>1.2258947078230192E-2</v>
      </c>
      <c r="X29">
        <f>(P_smrt_vyliecenie_hosp_Y[[#This Row],[P_rec]]-B28)/$B$41</f>
        <v>5.1493305870236915E-3</v>
      </c>
      <c r="Y29">
        <f t="shared" si="8"/>
        <v>3.8296521967005302E-3</v>
      </c>
      <c r="Z29">
        <f t="shared" si="9"/>
        <v>3.9514089880725361E-3</v>
      </c>
      <c r="AA29">
        <f t="shared" si="0"/>
        <v>1.6391003961228191E-3</v>
      </c>
      <c r="AB29">
        <f t="shared" si="6"/>
        <v>1.6417304580442515E-3</v>
      </c>
    </row>
    <row r="30" spans="1:28" x14ac:dyDescent="0.35">
      <c r="A30">
        <v>27</v>
      </c>
      <c r="B30">
        <v>0.94899999999999995</v>
      </c>
      <c r="C30">
        <v>2.5999999999999999E-2</v>
      </c>
      <c r="D30">
        <v>2.5000000000000001E-2</v>
      </c>
      <c r="E30">
        <f t="shared" si="10"/>
        <v>2.0049152578637216E-22</v>
      </c>
      <c r="F30">
        <v>2.9000000000000001E-2</v>
      </c>
      <c r="G30">
        <f>P_smrt_vyliecenie_hosp_Y[[#This Row],[Column1]]/0.029</f>
        <v>1</v>
      </c>
      <c r="N30" s="6">
        <v>27</v>
      </c>
      <c r="O30" s="7">
        <f>(P_smrt_vyliecenie_hosp_Y[[#This Row],[P_death]]-C29)/$C$41</f>
        <v>0</v>
      </c>
      <c r="P30">
        <f t="shared" si="7"/>
        <v>1.2253071921283569E-2</v>
      </c>
      <c r="Q30">
        <f t="shared" si="1"/>
        <v>1.0490404631231898E-2</v>
      </c>
      <c r="R30">
        <f t="shared" si="2"/>
        <v>3.101234970450405E-3</v>
      </c>
      <c r="S30">
        <f t="shared" si="3"/>
        <v>8.3947806312882154E-3</v>
      </c>
      <c r="T30">
        <f>P_smrt_vyliecenie_hosp_Y[[#This Row],[Column2]]-G29</f>
        <v>0</v>
      </c>
      <c r="U30">
        <f t="shared" si="4"/>
        <v>7.3845225238437937E-2</v>
      </c>
      <c r="V30">
        <f t="shared" si="5"/>
        <v>1.1915219665039252E-2</v>
      </c>
      <c r="X30">
        <f>(P_smrt_vyliecenie_hosp_Y[[#This Row],[P_rec]]-B29)/$B$41</f>
        <v>0</v>
      </c>
      <c r="Y30">
        <f t="shared" si="8"/>
        <v>1.3403782688451854E-3</v>
      </c>
      <c r="Z30">
        <f t="shared" si="9"/>
        <v>1.3829931458253875E-3</v>
      </c>
      <c r="AA30">
        <f t="shared" si="0"/>
        <v>1.2727484809312575E-3</v>
      </c>
      <c r="AB30">
        <f t="shared" si="6"/>
        <v>1.2747907031912095E-3</v>
      </c>
    </row>
    <row r="31" spans="1:28" x14ac:dyDescent="0.35">
      <c r="A31">
        <v>28</v>
      </c>
      <c r="B31">
        <v>0.94899999999999995</v>
      </c>
      <c r="C31">
        <v>2.5999999999999999E-2</v>
      </c>
      <c r="D31">
        <v>2.5000000000000001E-2</v>
      </c>
      <c r="E31">
        <f t="shared" si="10"/>
        <v>5.0122881446593042E-24</v>
      </c>
      <c r="F31">
        <v>2.9000000000000001E-2</v>
      </c>
      <c r="G31">
        <f>P_smrt_vyliecenie_hosp_Y[[#This Row],[Column1]]/0.029</f>
        <v>1</v>
      </c>
      <c r="N31" s="6">
        <v>28</v>
      </c>
      <c r="O31" s="7">
        <f>(P_smrt_vyliecenie_hosp_Y[[#This Row],[P_death]]-C30)/$C$41</f>
        <v>0</v>
      </c>
      <c r="P31">
        <f t="shared" si="7"/>
        <v>6.7391895567059639E-3</v>
      </c>
      <c r="Q31">
        <f t="shared" si="1"/>
        <v>5.7697225471775452E-3</v>
      </c>
      <c r="R31">
        <f t="shared" si="2"/>
        <v>2.9942658905799864E-3</v>
      </c>
      <c r="S31">
        <f t="shared" si="3"/>
        <v>8.1052243840514914E-3</v>
      </c>
      <c r="T31">
        <f>P_smrt_vyliecenie_hosp_Y[[#This Row],[Column2]]-G30</f>
        <v>0</v>
      </c>
      <c r="U31">
        <f t="shared" si="4"/>
        <v>7.1846359266485318E-2</v>
      </c>
      <c r="V31">
        <f t="shared" si="5"/>
        <v>1.1592694721010908E-2</v>
      </c>
      <c r="X31">
        <f>(P_smrt_vyliecenie_hosp_Y[[#This Row],[P_rec]]-B30)/$B$41</f>
        <v>0</v>
      </c>
      <c r="Y31">
        <f t="shared" si="8"/>
        <v>4.6913239409581488E-4</v>
      </c>
      <c r="Z31">
        <f t="shared" si="9"/>
        <v>4.8404760103888558E-4</v>
      </c>
      <c r="AA31">
        <f t="shared" si="0"/>
        <v>9.863140130993639E-4</v>
      </c>
      <c r="AB31">
        <f t="shared" si="6"/>
        <v>9.8789662935311134E-4</v>
      </c>
    </row>
    <row r="32" spans="1:28" x14ac:dyDescent="0.35">
      <c r="A32">
        <v>29</v>
      </c>
      <c r="B32">
        <v>0.95099999999999996</v>
      </c>
      <c r="C32">
        <v>2.7E-2</v>
      </c>
      <c r="D32">
        <v>2.3E-2</v>
      </c>
      <c r="E32">
        <f t="shared" si="10"/>
        <v>1.2530720361648262E-25</v>
      </c>
      <c r="F32">
        <v>2.9000000000000001E-2</v>
      </c>
      <c r="G32">
        <f>P_smrt_vyliecenie_hosp_Y[[#This Row],[Column1]]/0.029</f>
        <v>1</v>
      </c>
      <c r="N32" s="6">
        <v>29</v>
      </c>
      <c r="O32" s="7">
        <f>(P_smrt_vyliecenie_hosp_Y[[#This Row],[P_death]]-C31)/$C$41</f>
        <v>3.4482758620689682E-2</v>
      </c>
      <c r="P32">
        <f t="shared" si="7"/>
        <v>1.9223795635498638E-2</v>
      </c>
      <c r="Q32">
        <f t="shared" si="1"/>
        <v>1.6458353958911966E-2</v>
      </c>
      <c r="R32">
        <f t="shared" si="2"/>
        <v>2.8944280829903781E-3</v>
      </c>
      <c r="S32">
        <f t="shared" si="3"/>
        <v>7.8349718874140637E-3</v>
      </c>
      <c r="T32">
        <f>P_smrt_vyliecenie_hosp_Y[[#This Row],[Column2]]-G31</f>
        <v>0</v>
      </c>
      <c r="U32">
        <f t="shared" si="4"/>
        <v>6.9966665852524298E-2</v>
      </c>
      <c r="V32">
        <f t="shared" si="5"/>
        <v>1.1289398741373012E-2</v>
      </c>
      <c r="X32">
        <f>(P_smrt_vyliecenie_hosp_Y[[#This Row],[P_rec]]-B31)/$B$41</f>
        <v>2.0597322348094769E-3</v>
      </c>
      <c r="Y32">
        <f t="shared" si="8"/>
        <v>1.4641963379335367E-3</v>
      </c>
      <c r="Z32">
        <f t="shared" si="9"/>
        <v>1.5107477840933272E-3</v>
      </c>
      <c r="AA32">
        <f t="shared" si="0"/>
        <v>7.6292893013027462E-4</v>
      </c>
      <c r="AB32">
        <f t="shared" si="6"/>
        <v>7.641531079369795E-4</v>
      </c>
    </row>
    <row r="33" spans="1:28" x14ac:dyDescent="0.35">
      <c r="A33">
        <v>30</v>
      </c>
      <c r="B33">
        <v>0.95099999999999996</v>
      </c>
      <c r="C33">
        <v>2.8000000000000001E-2</v>
      </c>
      <c r="D33">
        <v>2.3E-2</v>
      </c>
      <c r="E33">
        <f t="shared" si="10"/>
        <v>2.8820656831791002E-27</v>
      </c>
      <c r="F33">
        <v>2.9000000000000001E-2</v>
      </c>
      <c r="G33">
        <f>P_smrt_vyliecenie_hosp_Y[[#This Row],[Column1]]/0.029</f>
        <v>1</v>
      </c>
      <c r="N33" s="6">
        <v>30</v>
      </c>
      <c r="O33" s="7">
        <f>(P_smrt_vyliecenie_hosp_Y[[#This Row],[P_death]]-C32)/$C$41</f>
        <v>3.4482758620689682E-2</v>
      </c>
      <c r="P33">
        <f t="shared" si="7"/>
        <v>2.6090328978834607E-2</v>
      </c>
      <c r="Q33">
        <f t="shared" si="1"/>
        <v>2.2337101235365895E-2</v>
      </c>
      <c r="R33">
        <f t="shared" si="2"/>
        <v>2.801031424557628E-3</v>
      </c>
      <c r="S33">
        <f t="shared" si="3"/>
        <v>7.5821550364792174E-3</v>
      </c>
      <c r="T33">
        <f>P_smrt_vyliecenie_hosp_Y[[#This Row],[Column2]]-G32</f>
        <v>0</v>
      </c>
      <c r="U33">
        <f t="shared" si="4"/>
        <v>6.8195411673720452E-2</v>
      </c>
      <c r="V33">
        <f t="shared" si="5"/>
        <v>1.100359986196109E-2</v>
      </c>
      <c r="X33">
        <f>(P_smrt_vyliecenie_hosp_Y[[#This Row],[P_rec]]-B32)/$B$41</f>
        <v>0</v>
      </c>
      <c r="Y33">
        <f t="shared" si="8"/>
        <v>5.1246871827673787E-4</v>
      </c>
      <c r="Z33">
        <f t="shared" si="9"/>
        <v>5.2876172443266456E-4</v>
      </c>
      <c r="AA33">
        <f t="shared" si="0"/>
        <v>5.8911995630570588E-4</v>
      </c>
      <c r="AB33">
        <f t="shared" si="6"/>
        <v>5.9006524432338961E-4</v>
      </c>
    </row>
    <row r="34" spans="1:28" x14ac:dyDescent="0.35">
      <c r="A34">
        <v>31</v>
      </c>
      <c r="B34">
        <v>0.95599999999999996</v>
      </c>
      <c r="C34">
        <v>2.9000000000000001E-2</v>
      </c>
      <c r="D34">
        <v>1.7999999999999999E-2</v>
      </c>
      <c r="E34">
        <f t="shared" si="10"/>
        <v>6.6287510713119301E-29</v>
      </c>
      <c r="F34">
        <v>2.9000000000000001E-2</v>
      </c>
      <c r="G34">
        <f>P_smrt_vyliecenie_hosp_Y[[#This Row],[Column1]]/0.029</f>
        <v>1</v>
      </c>
      <c r="N34" s="6">
        <v>31</v>
      </c>
      <c r="O34" s="7">
        <f>(P_smrt_vyliecenie_hosp_Y[[#This Row],[P_death]]-C33)/$C$41</f>
        <v>3.4482758620689682E-2</v>
      </c>
      <c r="P34">
        <f t="shared" si="7"/>
        <v>2.9866922317669391E-2</v>
      </c>
      <c r="Q34">
        <f t="shared" si="1"/>
        <v>2.5570412237415557E-2</v>
      </c>
      <c r="R34">
        <f t="shared" si="2"/>
        <v>2.7134720575482762E-3</v>
      </c>
      <c r="S34">
        <f t="shared" si="3"/>
        <v>7.3451392394623246E-3</v>
      </c>
      <c r="T34">
        <f>P_smrt_vyliecenie_hosp_Y[[#This Row],[Column2]]-G33</f>
        <v>0</v>
      </c>
      <c r="U34">
        <f t="shared" si="4"/>
        <v>6.6523136403334987E-2</v>
      </c>
      <c r="V34">
        <f t="shared" si="5"/>
        <v>1.0733771621574276E-2</v>
      </c>
      <c r="X34">
        <f>(P_smrt_vyliecenie_hosp_Y[[#This Row],[P_rec]]-B33)/$B$41</f>
        <v>5.1493305870236915E-3</v>
      </c>
      <c r="Y34">
        <f t="shared" si="8"/>
        <v>3.429364051396861E-3</v>
      </c>
      <c r="Z34">
        <f t="shared" si="9"/>
        <v>3.5383944128757248E-3</v>
      </c>
      <c r="AA34">
        <f t="shared" si="0"/>
        <v>4.5417507855056305E-4</v>
      </c>
      <c r="AB34">
        <f t="shared" si="6"/>
        <v>4.5490383719316049E-4</v>
      </c>
    </row>
    <row r="35" spans="1:28" x14ac:dyDescent="0.35">
      <c r="A35">
        <v>32</v>
      </c>
      <c r="B35">
        <v>0.95799999999999996</v>
      </c>
      <c r="C35">
        <v>2.9000000000000001E-2</v>
      </c>
      <c r="D35">
        <v>1.4999999999999999E-2</v>
      </c>
      <c r="E35">
        <f t="shared" si="10"/>
        <v>1.1931751928361473E-30</v>
      </c>
      <c r="F35">
        <v>2.9000000000000001E-2</v>
      </c>
      <c r="G35">
        <f>P_smrt_vyliecenie_hosp_Y[[#This Row],[Column1]]/0.029</f>
        <v>1</v>
      </c>
      <c r="N35" s="6">
        <v>32</v>
      </c>
      <c r="O35" s="7">
        <f>(P_smrt_vyliecenie_hosp_Y[[#This Row],[P_death]]-C34)/$C$41</f>
        <v>0</v>
      </c>
      <c r="P35">
        <f t="shared" si="7"/>
        <v>1.6426807274718166E-2</v>
      </c>
      <c r="Q35">
        <f t="shared" si="1"/>
        <v>1.4063726730578558E-2</v>
      </c>
      <c r="R35">
        <f t="shared" si="2"/>
        <v>2.6312193191056492E-3</v>
      </c>
      <c r="S35">
        <f t="shared" si="3"/>
        <v>7.1224880369162953E-3</v>
      </c>
      <c r="T35">
        <f>P_smrt_vyliecenie_hosp_Y[[#This Row],[Column2]]-G34</f>
        <v>0</v>
      </c>
      <c r="U35">
        <f t="shared" si="4"/>
        <v>6.4941467611271175E-2</v>
      </c>
      <c r="V35">
        <f t="shared" si="5"/>
        <v>1.0478563095445115E-2</v>
      </c>
      <c r="X35">
        <f>(P_smrt_vyliecenie_hosp_Y[[#This Row],[P_rec]]-B34)/$B$41</f>
        <v>2.0597322348094769E-3</v>
      </c>
      <c r="Y35">
        <f t="shared" si="8"/>
        <v>2.5002774179889026E-3</v>
      </c>
      <c r="Z35">
        <f t="shared" si="9"/>
        <v>2.5797691682362205E-3</v>
      </c>
      <c r="AA35">
        <f t="shared" si="0"/>
        <v>3.4961273278952547E-4</v>
      </c>
      <c r="AB35">
        <f t="shared" si="6"/>
        <v>3.5017371315285931E-4</v>
      </c>
    </row>
    <row r="36" spans="1:28" x14ac:dyDescent="0.35">
      <c r="A36">
        <v>33</v>
      </c>
      <c r="B36">
        <v>0.96099999999999997</v>
      </c>
      <c r="C36">
        <v>2.9000000000000001E-2</v>
      </c>
      <c r="D36">
        <v>0.01</v>
      </c>
      <c r="E36">
        <f t="shared" si="10"/>
        <v>1.7897627892542209E-32</v>
      </c>
      <c r="F36">
        <v>2.9000000000000001E-2</v>
      </c>
      <c r="G36">
        <f>P_smrt_vyliecenie_hosp_Y[[#This Row],[Column1]]/0.029</f>
        <v>1</v>
      </c>
      <c r="N36" s="6">
        <v>33</v>
      </c>
      <c r="O36" s="7">
        <f>(P_smrt_vyliecenie_hosp_Y[[#This Row],[P_death]]-C35)/$C$41</f>
        <v>0</v>
      </c>
      <c r="P36">
        <f t="shared" si="7"/>
        <v>9.034744001094993E-3</v>
      </c>
      <c r="Q36">
        <f t="shared" si="1"/>
        <v>7.7350497018182076E-3</v>
      </c>
      <c r="R36">
        <f t="shared" si="2"/>
        <v>2.553804977297386E-3</v>
      </c>
      <c r="S36">
        <f t="shared" si="3"/>
        <v>6.9129339646231058E-3</v>
      </c>
      <c r="T36">
        <f>P_smrt_vyliecenie_hosp_Y[[#This Row],[Column2]]-G35</f>
        <v>0</v>
      </c>
      <c r="U36">
        <f t="shared" si="4"/>
        <v>6.3442967247368615E-2</v>
      </c>
      <c r="V36">
        <f t="shared" si="5"/>
        <v>1.0236774124710872E-2</v>
      </c>
      <c r="X36">
        <f>(P_smrt_vyliecenie_hosp_Y[[#This Row],[P_rec]]-B35)/$B$41</f>
        <v>3.0895983522142151E-3</v>
      </c>
      <c r="Y36">
        <f t="shared" si="8"/>
        <v>2.8250970962961182E-3</v>
      </c>
      <c r="Z36">
        <f t="shared" si="9"/>
        <v>2.9149158944772532E-3</v>
      </c>
      <c r="AA36">
        <f t="shared" si="0"/>
        <v>2.6874222841960499E-4</v>
      </c>
      <c r="AB36">
        <f t="shared" si="6"/>
        <v>2.6917344587481346E-4</v>
      </c>
    </row>
    <row r="37" spans="1:28" x14ac:dyDescent="0.35">
      <c r="A37">
        <v>34</v>
      </c>
      <c r="B37">
        <v>0.96299999999999997</v>
      </c>
      <c r="C37">
        <v>2.9000000000000001E-2</v>
      </c>
      <c r="D37">
        <v>8.0000000000000002E-3</v>
      </c>
      <c r="E37">
        <f t="shared" si="10"/>
        <v>1.7897627892542208E-34</v>
      </c>
      <c r="F37">
        <v>2.9000000000000001E-2</v>
      </c>
      <c r="G37">
        <f>P_smrt_vyliecenie_hosp_Y[[#This Row],[Column1]]/0.029</f>
        <v>1</v>
      </c>
      <c r="N37" s="6">
        <v>34</v>
      </c>
      <c r="O37" s="7">
        <f>(P_smrt_vyliecenie_hosp_Y[[#This Row],[P_death]]-C36)/$C$41</f>
        <v>0</v>
      </c>
      <c r="P37">
        <f t="shared" si="7"/>
        <v>4.9691092006022468E-3</v>
      </c>
      <c r="Q37">
        <f t="shared" si="1"/>
        <v>4.254277336000015E-3</v>
      </c>
      <c r="R37">
        <f t="shared" si="2"/>
        <v>2.4808143124119674E-3</v>
      </c>
      <c r="S37">
        <f t="shared" si="3"/>
        <v>6.7153544114182187E-3</v>
      </c>
      <c r="T37">
        <f>P_smrt_vyliecenie_hosp_Y[[#This Row],[Column2]]-G36</f>
        <v>0</v>
      </c>
      <c r="U37">
        <f t="shared" si="4"/>
        <v>6.2021003567700947E-2</v>
      </c>
      <c r="V37">
        <f t="shared" si="5"/>
        <v>1.0007334651214235E-2</v>
      </c>
      <c r="X37">
        <f>(P_smrt_vyliecenie_hosp_Y[[#This Row],[P_rec]]-B36)/$B$41</f>
        <v>2.0597322348094769E-3</v>
      </c>
      <c r="Y37">
        <f t="shared" si="8"/>
        <v>2.2887839837036428E-3</v>
      </c>
      <c r="Z37">
        <f t="shared" si="9"/>
        <v>2.3615516867967557E-3</v>
      </c>
      <c r="AA37">
        <f t="shared" si="0"/>
        <v>2.063032451890611E-4</v>
      </c>
      <c r="AB37">
        <f t="shared" si="6"/>
        <v>2.0663427452120153E-4</v>
      </c>
    </row>
    <row r="38" spans="1:28" x14ac:dyDescent="0.35">
      <c r="A38">
        <v>35</v>
      </c>
      <c r="B38">
        <v>0.96599999999999997</v>
      </c>
      <c r="C38">
        <v>2.9000000000000001E-2</v>
      </c>
      <c r="D38">
        <v>5.0000000000000001E-3</v>
      </c>
      <c r="E38">
        <f t="shared" si="10"/>
        <v>1.4318102314033767E-36</v>
      </c>
      <c r="F38">
        <v>2.9000000000000001E-2</v>
      </c>
      <c r="G38">
        <f>P_smrt_vyliecenie_hosp_Y[[#This Row],[Column1]]/0.029</f>
        <v>1</v>
      </c>
      <c r="N38" s="6">
        <v>35</v>
      </c>
      <c r="O38" s="7">
        <f>(P_smrt_vyliecenie_hosp_Y[[#This Row],[P_death]]-C37)/$C$41</f>
        <v>0</v>
      </c>
      <c r="P38">
        <f t="shared" si="7"/>
        <v>2.7330100603312358E-3</v>
      </c>
      <c r="Q38">
        <f t="shared" si="1"/>
        <v>2.3398525348000084E-3</v>
      </c>
      <c r="R38">
        <f t="shared" si="2"/>
        <v>2.4118786847058199E-3</v>
      </c>
      <c r="S38">
        <f t="shared" si="3"/>
        <v>6.5287515007109356E-3</v>
      </c>
      <c r="T38">
        <f>P_smrt_vyliecenie_hosp_Y[[#This Row],[Column2]]-G37</f>
        <v>0</v>
      </c>
      <c r="U38">
        <f t="shared" si="4"/>
        <v>6.0669643695555421E-2</v>
      </c>
      <c r="V38">
        <f t="shared" si="5"/>
        <v>9.7892873817917031E-3</v>
      </c>
      <c r="X38">
        <f>(P_smrt_vyliecenie_hosp_Y[[#This Row],[P_rec]]-B37)/$B$41</f>
        <v>3.0895983522142151E-3</v>
      </c>
      <c r="Y38">
        <f t="shared" si="8"/>
        <v>2.7510743942962771E-3</v>
      </c>
      <c r="Z38">
        <f t="shared" si="9"/>
        <v>2.8385397759734402E-3</v>
      </c>
      <c r="AA38">
        <f t="shared" si="0"/>
        <v>1.5817258881939815E-4</v>
      </c>
      <c r="AB38">
        <f t="shared" si="6"/>
        <v>1.5842638883302289E-4</v>
      </c>
    </row>
    <row r="39" spans="1:28" x14ac:dyDescent="0.35">
      <c r="A39">
        <v>36</v>
      </c>
      <c r="B39">
        <v>0.96599999999999997</v>
      </c>
      <c r="C39">
        <v>2.9000000000000001E-2</v>
      </c>
      <c r="D39">
        <v>5.0000000000000001E-3</v>
      </c>
      <c r="E39">
        <f t="shared" si="10"/>
        <v>7.1590511570168833E-39</v>
      </c>
      <c r="F39">
        <v>2.9000000000000001E-2</v>
      </c>
      <c r="G39">
        <f>P_smrt_vyliecenie_hosp_Y[[#This Row],[Column1]]/0.029</f>
        <v>1</v>
      </c>
      <c r="N39" s="6">
        <v>36</v>
      </c>
      <c r="O39" s="7">
        <f>(P_smrt_vyliecenie_hosp_Y[[#This Row],[P_death]]-C38)/$C$41</f>
        <v>0</v>
      </c>
      <c r="P39">
        <f t="shared" si="7"/>
        <v>1.5031555331821798E-3</v>
      </c>
      <c r="Q39">
        <f t="shared" si="1"/>
        <v>1.2869188941400046E-3</v>
      </c>
      <c r="R39">
        <f t="shared" si="2"/>
        <v>2.3466693073806227E-3</v>
      </c>
      <c r="S39">
        <f t="shared" si="3"/>
        <v>6.3522352344609042E-3</v>
      </c>
      <c r="T39">
        <f>P_smrt_vyliecenie_hosp_Y[[#This Row],[Column2]]-G38</f>
        <v>0</v>
      </c>
      <c r="U39">
        <f t="shared" si="4"/>
        <v>5.9383563023203072E-2</v>
      </c>
      <c r="V39">
        <f t="shared" si="5"/>
        <v>9.5817731698902512E-3</v>
      </c>
      <c r="X39">
        <f>(P_smrt_vyliecenie_hosp_Y[[#This Row],[P_rec]]-B38)/$B$41</f>
        <v>0</v>
      </c>
      <c r="Y39">
        <f t="shared" si="8"/>
        <v>9.6287603800369697E-4</v>
      </c>
      <c r="Z39">
        <f t="shared" si="9"/>
        <v>9.9348892159070419E-4</v>
      </c>
      <c r="AA39">
        <f t="shared" si="0"/>
        <v>1.2112732136620445E-4</v>
      </c>
      <c r="AB39">
        <f t="shared" si="6"/>
        <v>1.2132167941548802E-4</v>
      </c>
    </row>
    <row r="40" spans="1:28" x14ac:dyDescent="0.35">
      <c r="A40">
        <v>37</v>
      </c>
      <c r="B40">
        <v>0.96599999999999997</v>
      </c>
      <c r="C40">
        <v>2.9000000000000001E-2</v>
      </c>
      <c r="D40">
        <v>5.0000000000000001E-3</v>
      </c>
      <c r="E40">
        <f t="shared" si="10"/>
        <v>3.5795255785084417E-41</v>
      </c>
      <c r="F40">
        <v>2.9000000000000001E-2</v>
      </c>
      <c r="G40">
        <f>P_smrt_vyliecenie_hosp_Y[[#This Row],[Column1]]/0.029</f>
        <v>1</v>
      </c>
      <c r="N40" s="6">
        <v>37</v>
      </c>
      <c r="O40" s="7">
        <f>(P_smrt_vyliecenie_hosp_Y[[#This Row],[P_death]]-C39)/$C$41</f>
        <v>0</v>
      </c>
      <c r="P40">
        <f t="shared" si="7"/>
        <v>8.2673554325019894E-4</v>
      </c>
      <c r="Q40">
        <f t="shared" si="1"/>
        <v>7.0780539177700259E-4</v>
      </c>
      <c r="R40">
        <f t="shared" si="2"/>
        <v>2.2848920027747181E-3</v>
      </c>
      <c r="S40">
        <f t="shared" si="3"/>
        <v>6.1850092986320167E-3</v>
      </c>
      <c r="T40">
        <f>P_smrt_vyliecenie_hosp_Y[[#This Row],[Column2]]-G39</f>
        <v>0</v>
      </c>
      <c r="U40">
        <f t="shared" si="4"/>
        <v>5.8157968439847399E-2</v>
      </c>
      <c r="V40">
        <f t="shared" si="5"/>
        <v>9.3840186280926881E-3</v>
      </c>
      <c r="X40">
        <f>(P_smrt_vyliecenie_hosp_Y[[#This Row],[P_rec]]-B39)/$B$41</f>
        <v>0</v>
      </c>
      <c r="Y40">
        <f t="shared" si="8"/>
        <v>3.3700661330129391E-4</v>
      </c>
      <c r="Z40">
        <f t="shared" si="9"/>
        <v>3.4772112255674644E-4</v>
      </c>
      <c r="AA40">
        <f t="shared" si="0"/>
        <v>9.2654585104609956E-5</v>
      </c>
      <c r="AB40">
        <f t="shared" si="6"/>
        <v>9.2803256471358554E-5</v>
      </c>
    </row>
    <row r="41" spans="1:28" x14ac:dyDescent="0.35">
      <c r="A41">
        <v>38</v>
      </c>
      <c r="B41">
        <v>0.97099999999999997</v>
      </c>
      <c r="C41">
        <v>2.9000000000000001E-2</v>
      </c>
      <c r="D41">
        <v>0</v>
      </c>
      <c r="E41">
        <f>D40*E40</f>
        <v>1.7897627892542209E-43</v>
      </c>
      <c r="F41">
        <v>2.9000000000000001E-2</v>
      </c>
      <c r="G41">
        <f>P_smrt_vyliecenie_hosp_Y[[#This Row],[Column1]]/0.029</f>
        <v>1</v>
      </c>
      <c r="N41" s="6">
        <v>38</v>
      </c>
      <c r="O41" s="7">
        <f>(P_smrt_vyliecenie_hosp_Y[[#This Row],[P_death]]-C40)/$C$41</f>
        <v>0</v>
      </c>
      <c r="P41">
        <f t="shared" si="7"/>
        <v>4.5470454878760943E-4</v>
      </c>
      <c r="Q41">
        <f t="shared" si="1"/>
        <v>3.8929296547735145E-4</v>
      </c>
      <c r="R41">
        <f t="shared" si="2"/>
        <v>2.2262827652943145E-3</v>
      </c>
      <c r="S41">
        <f t="shared" si="3"/>
        <v>6.0263590524226472E-3</v>
      </c>
      <c r="T41">
        <f>P_smrt_vyliecenie_hosp_Y[[#This Row],[Column2]]-G40</f>
        <v>0</v>
      </c>
      <c r="U41">
        <f t="shared" si="4"/>
        <v>5.6988532974428824E-2</v>
      </c>
      <c r="V41">
        <f t="shared" si="5"/>
        <v>9.1953255824752077E-3</v>
      </c>
      <c r="X41">
        <f>(P_smrt_vyliecenie_hosp_Y[[#This Row],[P_rec]]-B40)/$B$41</f>
        <v>5.1493305870236915E-3</v>
      </c>
      <c r="Y41">
        <f t="shared" si="8"/>
        <v>3.3679523146554558E-3</v>
      </c>
      <c r="Z41">
        <f t="shared" si="9"/>
        <v>3.4750302022191538E-3</v>
      </c>
      <c r="AA41">
        <f t="shared" si="0"/>
        <v>7.0799723160573142E-5</v>
      </c>
      <c r="AB41">
        <f t="shared" si="6"/>
        <v>7.0913326730173289E-5</v>
      </c>
    </row>
    <row r="42" spans="1:28" x14ac:dyDescent="0.35">
      <c r="B42">
        <f>SUMPRODUCT(P_smrt_vyliecenie_hosp_Y[P_rec],P_smrt_vyliecenie_hosp_Y[P_cont_cum])</f>
        <v>0.94848169283601969</v>
      </c>
      <c r="C42">
        <f>SUMPRODUCT(P_smrt_vyliecenie_hosp_Y[P_death],P_smrt_vyliecenie_hosp_Y[P_cont_cum])</f>
        <v>5.151830716398012E-2</v>
      </c>
      <c r="N42" t="s">
        <v>54</v>
      </c>
      <c r="O42" s="8">
        <f t="shared" ref="O42:V42" si="11">SUM(O3:O41)</f>
        <v>1.0000000000000002</v>
      </c>
      <c r="P42" s="8">
        <f t="shared" si="11"/>
        <v>1.1680266254748535</v>
      </c>
      <c r="Q42" s="8">
        <f t="shared" si="11"/>
        <v>1</v>
      </c>
      <c r="R42" s="8">
        <f t="shared" si="11"/>
        <v>0.36942418231773461</v>
      </c>
      <c r="S42" s="8">
        <f t="shared" si="11"/>
        <v>1</v>
      </c>
      <c r="T42" s="8">
        <f t="shared" si="11"/>
        <v>1</v>
      </c>
      <c r="U42" s="8">
        <f t="shared" si="11"/>
        <v>6.1975546665840398</v>
      </c>
      <c r="V42" s="8">
        <f t="shared" si="11"/>
        <v>0.99999999999999989</v>
      </c>
      <c r="W42" s="8"/>
      <c r="X42" s="8">
        <f>SUM(X3:X41)</f>
        <v>1</v>
      </c>
      <c r="Y42" s="8">
        <f>SUM(Y3:Y41)</f>
        <v>0.96918648721518508</v>
      </c>
      <c r="Z42" s="8">
        <f>SUM(Z3:Z41)</f>
        <v>1.0000000000000002</v>
      </c>
      <c r="AA42" s="8">
        <f>SUM(AA3:AA41)</f>
        <v>0.99839799407476093</v>
      </c>
      <c r="AB42" s="8">
        <f>SUM(AB3:AB41)</f>
        <v>1</v>
      </c>
    </row>
    <row r="43" spans="1:28" x14ac:dyDescent="0.35">
      <c r="B43">
        <f>SUMPRODUCT(P_smrt_vyliecenie_hosp_Y[P_rec],P_smrt_vyliecenie_hosp_Y[P_cont_cum],P_smrt_vyliecenie_hosp_Y[day])/P_smrt_vyliecenie_hosp_Y[[#Totals],[P_rec]]</f>
        <v>4.5640142304033455</v>
      </c>
      <c r="C43">
        <f>SUMPRODUCT(P_smrt_vyliecenie_hosp_Y[day],P_smrt_vyliecenie_hosp_Y[P_death],P_smrt_vyliecenie_hosp_Y[P_cont_cum])/P_smrt_vyliecenie_hosp_Y[[#Totals],[P_death]]</f>
        <v>3.407570328175872</v>
      </c>
      <c r="O43" s="8">
        <f>SUMPRODUCT(O3:O41,N3:N41)</f>
        <v>10.620689655172415</v>
      </c>
      <c r="Q43" s="9"/>
      <c r="R43" s="16"/>
      <c r="S43" s="16">
        <f>SUMPRODUCT(S3:S41,N3:N41)</f>
        <v>8.1678339084688663</v>
      </c>
      <c r="T43" s="17"/>
      <c r="U43" s="17" t="s">
        <v>24</v>
      </c>
      <c r="V43" s="16">
        <f>SUMPRODUCT(N3:N41,V3:V41)</f>
        <v>10.607636679086083</v>
      </c>
      <c r="W43" s="16"/>
    </row>
    <row r="44" spans="1:28" x14ac:dyDescent="0.35">
      <c r="B44">
        <f>P_smrt_vyliecenie_hosp_Y[[#Totals],[P_rec]]/B43</f>
        <v>0.20781742671126541</v>
      </c>
      <c r="C44">
        <f>P_smrt_vyliecenie_hosp_Y[[#Totals],[P_death]]/C43</f>
        <v>1.5118780304545823E-2</v>
      </c>
      <c r="Q44" s="9"/>
      <c r="R44" s="9"/>
      <c r="S44" s="9"/>
      <c r="T44" s="9"/>
      <c r="U44" s="9"/>
      <c r="V44" s="9"/>
      <c r="W44" s="9"/>
      <c r="AA44">
        <f>SUMPRODUCT(AA4:AA41,N4:N41)</f>
        <v>7.9532625519199849</v>
      </c>
      <c r="AB44" s="9"/>
    </row>
    <row r="45" spans="1:28" x14ac:dyDescent="0.35">
      <c r="AA45">
        <f>(SUMPRODUCT(N4:N41,N4:N41,AA4:AA41)-AA44^2)^0.5</f>
        <v>5.0617362442448064</v>
      </c>
      <c r="AB45" s="9"/>
    </row>
  </sheetData>
  <mergeCells count="2">
    <mergeCell ref="O1:V1"/>
    <mergeCell ref="X1:AB1"/>
  </mergeCells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14CE-AE6A-49D3-8A4D-846F0431249A}">
  <dimension ref="A1:AI61"/>
  <sheetViews>
    <sheetView tabSelected="1" topLeftCell="H10" workbookViewId="0">
      <selection activeCell="U25" sqref="U25"/>
    </sheetView>
  </sheetViews>
  <sheetFormatPr defaultRowHeight="14.5" x14ac:dyDescent="0.35"/>
  <cols>
    <col min="9" max="9" width="24.1796875" customWidth="1"/>
    <col min="14" max="14" width="8.90625" style="5"/>
    <col min="35" max="35" width="12" bestFit="1" customWidth="1"/>
  </cols>
  <sheetData>
    <row r="1" spans="1:35" x14ac:dyDescent="0.35">
      <c r="A1" t="s">
        <v>0</v>
      </c>
      <c r="B1" t="s">
        <v>7</v>
      </c>
      <c r="C1" t="s">
        <v>6</v>
      </c>
      <c r="D1" t="s">
        <v>8</v>
      </c>
      <c r="E1" t="s">
        <v>14</v>
      </c>
      <c r="F1" t="s">
        <v>6</v>
      </c>
      <c r="I1" s="2" t="s">
        <v>9</v>
      </c>
      <c r="N1" s="41" t="s">
        <v>20</v>
      </c>
      <c r="O1" s="41"/>
      <c r="P1" s="41"/>
      <c r="Q1" s="41"/>
      <c r="R1" s="41"/>
      <c r="S1" s="41"/>
      <c r="T1" s="41"/>
      <c r="U1" s="41"/>
      <c r="V1" s="32"/>
      <c r="W1" s="32"/>
      <c r="X1" s="32"/>
      <c r="Y1" s="32"/>
      <c r="Z1" s="32"/>
      <c r="AA1" s="32"/>
      <c r="AB1" s="32"/>
      <c r="AC1" s="32"/>
      <c r="AE1" s="42" t="s">
        <v>21</v>
      </c>
      <c r="AF1" s="42"/>
      <c r="AG1" s="42"/>
      <c r="AH1" s="42"/>
      <c r="AI1" s="42"/>
    </row>
    <row r="2" spans="1:35" x14ac:dyDescent="0.35">
      <c r="B2">
        <v>0</v>
      </c>
      <c r="C2">
        <v>0</v>
      </c>
      <c r="D2">
        <v>1</v>
      </c>
      <c r="F2">
        <v>0</v>
      </c>
      <c r="G2">
        <f>F2/$C$57</f>
        <v>0</v>
      </c>
      <c r="I2" s="1" t="s">
        <v>22</v>
      </c>
      <c r="J2">
        <v>0.5</v>
      </c>
      <c r="N2" s="11" t="s">
        <v>18</v>
      </c>
      <c r="O2" s="11"/>
      <c r="P2" s="11" t="s">
        <v>19</v>
      </c>
      <c r="Q2" s="11"/>
      <c r="R2" s="11" t="s">
        <v>51</v>
      </c>
      <c r="S2" s="11" t="s">
        <v>52</v>
      </c>
      <c r="T2" s="11"/>
      <c r="U2" s="11" t="s">
        <v>53</v>
      </c>
      <c r="V2" s="11"/>
      <c r="W2" s="40" t="s">
        <v>63</v>
      </c>
      <c r="X2" s="11"/>
      <c r="Y2" s="11" t="s">
        <v>67</v>
      </c>
      <c r="Z2" s="11"/>
      <c r="AA2" s="11" t="s">
        <v>69</v>
      </c>
      <c r="AB2" s="11"/>
      <c r="AC2" s="11" t="s">
        <v>70</v>
      </c>
      <c r="AE2" s="11" t="s">
        <v>18</v>
      </c>
      <c r="AF2" s="11"/>
      <c r="AG2" s="11" t="s">
        <v>19</v>
      </c>
      <c r="AH2" s="11"/>
      <c r="AI2" s="11" t="s">
        <v>59</v>
      </c>
    </row>
    <row r="3" spans="1:35" x14ac:dyDescent="0.35">
      <c r="A3">
        <v>0</v>
      </c>
      <c r="B3">
        <v>0</v>
      </c>
      <c r="C3">
        <v>1.6E-2</v>
      </c>
      <c r="D3">
        <v>0.98399999999999999</v>
      </c>
      <c r="E3">
        <f>1</f>
        <v>1</v>
      </c>
      <c r="F3">
        <v>1.6E-2</v>
      </c>
      <c r="G3">
        <f>F3/$C$57</f>
        <v>7.3732718894009217E-2</v>
      </c>
      <c r="I3" s="33" t="s">
        <v>55</v>
      </c>
      <c r="J3" s="34">
        <v>0.95</v>
      </c>
      <c r="M3">
        <v>0</v>
      </c>
      <c r="N3" s="37">
        <f>(P_smrt_vyliecenie_hosp_O[[#This Row],[P_death]]-C2)/$C$57</f>
        <v>7.3732718894009217E-2</v>
      </c>
      <c r="O3" s="12">
        <f>N3</f>
        <v>7.3732718894009217E-2</v>
      </c>
      <c r="P3" s="12">
        <f>O3/$O$58</f>
        <v>6.8669530787908856E-2</v>
      </c>
      <c r="Q3" s="12">
        <f>-1/LN(1-$J$3)*$J$3^(1+M3)/(1+M3)</f>
        <v>0.31711779066056744</v>
      </c>
      <c r="R3" s="13">
        <f>Q3/$Q$58</f>
        <v>0.31880645469603291</v>
      </c>
      <c r="S3" s="12">
        <f>G3</f>
        <v>7.3732718894009217E-2</v>
      </c>
      <c r="T3" s="13">
        <f>1/(1+M3)^$J$4</f>
        <v>1</v>
      </c>
      <c r="U3" s="12">
        <f>T3/$T$58</f>
        <v>0.27739720314276806</v>
      </c>
      <c r="V3" s="13">
        <f>$K$7*1*EXP(-($M3/$J$5)^$J$7)+0.003</f>
        <v>7.9084196646148339E-2</v>
      </c>
      <c r="W3" s="13">
        <f>V3/$V$58</f>
        <v>7.6542779527380103E-2</v>
      </c>
      <c r="X3" s="13">
        <f>J$8*J$9*EXP(J$8*M3)*J$10^J$9/(J$10-1+EXP(J$8*M3))^(J$9+1)</f>
        <v>5.0999999999999997E-2</v>
      </c>
      <c r="Y3" s="13">
        <f>X3/X$58</f>
        <v>4.9771042979572536E-2</v>
      </c>
      <c r="Z3" s="13">
        <f>AC3</f>
        <v>9.4839806792424985E-2</v>
      </c>
      <c r="AA3" s="13">
        <f>Z3/$Z$58</f>
        <v>8.0373918371226885E-2</v>
      </c>
      <c r="AB3" s="13">
        <f>$K$14*1*EXP(-($M3/$J$12)^$J$14)+0.003</f>
        <v>7.9084196646148339E-2</v>
      </c>
      <c r="AC3" s="13">
        <f>AB3/AB$58</f>
        <v>9.4839806792424985E-2</v>
      </c>
      <c r="AE3" s="15">
        <f>(B3-B2)/$B$57</f>
        <v>0</v>
      </c>
      <c r="AF3" s="13">
        <f>AE3</f>
        <v>0</v>
      </c>
      <c r="AG3" s="13">
        <f>AF3/$AF$58</f>
        <v>0</v>
      </c>
      <c r="AH3" s="13">
        <f>_xlfn.GAMMA.DIST(M3,$J$17,$J$18,FALSE)</f>
        <v>0</v>
      </c>
      <c r="AI3" s="14">
        <f>AH3/$AH$58</f>
        <v>0</v>
      </c>
    </row>
    <row r="4" spans="1:35" x14ac:dyDescent="0.35">
      <c r="A4">
        <v>1</v>
      </c>
      <c r="B4">
        <v>1.6E-2</v>
      </c>
      <c r="C4">
        <v>2.9000000000000001E-2</v>
      </c>
      <c r="D4">
        <v>0.95399999999999996</v>
      </c>
      <c r="E4">
        <f>D3*E3</f>
        <v>0.98399999999999999</v>
      </c>
      <c r="F4">
        <v>2.9000000000000001E-2</v>
      </c>
      <c r="G4">
        <f>F4/$C$57</f>
        <v>0.13364055299539171</v>
      </c>
      <c r="I4" s="38" t="s">
        <v>56</v>
      </c>
      <c r="J4" s="39">
        <v>1.1499999999999999</v>
      </c>
      <c r="M4">
        <v>1</v>
      </c>
      <c r="N4" s="37">
        <f>(P_smrt_vyliecenie_hosp_O[[#This Row],[P_death]]-C3)/$C$57</f>
        <v>5.9907834101382493E-2</v>
      </c>
      <c r="O4" s="13">
        <f>J$2*N4+(1-J$2)*O3</f>
        <v>6.6820276497695855E-2</v>
      </c>
      <c r="P4" s="13">
        <f>O4/$O$58</f>
        <v>6.2231762276542396E-2</v>
      </c>
      <c r="Q4" s="13">
        <f t="shared" ref="Q4:Q11" si="0">-1/LN(1-$J$3)*$J$3^(1+M4)/(1+M4)</f>
        <v>0.15063095056376954</v>
      </c>
      <c r="R4" s="13">
        <f>Q4/$Q$58</f>
        <v>0.15143306598061565</v>
      </c>
      <c r="S4" s="13">
        <f>G4-old!G3</f>
        <v>5.9907834101382493E-2</v>
      </c>
      <c r="T4" s="13">
        <f t="shared" ref="T4:T11" si="1">1/(1+M4)^$J$4</f>
        <v>0.45062523130541521</v>
      </c>
      <c r="U4" s="13">
        <f>T4/$T$58</f>
        <v>0.12500217882968509</v>
      </c>
      <c r="V4" s="13">
        <f>$K$7*$M4^($J$6-1)*EXP(-($M4/$J$5)^$J$7)</f>
        <v>7.6084143060350717E-2</v>
      </c>
      <c r="W4" s="13">
        <f>V4/$V$58</f>
        <v>7.3639134426001715E-2</v>
      </c>
      <c r="X4" s="13">
        <f t="shared" ref="X4:X11" si="2">J$8*J$9*EXP(J$8*M4)*J$10^J$9/(J$10-1+EXP(J$8*M4))^(J$9+1)</f>
        <v>6.0746286770943195E-2</v>
      </c>
      <c r="Y4" s="13">
        <f>X4/X$58</f>
        <v>5.9282471563255931E-2</v>
      </c>
      <c r="Z4" s="13">
        <f>AC4</f>
        <v>9.1241987126590582E-2</v>
      </c>
      <c r="AA4" s="13">
        <f>Z4/$Z$58</f>
        <v>7.7324873103040342E-2</v>
      </c>
      <c r="AB4" s="13">
        <f>$K$14*$M4^($J$13-1)*EXP(-($M4/$J$12)^$J$14)</f>
        <v>7.6084077945221665E-2</v>
      </c>
      <c r="AC4" s="13">
        <f t="shared" ref="AC4:AC57" si="3">AB4/AB$58</f>
        <v>9.1241987126590582E-2</v>
      </c>
      <c r="AE4" s="15">
        <f>(B4-B3)/$B$57</f>
        <v>2.0434227330779056E-2</v>
      </c>
      <c r="AF4" s="13">
        <f>AE4*$J$16+(1-$J$16)*AF3</f>
        <v>1.0217113665389528E-2</v>
      </c>
      <c r="AG4" s="13">
        <f>AF4/$AF$58</f>
        <v>1.0217145035599158E-2</v>
      </c>
      <c r="AH4" s="13">
        <f>_xlfn.GAMMA.DIST(M4,$J$17,$J$18,FALSE)</f>
        <v>2.7754767119683907E-3</v>
      </c>
      <c r="AI4" s="14">
        <f>AH4/$AH$58</f>
        <v>2.7754867056540493E-3</v>
      </c>
    </row>
    <row r="5" spans="1:35" x14ac:dyDescent="0.35">
      <c r="A5">
        <v>2</v>
      </c>
      <c r="B5">
        <v>4.3999999999999997E-2</v>
      </c>
      <c r="C5">
        <v>4.7E-2</v>
      </c>
      <c r="D5">
        <v>0.90900000000000003</v>
      </c>
      <c r="E5">
        <f t="shared" ref="E5:E57" si="4">D4*E4</f>
        <v>0.9387359999999999</v>
      </c>
      <c r="F5">
        <v>4.7E-2</v>
      </c>
      <c r="G5">
        <f>F5/$C$57</f>
        <v>0.21658986175115208</v>
      </c>
      <c r="I5" s="1" t="s">
        <v>60</v>
      </c>
      <c r="J5">
        <v>17</v>
      </c>
      <c r="K5">
        <f>($J$7/$J$5^$J$6)</f>
        <v>0.39045049261427023</v>
      </c>
      <c r="M5">
        <v>2</v>
      </c>
      <c r="N5" s="37">
        <f>(P_smrt_vyliecenie_hosp_O[[#This Row],[P_death]]-C4)/$C$57</f>
        <v>8.2949308755760356E-2</v>
      </c>
      <c r="O5" s="13">
        <f t="shared" ref="O5:O11" si="5">J$2*N5+(1-J$2)*O4</f>
        <v>7.4884792626728106E-2</v>
      </c>
      <c r="P5" s="13">
        <f>O5/$O$58</f>
        <v>6.9742492206469928E-2</v>
      </c>
      <c r="Q5" s="13">
        <f t="shared" si="0"/>
        <v>9.5399602023720706E-2</v>
      </c>
      <c r="R5" s="13">
        <f>Q5/$Q$58</f>
        <v>9.5907608454389906E-2</v>
      </c>
      <c r="S5" s="13">
        <f>G5-old!G4</f>
        <v>8.294930875576037E-2</v>
      </c>
      <c r="T5" s="13">
        <f t="shared" si="1"/>
        <v>0.28269007240456118</v>
      </c>
      <c r="U5" s="13">
        <f>T5/$T$58</f>
        <v>7.8417435441251862E-2</v>
      </c>
      <c r="V5" s="13">
        <f t="shared" ref="V5:V11" si="6">$K$7*$M5^($J$6-1)*EXP(-($M5/$J$5)^$J$7)</f>
        <v>7.0987465708750128E-2</v>
      </c>
      <c r="W5" s="13">
        <f>V5/$V$58</f>
        <v>6.8706241795236711E-2</v>
      </c>
      <c r="X5" s="13">
        <f t="shared" si="2"/>
        <v>7.01199191638152E-2</v>
      </c>
      <c r="Y5" s="13">
        <f>X5/X$58</f>
        <v>6.8430225694635263E-2</v>
      </c>
      <c r="Z5" s="13">
        <f>IF(AC5&gt;U5,AC5,U5)</f>
        <v>8.2227906145600119E-2</v>
      </c>
      <c r="AA5" s="13">
        <f>Z5/$Z$58</f>
        <v>6.968570729850157E-2</v>
      </c>
      <c r="AB5" s="13">
        <f t="shared" ref="AB5:AB57" si="7">$K$14*$M5^($J$13-1)*EXP(-($M5/$J$12)^$J$14)</f>
        <v>6.8567494171013738E-2</v>
      </c>
      <c r="AC5" s="13">
        <f t="shared" si="3"/>
        <v>8.2227906145600119E-2</v>
      </c>
      <c r="AE5" s="15">
        <f>(B5-B4)/$B$57</f>
        <v>3.5759897828863338E-2</v>
      </c>
      <c r="AF5" s="13">
        <f>AE5*$J$16+(1-$J$16)*AF4</f>
        <v>2.2988505747126433E-2</v>
      </c>
      <c r="AG5" s="13">
        <f>AF5/$AF$58</f>
        <v>2.2988576330098098E-2</v>
      </c>
      <c r="AH5" s="13">
        <f>_xlfn.GAMMA.DIST(M5,$J$17,$J$18,FALSE)</f>
        <v>1.2456522161216376E-2</v>
      </c>
      <c r="AI5" s="14">
        <f>AH5/$AH$58</f>
        <v>1.2456567013535383E-2</v>
      </c>
    </row>
    <row r="6" spans="1:35" x14ac:dyDescent="0.35">
      <c r="A6">
        <v>3</v>
      </c>
      <c r="B6">
        <v>8.5999999999999993E-2</v>
      </c>
      <c r="C6">
        <v>5.8999999999999997E-2</v>
      </c>
      <c r="D6">
        <v>0.85499999999999998</v>
      </c>
      <c r="E6">
        <f t="shared" si="4"/>
        <v>0.85331102399999992</v>
      </c>
      <c r="F6">
        <v>5.8999999999999997E-2</v>
      </c>
      <c r="G6">
        <f>F6/$C$57</f>
        <v>0.27188940092165897</v>
      </c>
      <c r="I6" s="1" t="s">
        <v>61</v>
      </c>
      <c r="J6">
        <v>0.9</v>
      </c>
      <c r="K6">
        <f>_xlfn.GAMMA($J$6/$J$7)</f>
        <v>5.1318211905446498</v>
      </c>
      <c r="M6">
        <v>3</v>
      </c>
      <c r="N6" s="37">
        <f>(P_smrt_vyliecenie_hosp_O[[#This Row],[P_death]]-C5)/$C$57</f>
        <v>5.5299539170506895E-2</v>
      </c>
      <c r="O6" s="13">
        <f t="shared" si="5"/>
        <v>6.5092165898617493E-2</v>
      </c>
      <c r="P6" s="13">
        <f>O6/$O$58</f>
        <v>6.0622320148700767E-2</v>
      </c>
      <c r="Q6" s="13">
        <f t="shared" si="0"/>
        <v>6.7972216441901004E-2</v>
      </c>
      <c r="R6" s="13">
        <f>Q6/$Q$58</f>
        <v>6.8334171023752804E-2</v>
      </c>
      <c r="S6" s="13">
        <f>G6-old!G5</f>
        <v>5.5299539170506895E-2</v>
      </c>
      <c r="T6" s="13">
        <f t="shared" si="1"/>
        <v>0.20306309908905892</v>
      </c>
      <c r="U6" s="13">
        <f>T6/$T$58</f>
        <v>5.6329135748807713E-2</v>
      </c>
      <c r="V6" s="13">
        <f t="shared" si="6"/>
        <v>6.81566140518374E-2</v>
      </c>
      <c r="W6" s="13">
        <f>V6/$V$58</f>
        <v>6.5966361219357561E-2</v>
      </c>
      <c r="X6" s="13">
        <f t="shared" si="2"/>
        <v>7.8099620401431744E-2</v>
      </c>
      <c r="Y6" s="13">
        <f>X6/X$58</f>
        <v>7.6217638503685486E-2</v>
      </c>
      <c r="Z6" s="13">
        <f t="shared" ref="Z6:Z57" si="8">IF(AC6&gt;U6,AC6,U6)</f>
        <v>7.7350402624122627E-2</v>
      </c>
      <c r="AA6" s="13">
        <f>Z6/$Z$58</f>
        <v>6.5552167984691892E-2</v>
      </c>
      <c r="AB6" s="13">
        <f t="shared" si="7"/>
        <v>6.4500283780348791E-2</v>
      </c>
      <c r="AC6" s="13">
        <f t="shared" si="3"/>
        <v>7.7350402624122627E-2</v>
      </c>
      <c r="AE6" s="15">
        <f>(B6-B5)/$B$57</f>
        <v>5.3639846743295014E-2</v>
      </c>
      <c r="AF6" s="13">
        <f>AE6*$J$16+(1-$J$16)*AF5</f>
        <v>3.8314176245210725E-2</v>
      </c>
      <c r="AG6" s="13">
        <f>AF6/$AF$58</f>
        <v>3.8314293883496837E-2</v>
      </c>
      <c r="AH6" s="13">
        <f>_xlfn.GAMMA.DIST(M6,$J$17,$J$18,FALSE)</f>
        <v>2.6385535930247565E-2</v>
      </c>
      <c r="AI6" s="14">
        <f>AH6/$AH$58</f>
        <v>2.6385630936900255E-2</v>
      </c>
    </row>
    <row r="7" spans="1:35" x14ac:dyDescent="0.35">
      <c r="A7">
        <v>4</v>
      </c>
      <c r="B7">
        <v>0.124</v>
      </c>
      <c r="C7">
        <v>7.1999999999999995E-2</v>
      </c>
      <c r="D7">
        <v>0.80500000000000005</v>
      </c>
      <c r="E7">
        <f t="shared" si="4"/>
        <v>0.72958092551999987</v>
      </c>
      <c r="F7">
        <v>7.1999999999999995E-2</v>
      </c>
      <c r="G7">
        <f>F7/$C$57</f>
        <v>0.33179723502304143</v>
      </c>
      <c r="I7" s="1" t="s">
        <v>62</v>
      </c>
      <c r="J7">
        <v>5</v>
      </c>
      <c r="K7">
        <f>K5/K6</f>
        <v>7.6084196646148336E-2</v>
      </c>
      <c r="M7">
        <v>4</v>
      </c>
      <c r="N7" s="37">
        <f>(P_smrt_vyliecenie_hosp_O[[#This Row],[P_death]]-C6)/$C$57</f>
        <v>5.9907834101382479E-2</v>
      </c>
      <c r="O7" s="13">
        <f t="shared" si="5"/>
        <v>6.2499999999999986E-2</v>
      </c>
      <c r="P7" s="13">
        <f>O7/$O$58</f>
        <v>5.8208156956938352E-2</v>
      </c>
      <c r="Q7" s="13">
        <f t="shared" si="0"/>
        <v>5.165888449584477E-2</v>
      </c>
      <c r="R7" s="13">
        <f>Q7/$Q$58</f>
        <v>5.1933969978052136E-2</v>
      </c>
      <c r="S7" s="13">
        <f>G7-old!G6</f>
        <v>5.9907834101382451E-2</v>
      </c>
      <c r="T7" s="13">
        <f t="shared" si="1"/>
        <v>0.15710300604635288</v>
      </c>
      <c r="U7" s="13">
        <f>T7/$T$58</f>
        <v>4.3579934482579664E-2</v>
      </c>
      <c r="V7" s="13">
        <f t="shared" si="6"/>
        <v>6.6187388726854382E-2</v>
      </c>
      <c r="W7" s="13">
        <f>V7/$V$58</f>
        <v>6.4060418107052458E-2</v>
      </c>
      <c r="X7" s="13">
        <f t="shared" si="2"/>
        <v>8.3648802695582794E-2</v>
      </c>
      <c r="Y7" s="13">
        <f>X7/X$58</f>
        <v>8.1633101061796762E-2</v>
      </c>
      <c r="Z7" s="13">
        <f t="shared" si="8"/>
        <v>7.3993334296649324E-2</v>
      </c>
      <c r="AA7" s="13">
        <f>Z7/$Z$58</f>
        <v>6.2707152322549892E-2</v>
      </c>
      <c r="AB7" s="13">
        <f t="shared" si="7"/>
        <v>6.1700920720220119E-2</v>
      </c>
      <c r="AC7" s="13">
        <f t="shared" si="3"/>
        <v>7.3993334296649324E-2</v>
      </c>
      <c r="AE7" s="15">
        <f>(B7-B6)/$B$57</f>
        <v>4.853128991060026E-2</v>
      </c>
      <c r="AF7" s="13">
        <f>AE7*$J$16+(1-$J$16)*AF6</f>
        <v>4.3422733077905493E-2</v>
      </c>
      <c r="AG7" s="13">
        <f>AF7/$AF$58</f>
        <v>4.3422866401296417E-2</v>
      </c>
      <c r="AH7" s="13">
        <f>_xlfn.GAMMA.DIST(M7,$J$17,$J$18,FALSE)</f>
        <v>4.1098592697829041E-2</v>
      </c>
      <c r="AI7" s="14">
        <f>AH7/$AH$58</f>
        <v>4.1098740681926572E-2</v>
      </c>
    </row>
    <row r="8" spans="1:35" x14ac:dyDescent="0.35">
      <c r="A8">
        <v>5</v>
      </c>
      <c r="B8">
        <v>0.16500000000000001</v>
      </c>
      <c r="C8">
        <v>8.3000000000000004E-2</v>
      </c>
      <c r="D8">
        <v>0.751</v>
      </c>
      <c r="E8">
        <f t="shared" si="4"/>
        <v>0.58731264504359992</v>
      </c>
      <c r="F8">
        <v>8.3000000000000004E-2</v>
      </c>
      <c r="G8">
        <f>F8/$C$57</f>
        <v>0.38248847926267282</v>
      </c>
      <c r="I8" s="1" t="s">
        <v>64</v>
      </c>
      <c r="J8">
        <v>0.3</v>
      </c>
      <c r="M8">
        <v>5</v>
      </c>
      <c r="N8" s="37">
        <f>(P_smrt_vyliecenie_hosp_O[[#This Row],[P_death]]-C7)/$C$57</f>
        <v>5.0691244239631381E-2</v>
      </c>
      <c r="O8" s="13">
        <f t="shared" si="5"/>
        <v>5.6595622119815683E-2</v>
      </c>
      <c r="P8" s="13">
        <f>O8/$O$58</f>
        <v>5.270922968681286E-2</v>
      </c>
      <c r="Q8" s="13">
        <f t="shared" si="0"/>
        <v>4.0896616892543765E-2</v>
      </c>
      <c r="R8" s="13">
        <f>Q8/$Q$58</f>
        <v>4.1114392899291266E-2</v>
      </c>
      <c r="S8" s="13">
        <f>G8-old!G7</f>
        <v>5.0691244239631394E-2</v>
      </c>
      <c r="T8" s="13">
        <f t="shared" si="1"/>
        <v>0.12738727926504995</v>
      </c>
      <c r="U8" s="13">
        <f>T8/$T$58</f>
        <v>3.5336874984091583E-2</v>
      </c>
      <c r="V8" s="13">
        <f t="shared" si="6"/>
        <v>6.463110914393666E-2</v>
      </c>
      <c r="W8" s="13">
        <f>V8/$V$58</f>
        <v>6.2554150482798401E-2</v>
      </c>
      <c r="X8" s="13">
        <f t="shared" si="2"/>
        <v>8.5983291032885267E-2</v>
      </c>
      <c r="Y8" s="13">
        <f>X8/X$58</f>
        <v>8.3911334774957394E-2</v>
      </c>
      <c r="Z8" s="13">
        <f t="shared" si="8"/>
        <v>7.1323484729319861E-2</v>
      </c>
      <c r="AA8" s="13">
        <f>Z8/$Z$58</f>
        <v>6.0444534140949663E-2</v>
      </c>
      <c r="AB8" s="13">
        <f t="shared" si="7"/>
        <v>5.9474609687549591E-2</v>
      </c>
      <c r="AC8" s="13">
        <f t="shared" si="3"/>
        <v>7.1323484729319861E-2</v>
      </c>
      <c r="AE8" s="15">
        <f>(B8-B7)/$B$57</f>
        <v>5.2362707535121338E-2</v>
      </c>
      <c r="AF8" s="13">
        <f>AE8*$J$16+(1-$J$16)*AF7</f>
        <v>4.7892720306513412E-2</v>
      </c>
      <c r="AG8" s="13">
        <f>AF8/$AF$58</f>
        <v>4.7892867354371045E-2</v>
      </c>
      <c r="AH8" s="13">
        <f>_xlfn.GAMMA.DIST(M8,$J$17,$J$18,FALSE)</f>
        <v>5.4091996787686489E-2</v>
      </c>
      <c r="AI8" s="14">
        <f>AH8/$AH$58</f>
        <v>5.4092191557258945E-2</v>
      </c>
    </row>
    <row r="9" spans="1:35" x14ac:dyDescent="0.35">
      <c r="A9">
        <v>6</v>
      </c>
      <c r="B9">
        <v>0.20499999999999999</v>
      </c>
      <c r="C9">
        <v>9.8000000000000004E-2</v>
      </c>
      <c r="D9">
        <v>0.69699999999999995</v>
      </c>
      <c r="E9">
        <f t="shared" si="4"/>
        <v>0.44107179642774352</v>
      </c>
      <c r="F9">
        <v>9.8000000000000004E-2</v>
      </c>
      <c r="G9">
        <f>F9/$C$57</f>
        <v>0.45161290322580649</v>
      </c>
      <c r="I9" s="1" t="s">
        <v>65</v>
      </c>
      <c r="J9">
        <v>0.85</v>
      </c>
      <c r="M9">
        <v>6</v>
      </c>
      <c r="N9" s="37">
        <f>(P_smrt_vyliecenie_hosp_O[[#This Row],[P_death]]-C8)/$C$57</f>
        <v>6.9124423963133633E-2</v>
      </c>
      <c r="O9" s="13">
        <f t="shared" si="5"/>
        <v>6.2860023041474658E-2</v>
      </c>
      <c r="P9" s="13">
        <f>O9/$O$58</f>
        <v>5.8543457400238703E-2</v>
      </c>
      <c r="Q9" s="13">
        <f t="shared" si="0"/>
        <v>3.3301530898214214E-2</v>
      </c>
      <c r="R9" s="13">
        <f>Q9/$Q$58</f>
        <v>3.3478862789422893E-2</v>
      </c>
      <c r="S9" s="13">
        <f>G9-old!G8</f>
        <v>6.9124423963133674E-2</v>
      </c>
      <c r="T9" s="13">
        <f t="shared" si="1"/>
        <v>0.10669332604486202</v>
      </c>
      <c r="U9" s="13">
        <f>T9/$T$58</f>
        <v>2.9596430238844174E-2</v>
      </c>
      <c r="V9" s="13">
        <f t="shared" si="6"/>
        <v>6.3255875900256997E-2</v>
      </c>
      <c r="W9" s="13">
        <f>V9/$V$58</f>
        <v>6.1223111167311807E-2</v>
      </c>
      <c r="X9" s="13">
        <f t="shared" si="2"/>
        <v>8.4803879675510799E-2</v>
      </c>
      <c r="Y9" s="13">
        <f>X9/X$58</f>
        <v>8.2760343924791105E-2</v>
      </c>
      <c r="Z9" s="13">
        <f t="shared" si="8"/>
        <v>6.8897594706085724E-2</v>
      </c>
      <c r="AA9" s="13">
        <f>Z9/$Z$58</f>
        <v>5.8388664424431351E-2</v>
      </c>
      <c r="AB9" s="13">
        <f t="shared" si="7"/>
        <v>5.7451729526487291E-2</v>
      </c>
      <c r="AC9" s="13">
        <f t="shared" si="3"/>
        <v>6.8897594706085724E-2</v>
      </c>
      <c r="AE9" s="15">
        <f>(B9-B8)/$B$57</f>
        <v>5.1085568326947613E-2</v>
      </c>
      <c r="AF9" s="13">
        <f>AE9*$J$16+(1-$J$16)*AF8</f>
        <v>4.9489144316730516E-2</v>
      </c>
      <c r="AG9" s="13">
        <f>AF9/$AF$58</f>
        <v>4.9489296266183404E-2</v>
      </c>
      <c r="AH9" s="13">
        <f>_xlfn.GAMMA.DIST(M9,$J$17,$J$18,FALSE)</f>
        <v>6.3998087286517916E-2</v>
      </c>
      <c r="AI9" s="14">
        <f>AH9/$AH$58</f>
        <v>6.3998317725045592E-2</v>
      </c>
    </row>
    <row r="10" spans="1:35" x14ac:dyDescent="0.35">
      <c r="A10">
        <v>7</v>
      </c>
      <c r="B10">
        <v>0.246</v>
      </c>
      <c r="C10">
        <v>0.112</v>
      </c>
      <c r="D10">
        <v>0.64300000000000002</v>
      </c>
      <c r="E10">
        <f t="shared" si="4"/>
        <v>0.30742704211013722</v>
      </c>
      <c r="F10">
        <v>0.112</v>
      </c>
      <c r="G10">
        <f>F10/$C$57</f>
        <v>0.5161290322580645</v>
      </c>
      <c r="I10" s="1" t="s">
        <v>66</v>
      </c>
      <c r="J10">
        <v>5</v>
      </c>
      <c r="M10">
        <v>7</v>
      </c>
      <c r="N10" s="37">
        <f>(P_smrt_vyliecenie_hosp_O[[#This Row],[P_death]]-C9)/$C$57</f>
        <v>6.4516129032258063E-2</v>
      </c>
      <c r="O10" s="13">
        <f t="shared" si="5"/>
        <v>6.3688076036866353E-2</v>
      </c>
      <c r="P10" s="13">
        <f>O10/$O$58</f>
        <v>5.9314648419829467E-2</v>
      </c>
      <c r="Q10" s="13">
        <f t="shared" si="0"/>
        <v>2.7681897559140564E-2</v>
      </c>
      <c r="R10" s="13">
        <f>Q10/$Q$58</f>
        <v>2.7829304693707778E-2</v>
      </c>
      <c r="S10" s="13">
        <f>G10-old!G9</f>
        <v>6.4516129032258007E-2</v>
      </c>
      <c r="T10" s="13">
        <f t="shared" si="1"/>
        <v>9.1505355996601645E-2</v>
      </c>
      <c r="U10" s="13">
        <f>T10/$T$58</f>
        <v>2.5383329826040614E-2</v>
      </c>
      <c r="V10" s="13">
        <f t="shared" si="6"/>
        <v>6.1893332215330138E-2</v>
      </c>
      <c r="W10" s="13">
        <f>V10/$V$58</f>
        <v>5.9904353624152772E-2</v>
      </c>
      <c r="X10" s="13">
        <f t="shared" si="2"/>
        <v>8.0380077891329782E-2</v>
      </c>
      <c r="Y10" s="13">
        <f>X10/X$58</f>
        <v>7.844314336138751E-2</v>
      </c>
      <c r="Z10" s="13">
        <f t="shared" si="8"/>
        <v>6.6380886253060253E-2</v>
      </c>
      <c r="AA10" s="13">
        <f>Z10/$Z$58</f>
        <v>5.6255828787066871E-2</v>
      </c>
      <c r="AB10" s="13">
        <f t="shared" si="7"/>
        <v>5.5353118479801913E-2</v>
      </c>
      <c r="AC10" s="13">
        <f t="shared" si="3"/>
        <v>6.6380886253060253E-2</v>
      </c>
      <c r="AE10" s="15">
        <f>(B10-B9)/$B$57</f>
        <v>5.2362707535121338E-2</v>
      </c>
      <c r="AF10" s="13">
        <f>AE10*$J$16+(1-$J$16)*AF9</f>
        <v>5.092592592592593E-2</v>
      </c>
      <c r="AG10" s="13">
        <f>AF10/$AF$58</f>
        <v>5.0926082286814549E-2</v>
      </c>
      <c r="AH10" s="13">
        <f>_xlfn.GAMMA.DIST(M10,$J$17,$J$18,FALSE)</f>
        <v>7.0350800577801381E-2</v>
      </c>
      <c r="AI10" s="14">
        <f>AH10/$AH$58</f>
        <v>7.0351053890604823E-2</v>
      </c>
    </row>
    <row r="11" spans="1:35" x14ac:dyDescent="0.35">
      <c r="A11">
        <v>8</v>
      </c>
      <c r="B11">
        <v>0.30099999999999999</v>
      </c>
      <c r="C11">
        <v>0.121</v>
      </c>
      <c r="D11">
        <v>0.57699999999999996</v>
      </c>
      <c r="E11">
        <f t="shared" si="4"/>
        <v>0.19767558807681823</v>
      </c>
      <c r="F11">
        <v>0.121</v>
      </c>
      <c r="G11">
        <f>F11/$C$57</f>
        <v>0.55760368663594473</v>
      </c>
      <c r="I11" s="1" t="s">
        <v>68</v>
      </c>
      <c r="J11">
        <v>0.5</v>
      </c>
      <c r="M11">
        <v>8</v>
      </c>
      <c r="N11" s="37">
        <f>(P_smrt_vyliecenie_hosp_O[[#This Row],[P_death]]-C10)/$C$57</f>
        <v>4.1474654377880157E-2</v>
      </c>
      <c r="O11" s="13">
        <f t="shared" si="5"/>
        <v>5.2581365207373255E-2</v>
      </c>
      <c r="P11" s="13">
        <f>O11/$O$58</f>
        <v>4.8970629744014088E-2</v>
      </c>
      <c r="Q11" s="13">
        <f t="shared" si="0"/>
        <v>2.3375824605496476E-2</v>
      </c>
      <c r="R11" s="13">
        <f>Q11/$Q$58</f>
        <v>2.3500301741353233E-2</v>
      </c>
      <c r="S11" s="13">
        <f>G11-old!G10</f>
        <v>4.1474654377880227E-2</v>
      </c>
      <c r="T11" s="13">
        <f t="shared" si="1"/>
        <v>7.9913677036096017E-2</v>
      </c>
      <c r="U11" s="13">
        <f>T11/$T$58</f>
        <v>2.2167830502667484E-2</v>
      </c>
      <c r="V11" s="13">
        <f t="shared" si="6"/>
        <v>6.0389668747486809E-2</v>
      </c>
      <c r="W11" s="13">
        <f>V11/$V$58</f>
        <v>5.8449011265204839E-2</v>
      </c>
      <c r="X11" s="13">
        <f t="shared" si="2"/>
        <v>7.3444989542535533E-2</v>
      </c>
      <c r="Y11" s="13">
        <f>X11/X$58</f>
        <v>7.1675171199133178E-2</v>
      </c>
      <c r="Z11" s="13">
        <f t="shared" si="8"/>
        <v>6.3464345461569038E-2</v>
      </c>
      <c r="AA11" s="13">
        <f>Z11/$Z$58</f>
        <v>5.378414712269225E-2</v>
      </c>
      <c r="AB11" s="13">
        <f t="shared" si="7"/>
        <v>5.2921098705809431E-2</v>
      </c>
      <c r="AC11" s="13">
        <f t="shared" si="3"/>
        <v>6.3464345461569038E-2</v>
      </c>
      <c r="AE11" s="15">
        <f>(B11-B10)/$B$57</f>
        <v>7.0242656449552993E-2</v>
      </c>
      <c r="AF11" s="13">
        <f>AE11*$J$16+(1-$J$16)*AF10</f>
        <v>6.0584291187739461E-2</v>
      </c>
      <c r="AG11" s="13">
        <f>AF11/$AF$58</f>
        <v>6.058447720327937E-2</v>
      </c>
      <c r="AH11" s="13">
        <f>_xlfn.GAMMA.DIST(M11,$J$17,$J$18,FALSE)</f>
        <v>7.3282276853293471E-2</v>
      </c>
      <c r="AI11" s="14">
        <f>AH11/$AH$58</f>
        <v>7.3282540721491707E-2</v>
      </c>
    </row>
    <row r="12" spans="1:35" x14ac:dyDescent="0.35">
      <c r="A12">
        <v>9</v>
      </c>
      <c r="B12">
        <v>0.35599999999999998</v>
      </c>
      <c r="C12">
        <v>0.13100000000000001</v>
      </c>
      <c r="D12">
        <v>0.51300000000000001</v>
      </c>
      <c r="E12">
        <f>D11*E11</f>
        <v>0.11405881432032411</v>
      </c>
      <c r="F12">
        <v>0.13100000000000001</v>
      </c>
      <c r="G12">
        <f>F12/$C$57</f>
        <v>0.60368663594470051</v>
      </c>
      <c r="I12" s="49" t="s">
        <v>60</v>
      </c>
      <c r="J12" s="50">
        <v>14.5</v>
      </c>
      <c r="K12">
        <f>($J$7/$J$5^$J$6)</f>
        <v>0.39045049261427023</v>
      </c>
      <c r="M12">
        <v>9</v>
      </c>
      <c r="N12" s="37">
        <f>(P_smrt_vyliecenie_hosp_O[[#This Row],[P_death]]-C11)/$C$57</f>
        <v>4.6082949308755804E-2</v>
      </c>
      <c r="O12" s="13">
        <f>J$2*N12+(1-J$2)*O11</f>
        <v>4.933215725806453E-2</v>
      </c>
      <c r="P12" s="13">
        <f>O12/$O$58</f>
        <v>4.5944543243228581E-2</v>
      </c>
      <c r="Q12" s="13">
        <f>-1/LN(1-$J$3)*$J$3^(1+M12)/(1+M12)</f>
        <v>1.9986330037699489E-2</v>
      </c>
      <c r="R12" s="13">
        <f>Q12/$Q$58</f>
        <v>2.0092757988857016E-2</v>
      </c>
      <c r="S12" s="13">
        <f>G12-old!G11</f>
        <v>4.6082949308755783E-2</v>
      </c>
      <c r="T12" s="13">
        <f>1/(1+M12)^$J$4</f>
        <v>7.0794578438413788E-2</v>
      </c>
      <c r="U12" s="13">
        <f>T12/$T$58</f>
        <v>1.9638218056487296E-2</v>
      </c>
      <c r="V12" s="13">
        <f>$K$7*$M12^($J$6-1)*EXP(-($M12/$J$5)^$J$7)</f>
        <v>5.8588013568216503E-2</v>
      </c>
      <c r="W12" s="13">
        <f>V12/$V$58</f>
        <v>5.6705253333537646E-2</v>
      </c>
      <c r="X12" s="13">
        <f>J$8*J$9*EXP(J$8*M12)*J$10^J$9/(J$10-1+EXP(J$8*M12))^(J$9+1)</f>
        <v>6.4963216592602513E-2</v>
      </c>
      <c r="Y12" s="13">
        <f>X12/X$58</f>
        <v>6.3397785198464701E-2</v>
      </c>
      <c r="Z12" s="13">
        <f t="shared" si="8"/>
        <v>5.9848065139626094E-2</v>
      </c>
      <c r="AA12" s="13">
        <f>Z12/$Z$58</f>
        <v>5.0719456996957714E-2</v>
      </c>
      <c r="AB12" s="13">
        <f t="shared" si="7"/>
        <v>4.9905586192861381E-2</v>
      </c>
      <c r="AC12" s="13">
        <f t="shared" si="3"/>
        <v>5.9848065139626094E-2</v>
      </c>
      <c r="AE12" s="15">
        <f>(B12-B11)/$B$57</f>
        <v>7.0242656449552993E-2</v>
      </c>
      <c r="AF12" s="13">
        <f>AE12*$J$16+(1-$J$16)*AF11</f>
        <v>6.5413473818646234E-2</v>
      </c>
      <c r="AG12" s="13">
        <f>AF12/$AF$58</f>
        <v>6.5413674661511795E-2</v>
      </c>
      <c r="AH12" s="13">
        <f>_xlfn.GAMMA.DIST(M12,$J$17,$J$18,FALSE)</f>
        <v>7.3261864380805786E-2</v>
      </c>
      <c r="AI12" s="14">
        <f>AH12/$AH$58</f>
        <v>7.3262128175504634E-2</v>
      </c>
    </row>
    <row r="13" spans="1:35" x14ac:dyDescent="0.35">
      <c r="A13">
        <v>10</v>
      </c>
      <c r="B13">
        <v>0.39600000000000002</v>
      </c>
      <c r="C13">
        <v>0.13800000000000001</v>
      </c>
      <c r="D13">
        <v>0.46600000000000003</v>
      </c>
      <c r="E13">
        <f t="shared" si="4"/>
        <v>5.8512171746326266E-2</v>
      </c>
      <c r="F13">
        <v>0.13800000000000001</v>
      </c>
      <c r="G13">
        <f>F13/$C$57</f>
        <v>0.63594470046082952</v>
      </c>
      <c r="I13" s="49" t="s">
        <v>61</v>
      </c>
      <c r="J13" s="50">
        <v>0.85</v>
      </c>
      <c r="K13">
        <f>_xlfn.GAMMA($J$6/$J$7)</f>
        <v>5.1318211905446498</v>
      </c>
      <c r="M13">
        <v>10</v>
      </c>
      <c r="N13" s="37">
        <f>(P_smrt_vyliecenie_hosp_O[[#This Row],[P_death]]-C12)/$C$57</f>
        <v>3.2258064516129059E-2</v>
      </c>
      <c r="O13" s="13">
        <f>J$2*N13+(1-J$2)*O12</f>
        <v>4.0795110887096794E-2</v>
      </c>
      <c r="P13" s="13">
        <f>O13/$O$58</f>
        <v>3.799373148146936E-2</v>
      </c>
      <c r="Q13" s="13">
        <f>-1/LN(1-$J$3)*$J$3^(1+M13)/(1+M13)</f>
        <v>1.7260921396195009E-2</v>
      </c>
      <c r="R13" s="13">
        <f>Q13/$Q$58</f>
        <v>1.7352836444921967E-2</v>
      </c>
      <c r="S13" s="13">
        <f>G13-old!G12</f>
        <v>3.2258064516129004E-2</v>
      </c>
      <c r="T13" s="13">
        <f>1/(1+M13)^$J$4</f>
        <v>6.344514759957981E-2</v>
      </c>
      <c r="U13" s="13">
        <f>T13/$T$58</f>
        <v>1.7599506497103543E-2</v>
      </c>
      <c r="V13" s="13">
        <f>$K$7*$M13^($J$6-1)*EXP(-($M13/$J$5)^$J$7)</f>
        <v>5.6325785980858724E-2</v>
      </c>
      <c r="W13" s="13">
        <f>V13/$V$58</f>
        <v>5.4515723758689051E-2</v>
      </c>
      <c r="X13" s="13">
        <f>J$8*J$9*EXP(J$8*M13)*J$10^J$9/(J$10-1+EXP(J$8*M13))^(J$9+1)</f>
        <v>5.5885470969078872E-2</v>
      </c>
      <c r="Y13" s="13">
        <f>X13/X$58</f>
        <v>5.4538787794817217E-2</v>
      </c>
      <c r="Z13" s="13">
        <f t="shared" si="8"/>
        <v>5.526369923303983E-2</v>
      </c>
      <c r="AA13" s="13">
        <f>Z13/$Z$58</f>
        <v>4.683434310204803E-2</v>
      </c>
      <c r="AB13" s="13">
        <f t="shared" si="7"/>
        <v>4.6082814857530872E-2</v>
      </c>
      <c r="AC13" s="13">
        <f t="shared" si="3"/>
        <v>5.526369923303983E-2</v>
      </c>
      <c r="AE13" s="15">
        <f>(B13-B12)/$B$57</f>
        <v>5.1085568326947682E-2</v>
      </c>
      <c r="AF13" s="13">
        <f>AE13*$J$16+(1-$J$16)*AF12</f>
        <v>5.8249521072796961E-2</v>
      </c>
      <c r="AG13" s="13">
        <f>AF13/$AF$58</f>
        <v>5.824969991975381E-2</v>
      </c>
      <c r="AH13" s="13">
        <f>_xlfn.GAMMA.DIST(M13,$J$17,$J$18,FALSE)</f>
        <v>7.0904850469426378E-2</v>
      </c>
      <c r="AI13" s="14">
        <f>AH13/$AH$58</f>
        <v>7.090510577720259E-2</v>
      </c>
    </row>
    <row r="14" spans="1:35" x14ac:dyDescent="0.35">
      <c r="A14">
        <v>11</v>
      </c>
      <c r="B14">
        <v>0.44600000000000001</v>
      </c>
      <c r="C14">
        <v>0.15</v>
      </c>
      <c r="D14">
        <v>0.40400000000000003</v>
      </c>
      <c r="E14">
        <f t="shared" si="4"/>
        <v>2.7266672033788041E-2</v>
      </c>
      <c r="F14">
        <v>0.15</v>
      </c>
      <c r="G14">
        <f>F14/$C$57</f>
        <v>0.69124423963133641</v>
      </c>
      <c r="I14" s="49" t="s">
        <v>62</v>
      </c>
      <c r="J14" s="50">
        <v>5</v>
      </c>
      <c r="K14">
        <f>K12/K13</f>
        <v>7.6084196646148336E-2</v>
      </c>
      <c r="M14">
        <v>11</v>
      </c>
      <c r="N14" s="37">
        <f>(P_smrt_vyliecenie_hosp_O[[#This Row],[P_death]]-C13)/$C$57</f>
        <v>5.5299539170506833E-2</v>
      </c>
      <c r="O14" s="13">
        <f>J$2*N14+(1-J$2)*O13</f>
        <v>4.804732502880181E-2</v>
      </c>
      <c r="P14" s="13">
        <f>O14/$O$58</f>
        <v>4.4747939786200459E-2</v>
      </c>
      <c r="Q14" s="13">
        <f>-1/LN(1-$J$3)*$J$3^(1+M14)/(1+M14)</f>
        <v>1.5031385715853156E-2</v>
      </c>
      <c r="R14" s="13">
        <f>Q14/$Q$58</f>
        <v>1.5111428404119547E-2</v>
      </c>
      <c r="S14" s="13">
        <f>G14-old!G13</f>
        <v>5.5299539170506895E-2</v>
      </c>
      <c r="T14" s="13">
        <f>1/(1+M14)^$J$4</f>
        <v>5.7403922184180653E-2</v>
      </c>
      <c r="U14" s="13">
        <f>T14/$T$58</f>
        <v>1.5923687463316807E-2</v>
      </c>
      <c r="V14" s="13">
        <f>$K$7*$M14^($J$6-1)*EXP(-($M14/$J$5)^$J$7)</f>
        <v>5.3443414997147734E-2</v>
      </c>
      <c r="W14" s="13">
        <f>V14/$V$58</f>
        <v>5.1725979459844321E-2</v>
      </c>
      <c r="X14" s="13">
        <f>J$8*J$9*EXP(J$8*M14)*J$10^J$9/(J$10-1+EXP(J$8*M14))^(J$9+1)</f>
        <v>4.6978949812963001E-2</v>
      </c>
      <c r="Y14" s="13">
        <f>X14/X$58</f>
        <v>4.5846888828944374E-2</v>
      </c>
      <c r="Z14" s="13">
        <f t="shared" si="8"/>
        <v>4.9529696117779763E-2</v>
      </c>
      <c r="AA14" s="13">
        <f>Z14/$Z$58</f>
        <v>4.1974945830868818E-2</v>
      </c>
      <c r="AB14" s="13">
        <f t="shared" si="7"/>
        <v>4.1301394004055726E-2</v>
      </c>
      <c r="AC14" s="13">
        <f t="shared" si="3"/>
        <v>4.9529696117779763E-2</v>
      </c>
      <c r="AE14" s="15">
        <f>(B14-B13)/$B$57</f>
        <v>6.3856960408684535E-2</v>
      </c>
      <c r="AF14" s="13">
        <f>AE14*$J$16+(1-$J$16)*AF13</f>
        <v>6.1053240740740748E-2</v>
      </c>
      <c r="AG14" s="13">
        <f>AF14/$AF$58</f>
        <v>6.1053428196124263E-2</v>
      </c>
      <c r="AH14" s="13">
        <f>_xlfn.GAMMA.DIST(M14,$J$17,$J$18,FALSE)</f>
        <v>6.6846978586924691E-2</v>
      </c>
      <c r="AI14" s="14">
        <f>AH14/$AH$58</f>
        <v>6.684721928348264E-2</v>
      </c>
    </row>
    <row r="15" spans="1:35" x14ac:dyDescent="0.35">
      <c r="A15">
        <v>12</v>
      </c>
      <c r="B15">
        <v>0.49099999999999999</v>
      </c>
      <c r="C15">
        <v>0.159</v>
      </c>
      <c r="D15">
        <v>0.35</v>
      </c>
      <c r="E15">
        <f t="shared" si="4"/>
        <v>1.1015735501650369E-2</v>
      </c>
      <c r="F15">
        <v>0.159</v>
      </c>
      <c r="G15">
        <f>F15/$C$57</f>
        <v>0.73271889400921664</v>
      </c>
      <c r="M15">
        <v>12</v>
      </c>
      <c r="N15" s="37">
        <f>(P_smrt_vyliecenie_hosp_O[[#This Row],[P_death]]-C14)/$C$57</f>
        <v>4.147465437788022E-2</v>
      </c>
      <c r="O15" s="13">
        <f>J$2*N15+(1-J$2)*O14</f>
        <v>4.4760989703341011E-2</v>
      </c>
      <c r="P15" s="13">
        <f>O15/$O$58</f>
        <v>4.1687275427199605E-2</v>
      </c>
      <c r="Q15" s="13">
        <f>-1/LN(1-$J$3)*$J$3^(1+M15)/(1+M15)</f>
        <v>1.3181369012363536E-2</v>
      </c>
      <c r="R15" s="13">
        <f>Q15/$Q$58</f>
        <v>1.3251560292843294E-2</v>
      </c>
      <c r="S15" s="13">
        <f>G15-old!G14</f>
        <v>4.1474654377880227E-2</v>
      </c>
      <c r="T15" s="13">
        <f>1/(1+M15)^$J$4</f>
        <v>5.2355841569512361E-2</v>
      </c>
      <c r="U15" s="13">
        <f>T15/$T$58</f>
        <v>1.4523364019568599E-2</v>
      </c>
      <c r="V15" s="13">
        <f>$K$7*$M15^($J$6-1)*EXP(-($M15/$J$5)^$J$7)</f>
        <v>4.9804157342658945E-2</v>
      </c>
      <c r="W15" s="13">
        <f>V15/$V$58</f>
        <v>4.8203671488034984E-2</v>
      </c>
      <c r="X15" s="13">
        <f>J$8*J$9*EXP(J$8*M15)*J$10^J$9/(J$10-1+EXP(J$8*M15))^(J$9+1)</f>
        <v>3.8760252423632964E-2</v>
      </c>
      <c r="Y15" s="13">
        <f>X15/X$58</f>
        <v>3.7826239005406215E-2</v>
      </c>
      <c r="Z15" s="13">
        <f t="shared" si="8"/>
        <v>4.2630552251209278E-2</v>
      </c>
      <c r="AA15" s="13">
        <f>Z15/$Z$58</f>
        <v>3.6128126391677631E-2</v>
      </c>
      <c r="AB15" s="13">
        <f t="shared" si="7"/>
        <v>3.554839567258393E-2</v>
      </c>
      <c r="AC15" s="13">
        <f t="shared" si="3"/>
        <v>4.2630552251209278E-2</v>
      </c>
      <c r="AE15" s="15">
        <f>(B15-B14)/$B$57</f>
        <v>5.747126436781607E-2</v>
      </c>
      <c r="AF15" s="13">
        <f>AE15*$J$16+(1-$J$16)*AF14</f>
        <v>5.9262252554278409E-2</v>
      </c>
      <c r="AG15" s="13">
        <f>AF15/$AF$58</f>
        <v>5.9262434510684747E-2</v>
      </c>
      <c r="AH15" s="13">
        <f>_xlfn.GAMMA.DIST(M15,$J$17,$J$18,FALSE)</f>
        <v>6.1670980737737129E-2</v>
      </c>
      <c r="AI15" s="14">
        <f>AH15/$AH$58</f>
        <v>6.1671202797029895E-2</v>
      </c>
    </row>
    <row r="16" spans="1:35" x14ac:dyDescent="0.35">
      <c r="A16">
        <v>13</v>
      </c>
      <c r="B16">
        <v>0.52800000000000002</v>
      </c>
      <c r="C16">
        <v>0.16300000000000001</v>
      </c>
      <c r="D16">
        <v>0.309</v>
      </c>
      <c r="E16">
        <f t="shared" si="4"/>
        <v>3.8555074255776289E-3</v>
      </c>
      <c r="F16">
        <v>0.16300000000000001</v>
      </c>
      <c r="G16">
        <f>F16/$C$57</f>
        <v>0.75115207373271897</v>
      </c>
      <c r="I16" s="1" t="s">
        <v>23</v>
      </c>
      <c r="J16">
        <v>0.5</v>
      </c>
      <c r="M16">
        <v>13</v>
      </c>
      <c r="N16" s="37">
        <f>(P_smrt_vyliecenie_hosp_O[[#This Row],[P_death]]-C15)/$C$57</f>
        <v>1.8433179723502321E-2</v>
      </c>
      <c r="O16" s="13">
        <f>J$2*N16+(1-J$2)*O15</f>
        <v>3.1597084713421666E-2</v>
      </c>
      <c r="P16" s="13">
        <f>O16/$O$58</f>
        <v>2.942732906208842E-2</v>
      </c>
      <c r="Q16" s="13">
        <f>-1/LN(1-$J$3)*$J$3^(1+M16)/(1+M16)</f>
        <v>1.162785052162069E-2</v>
      </c>
      <c r="R16" s="13">
        <f>Q16/$Q$58</f>
        <v>1.1689769258329619E-2</v>
      </c>
      <c r="S16" s="13">
        <f>G16-old!G15</f>
        <v>1.8433179723502335E-2</v>
      </c>
      <c r="T16" s="13">
        <f>1/(1+M16)^$J$4</f>
        <v>4.8078704727710017E-2</v>
      </c>
      <c r="U16" s="13">
        <f>T16/$T$58</f>
        <v>1.3336898222193737E-2</v>
      </c>
      <c r="V16" s="13">
        <f>$K$7*$M16^($J$6-1)*EXP(-($M16/$J$5)^$J$7)</f>
        <v>4.5324392986643966E-2</v>
      </c>
      <c r="W16" s="13">
        <f>V16/$V$58</f>
        <v>4.3867866991324951E-2</v>
      </c>
      <c r="X16" s="13">
        <f>J$8*J$9*EXP(J$8*M16)*J$10^J$9/(J$10-1+EXP(J$8*M16))^(J$9+1)</f>
        <v>3.1508301328376072E-2</v>
      </c>
      <c r="Y16" s="13">
        <f>X16/X$58</f>
        <v>3.0749039600547607E-2</v>
      </c>
      <c r="Z16" s="13">
        <f t="shared" si="8"/>
        <v>3.479626490588051E-2</v>
      </c>
      <c r="AA16" s="13">
        <f>Z16/$Z$58</f>
        <v>2.9488800639271281E-2</v>
      </c>
      <c r="AB16" s="13">
        <f t="shared" si="7"/>
        <v>2.9015607996661572E-2</v>
      </c>
      <c r="AC16" s="13">
        <f t="shared" si="3"/>
        <v>3.479626490588051E-2</v>
      </c>
      <c r="AE16" s="15">
        <f>(B16-B15)/$B$57</f>
        <v>4.7254150702426605E-2</v>
      </c>
      <c r="AF16" s="13">
        <f>AE16*$J$16+(1-$J$16)*AF15</f>
        <v>5.3258201628352507E-2</v>
      </c>
      <c r="AG16" s="13">
        <f>AF16/$AF$58</f>
        <v>5.3258365150165445E-2</v>
      </c>
      <c r="AH16" s="13">
        <f>_xlfn.GAMMA.DIST(M16,$J$17,$J$18,FALSE)</f>
        <v>5.5870284252594347E-2</v>
      </c>
      <c r="AI16" s="14">
        <f>AH16/$AH$58</f>
        <v>5.5870485425263558E-2</v>
      </c>
    </row>
    <row r="17" spans="1:35" x14ac:dyDescent="0.35">
      <c r="A17">
        <v>14</v>
      </c>
      <c r="B17">
        <v>0.55400000000000005</v>
      </c>
      <c r="C17">
        <v>0.16600000000000001</v>
      </c>
      <c r="D17">
        <v>0.28000000000000003</v>
      </c>
      <c r="E17">
        <f t="shared" si="4"/>
        <v>1.1913517945034873E-3</v>
      </c>
      <c r="F17">
        <v>0.16600000000000001</v>
      </c>
      <c r="G17">
        <f>F17/$C$57</f>
        <v>0.76497695852534564</v>
      </c>
      <c r="I17" s="35" t="s">
        <v>57</v>
      </c>
      <c r="J17" s="36">
        <v>3.61</v>
      </c>
      <c r="M17">
        <v>14</v>
      </c>
      <c r="N17" s="37">
        <f>(P_smrt_vyliecenie_hosp_O[[#This Row],[P_death]]-C16)/$C$57</f>
        <v>1.3824884792626741E-2</v>
      </c>
      <c r="O17" s="13">
        <f>J$2*N17+(1-J$2)*O16</f>
        <v>2.2710984753024202E-2</v>
      </c>
      <c r="P17" s="13">
        <f>O17/$O$58</f>
        <v>2.1151433042410669E-2</v>
      </c>
      <c r="Q17" s="13">
        <f>-1/LN(1-$J$3)*$J$3^(1+M17)/(1+M17)</f>
        <v>1.0310027462503679E-2</v>
      </c>
      <c r="R17" s="13">
        <f>Q17/$Q$58</f>
        <v>1.0364928742385596E-2</v>
      </c>
      <c r="S17" s="13">
        <f>G17-old!G16</f>
        <v>1.3824884792626668E-2</v>
      </c>
      <c r="T17" s="13">
        <f>1/(1+M17)^$J$4</f>
        <v>4.4411460154217708E-2</v>
      </c>
      <c r="U17" s="13">
        <f>T17/$T$58</f>
        <v>1.2319614834266478E-2</v>
      </c>
      <c r="V17" s="13">
        <f>$K$7*$M17^($J$6-1)*EXP(-($M17/$J$5)^$J$7)</f>
        <v>4.0010719409423717E-2</v>
      </c>
      <c r="W17" s="13">
        <f>V17/$V$58</f>
        <v>3.8724951436129217E-2</v>
      </c>
      <c r="X17" s="13">
        <f>J$8*J$9*EXP(J$8*M17)*J$10^J$9/(J$10-1+EXP(J$8*M17))^(J$9+1)</f>
        <v>2.5318090247224149E-2</v>
      </c>
      <c r="Y17" s="13">
        <f>X17/X$58</f>
        <v>2.4707995252064498E-2</v>
      </c>
      <c r="Z17" s="13">
        <f t="shared" si="8"/>
        <v>2.6538176634534033E-2</v>
      </c>
      <c r="AA17" s="13">
        <f>Z17/$Z$58</f>
        <v>2.2490316194060438E-2</v>
      </c>
      <c r="AB17" s="13">
        <f t="shared" si="7"/>
        <v>2.2129424875244889E-2</v>
      </c>
      <c r="AC17" s="13">
        <f t="shared" si="3"/>
        <v>2.6538176634534033E-2</v>
      </c>
      <c r="AE17" s="15">
        <f>(B17-B16)/$B$57</f>
        <v>3.3205619412515992E-2</v>
      </c>
      <c r="AF17" s="13">
        <f>AE17*$J$16+(1-$J$16)*AF16</f>
        <v>4.323191052043425E-2</v>
      </c>
      <c r="AG17" s="13">
        <f>AF17/$AF$58</f>
        <v>4.3232043257931368E-2</v>
      </c>
      <c r="AH17" s="13">
        <f>_xlfn.GAMMA.DIST(M17,$J$17,$J$18,FALSE)</f>
        <v>4.9837222811053822E-2</v>
      </c>
      <c r="AI17" s="14">
        <f>AH17/$AH$58</f>
        <v>4.9837402260420743E-2</v>
      </c>
    </row>
    <row r="18" spans="1:35" x14ac:dyDescent="0.35">
      <c r="A18">
        <v>15</v>
      </c>
      <c r="B18">
        <v>0.60099999999999998</v>
      </c>
      <c r="C18">
        <v>0.17</v>
      </c>
      <c r="D18">
        <v>0.23</v>
      </c>
      <c r="E18">
        <f t="shared" si="4"/>
        <v>3.3357850246097648E-4</v>
      </c>
      <c r="F18">
        <v>0.17</v>
      </c>
      <c r="G18">
        <f>F18/$C$57</f>
        <v>0.78341013824884798</v>
      </c>
      <c r="I18" s="35" t="s">
        <v>58</v>
      </c>
      <c r="J18" s="36">
        <v>3.25</v>
      </c>
      <c r="M18">
        <v>15</v>
      </c>
      <c r="N18" s="37">
        <f>(P_smrt_vyliecenie_hosp_O[[#This Row],[P_death]]-C17)/$C$57</f>
        <v>1.8433179723502321E-2</v>
      </c>
      <c r="O18" s="13">
        <f>J$2*N18+(1-J$2)*O17</f>
        <v>2.0572082238263262E-2</v>
      </c>
      <c r="P18" s="13">
        <f>O18/$O$58</f>
        <v>1.9159407869693949E-2</v>
      </c>
      <c r="Q18" s="13">
        <f>-1/LN(1-$J$3)*$J$3^(1+M18)/(1+M18)</f>
        <v>9.1823682087923391E-3</v>
      </c>
      <c r="R18" s="13">
        <f>Q18/$Q$58</f>
        <v>9.2312646611871722E-3</v>
      </c>
      <c r="S18" s="13">
        <f>G18-old!G17</f>
        <v>1.8433179723502335E-2</v>
      </c>
      <c r="T18" s="13">
        <f>1/(1+M18)^$J$4</f>
        <v>4.1234622211652965E-2</v>
      </c>
      <c r="U18" s="13">
        <f>T18/$T$58</f>
        <v>1.1438368874161192E-2</v>
      </c>
      <c r="V18" s="13">
        <f>$K$7*$M18^($J$6-1)*EXP(-($M18/$J$5)^$J$7)</f>
        <v>3.3994901982181337E-2</v>
      </c>
      <c r="W18" s="13">
        <f>V18/$V$58</f>
        <v>3.2902455836019827E-2</v>
      </c>
      <c r="X18" s="13">
        <f>J$8*J$9*EXP(J$8*M18)*J$10^J$9/(J$10-1+EXP(J$8*M18))^(J$9+1)</f>
        <v>2.0163081741317507E-2</v>
      </c>
      <c r="Y18" s="13">
        <f>X18/X$58</f>
        <v>1.967720799897545E-2</v>
      </c>
      <c r="Z18" s="13">
        <f t="shared" si="8"/>
        <v>1.8589328281234292E-2</v>
      </c>
      <c r="AA18" s="13">
        <f>Z18/$Z$58</f>
        <v>1.575390339124141E-2</v>
      </c>
      <c r="AB18" s="13">
        <f t="shared" si="7"/>
        <v>1.550110805825008E-2</v>
      </c>
      <c r="AC18" s="13">
        <f t="shared" si="3"/>
        <v>1.8589328281234292E-2</v>
      </c>
      <c r="AE18" s="15">
        <f>(B18-B17)/$B$57</f>
        <v>6.0025542784163381E-2</v>
      </c>
      <c r="AF18" s="13">
        <f>AE18*$J$16+(1-$J$16)*AF17</f>
        <v>5.1628726652298812E-2</v>
      </c>
      <c r="AG18" s="13">
        <f>AF18/$AF$58</f>
        <v>5.1628885171038155E-2</v>
      </c>
      <c r="AH18" s="13">
        <f>_xlfn.GAMMA.DIST(M18,$J$17,$J$18,FALSE)</f>
        <v>4.386607479977285E-2</v>
      </c>
      <c r="AI18" s="14">
        <f>AH18/$AH$58</f>
        <v>4.3866232748769766E-2</v>
      </c>
    </row>
    <row r="19" spans="1:35" x14ac:dyDescent="0.35">
      <c r="A19">
        <v>16</v>
      </c>
      <c r="B19">
        <v>0.63200000000000001</v>
      </c>
      <c r="C19">
        <v>0.17299999999999999</v>
      </c>
      <c r="D19">
        <v>0.19500000000000001</v>
      </c>
      <c r="E19">
        <f t="shared" si="4"/>
        <v>7.6723055566024591E-5</v>
      </c>
      <c r="F19">
        <v>0.17299999999999999</v>
      </c>
      <c r="G19">
        <f>F19/$C$57</f>
        <v>0.79723502304147464</v>
      </c>
      <c r="M19">
        <v>16</v>
      </c>
      <c r="N19" s="37">
        <f>(P_smrt_vyliecenie_hosp_O[[#This Row],[P_death]]-C18)/$C$57</f>
        <v>1.3824884792626613E-2</v>
      </c>
      <c r="O19" s="13">
        <f>J$2*N19+(1-J$2)*O18</f>
        <v>1.7198483515444937E-2</v>
      </c>
      <c r="P19" s="13">
        <f>O19/$O$58</f>
        <v>1.6017472446213377E-2</v>
      </c>
      <c r="Q19" s="13">
        <f>-1/LN(1-$J$3)*$J$3^(1+M19)/(1+M19)</f>
        <v>8.2101174572731511E-3</v>
      </c>
      <c r="R19" s="13">
        <f>Q19/$Q$58</f>
        <v>8.2538366382379422E-3</v>
      </c>
      <c r="S19" s="13">
        <f>G19-old!G18</f>
        <v>1.3824884792626668E-2</v>
      </c>
      <c r="T19" s="13">
        <f>1/(1+M19)^$J$4</f>
        <v>3.8457738355313395E-2</v>
      </c>
      <c r="U19" s="13">
        <f>T19/$T$58</f>
        <v>1.0668069058960292E-2</v>
      </c>
      <c r="V19" s="13">
        <f>$K$7*$M19^($J$6-1)*EXP(-($M19/$J$5)^$J$7)</f>
        <v>2.7551956013271803E-2</v>
      </c>
      <c r="W19" s="13">
        <f>V19/$V$58</f>
        <v>2.6666557720854696E-2</v>
      </c>
      <c r="X19" s="13">
        <f>J$8*J$9*EXP(J$8*M19)*J$10^J$9/(J$10-1+EXP(J$8*M19))^(J$9+1)</f>
        <v>1.594852835333576E-2</v>
      </c>
      <c r="Y19" s="13">
        <f>X19/X$58</f>
        <v>1.5564213532055008E-2</v>
      </c>
      <c r="Z19" s="13">
        <f t="shared" si="8"/>
        <v>1.1724920849848009E-2</v>
      </c>
      <c r="AA19" s="13">
        <f>Z19/$Z$58</f>
        <v>9.9365220487780386E-3</v>
      </c>
      <c r="AB19" s="13">
        <f t="shared" si="7"/>
        <v>9.7770754444848392E-3</v>
      </c>
      <c r="AC19" s="13">
        <f t="shared" si="3"/>
        <v>1.1724920849848009E-2</v>
      </c>
      <c r="AE19" s="15">
        <f>(B19-B18)/$B$57</f>
        <v>3.959131545338445E-2</v>
      </c>
      <c r="AF19" s="13">
        <f>AE19*$J$16+(1-$J$16)*AF18</f>
        <v>4.5610021052841634E-2</v>
      </c>
      <c r="AG19" s="13">
        <f>AF19/$AF$58</f>
        <v>4.5610161091992465E-2</v>
      </c>
      <c r="AH19" s="13">
        <f>_xlfn.GAMMA.DIST(M19,$J$17,$J$18,FALSE)</f>
        <v>3.8164068974349687E-2</v>
      </c>
      <c r="AI19" s="14">
        <f>AH19/$AH$58</f>
        <v>3.8164206392079458E-2</v>
      </c>
    </row>
    <row r="20" spans="1:35" x14ac:dyDescent="0.35">
      <c r="A20">
        <v>17</v>
      </c>
      <c r="B20">
        <v>0.64700000000000002</v>
      </c>
      <c r="C20">
        <v>0.17599999999999999</v>
      </c>
      <c r="D20">
        <v>0.17599999999999999</v>
      </c>
      <c r="E20">
        <f t="shared" si="4"/>
        <v>1.4960995835374795E-5</v>
      </c>
      <c r="F20">
        <v>0.17599999999999999</v>
      </c>
      <c r="G20">
        <f>F20/$C$57</f>
        <v>0.81105990783410131</v>
      </c>
      <c r="I20" t="s">
        <v>71</v>
      </c>
      <c r="J20">
        <f>AA60</f>
        <v>10.145050986215075</v>
      </c>
      <c r="M20">
        <v>17</v>
      </c>
      <c r="N20" s="37">
        <f>(P_smrt_vyliecenie_hosp_O[[#This Row],[P_death]]-C19)/$C$57</f>
        <v>1.3824884792626741E-2</v>
      </c>
      <c r="O20" s="13">
        <f>J$2*N20+(1-J$2)*O19</f>
        <v>1.5511684154035839E-2</v>
      </c>
      <c r="P20" s="13">
        <f>O20/$O$58</f>
        <v>1.4446504734473148E-2</v>
      </c>
      <c r="Q20" s="13">
        <f>-1/LN(1-$J$3)*$J$3^(1+M20)/(1+M20)</f>
        <v>7.3662998297200771E-3</v>
      </c>
      <c r="R20" s="13">
        <f>Q20/$Q$58</f>
        <v>7.4055256504190429E-3</v>
      </c>
      <c r="S20" s="13">
        <f>G20-old!G19</f>
        <v>1.3824884792626668E-2</v>
      </c>
      <c r="T20" s="13">
        <f>1/(1+M20)^$J$4</f>
        <v>3.6011119198857043E-2</v>
      </c>
      <c r="U20" s="13">
        <f>T20/$T$58</f>
        <v>9.9893837478037817E-3</v>
      </c>
      <c r="V20" s="13">
        <f>$K$7*$M20^($J$6-1)*EXP(-($M20/$J$5)^$J$7)</f>
        <v>2.1084100872029023E-2</v>
      </c>
      <c r="W20" s="13">
        <f>V20/$V$58</f>
        <v>2.0406550904242628E-2</v>
      </c>
      <c r="X20" s="13">
        <f>J$8*J$9*EXP(J$8*M20)*J$10^J$9/(J$10-1+EXP(J$8*M20))^(J$9+1)</f>
        <v>1.2549880999972042E-2</v>
      </c>
      <c r="Y20" s="13">
        <f>X20/X$58</f>
        <v>1.2247464051728026E-2</v>
      </c>
      <c r="Z20" s="13">
        <f t="shared" si="8"/>
        <v>9.9893837478037817E-3</v>
      </c>
      <c r="AA20" s="13">
        <f>Z20/$Z$58</f>
        <v>8.4657059211656841E-3</v>
      </c>
      <c r="AB20" s="13">
        <f t="shared" si="7"/>
        <v>5.4287079074428158E-3</v>
      </c>
      <c r="AC20" s="13">
        <f t="shared" si="3"/>
        <v>6.5102464323946781E-3</v>
      </c>
      <c r="AE20" s="15">
        <f>(B20-B19)/$B$57</f>
        <v>1.915708812260538E-2</v>
      </c>
      <c r="AF20" s="13">
        <f>AE20*$J$16+(1-$J$16)*AF19</f>
        <v>3.2383554587723504E-2</v>
      </c>
      <c r="AG20" s="13">
        <f>AF20/$AF$58</f>
        <v>3.2383654016870447E-2</v>
      </c>
      <c r="AH20" s="13">
        <f>_xlfn.GAMMA.DIST(M20,$J$17,$J$18,FALSE)</f>
        <v>3.2865794150761685E-2</v>
      </c>
      <c r="AI20" s="14">
        <f>AH20/$AH$58</f>
        <v>3.2865912490942402E-2</v>
      </c>
    </row>
    <row r="21" spans="1:35" x14ac:dyDescent="0.35">
      <c r="A21">
        <v>18</v>
      </c>
      <c r="B21">
        <v>0.66500000000000004</v>
      </c>
      <c r="C21">
        <v>0.17799999999999999</v>
      </c>
      <c r="D21">
        <v>0.158</v>
      </c>
      <c r="E21">
        <f t="shared" si="4"/>
        <v>2.6331352670259636E-6</v>
      </c>
      <c r="F21">
        <v>0.17799999999999999</v>
      </c>
      <c r="G21">
        <f>F21/$C$57</f>
        <v>0.82027649769585254</v>
      </c>
      <c r="I21" t="s">
        <v>72</v>
      </c>
      <c r="J21">
        <f>N60</f>
        <v>10.087557603686635</v>
      </c>
      <c r="M21">
        <v>18</v>
      </c>
      <c r="N21" s="37">
        <f>(P_smrt_vyliecenie_hosp_O[[#This Row],[P_death]]-C20)/$C$57</f>
        <v>9.2165898617511607E-3</v>
      </c>
      <c r="O21" s="13">
        <f>J$2*N21+(1-J$2)*O20</f>
        <v>1.2364137007893499E-2</v>
      </c>
      <c r="P21" s="13">
        <f>O21/$O$58</f>
        <v>1.1515098041480881E-2</v>
      </c>
      <c r="Q21" s="13">
        <f>-1/LN(1-$J$3)*$J$3^(1+M21)/(1+M21)</f>
        <v>6.6296698467480679E-3</v>
      </c>
      <c r="R21" s="13">
        <f>Q21/$Q$58</f>
        <v>6.664973085377137E-3</v>
      </c>
      <c r="S21" s="13">
        <f>G21-old!G20</f>
        <v>9.2165898617512232E-3</v>
      </c>
      <c r="T21" s="13">
        <f>1/(1+M21)^$J$4</f>
        <v>3.3840234112789476E-2</v>
      </c>
      <c r="U21" s="13">
        <f>T21/$T$58</f>
        <v>9.3871862965842906E-3</v>
      </c>
      <c r="V21" s="13">
        <f>$K$7*$M21^($J$6-1)*EXP(-($M21/$J$5)^$J$7)</f>
        <v>1.5059178809816342E-2</v>
      </c>
      <c r="W21" s="13">
        <f>V21/$V$58</f>
        <v>1.45752432519564E-2</v>
      </c>
      <c r="X21" s="13">
        <f>J$8*J$9*EXP(J$8*M21)*J$10^J$9/(J$10-1+EXP(J$8*M21))^(J$9+1)</f>
        <v>9.8371043725028386E-3</v>
      </c>
      <c r="Y21" s="13">
        <f>X21/X$58</f>
        <v>9.6000577356545047E-3</v>
      </c>
      <c r="Z21" s="13">
        <f t="shared" si="8"/>
        <v>9.3871862965842906E-3</v>
      </c>
      <c r="AA21" s="13">
        <f>Z21/$Z$58</f>
        <v>7.9553614737796711E-3</v>
      </c>
      <c r="AB21" s="13">
        <f t="shared" si="7"/>
        <v>2.5865333785200242E-3</v>
      </c>
      <c r="AC21" s="13">
        <f t="shared" si="3"/>
        <v>3.1018374881973915E-3</v>
      </c>
      <c r="AE21" s="15">
        <f>(B21-B20)/$B$57</f>
        <v>2.2988505747126457E-2</v>
      </c>
      <c r="AF21" s="13">
        <f>AE21*$J$16+(1-$J$16)*AF20</f>
        <v>2.768603016742498E-2</v>
      </c>
      <c r="AG21" s="13">
        <f>AF21/$AF$58</f>
        <v>2.7686115173484283E-2</v>
      </c>
      <c r="AH21" s="13">
        <f>_xlfn.GAMMA.DIST(M21,$J$17,$J$18,FALSE)</f>
        <v>2.8048175292192536E-2</v>
      </c>
      <c r="AI21" s="14">
        <f>AH21/$AH$58</f>
        <v>2.8048276285526749E-2</v>
      </c>
    </row>
    <row r="22" spans="1:35" x14ac:dyDescent="0.35">
      <c r="A22">
        <v>19</v>
      </c>
      <c r="B22">
        <v>0.68200000000000005</v>
      </c>
      <c r="C22">
        <v>0.184</v>
      </c>
      <c r="D22">
        <v>0.13300000000000001</v>
      </c>
      <c r="E22">
        <f t="shared" si="4"/>
        <v>4.1603537219010226E-7</v>
      </c>
      <c r="F22">
        <v>0.184</v>
      </c>
      <c r="G22">
        <f>F22/$C$57</f>
        <v>0.84792626728110598</v>
      </c>
      <c r="M22">
        <v>19</v>
      </c>
      <c r="N22" s="37">
        <f>(P_smrt_vyliecenie_hosp_O[[#This Row],[P_death]]-C21)/$C$57</f>
        <v>2.7649769585253482E-2</v>
      </c>
      <c r="O22" s="13">
        <f>J$2*N22+(1-J$2)*O21</f>
        <v>2.0006953296573489E-2</v>
      </c>
      <c r="P22" s="13">
        <f>O22/$O$58</f>
        <v>1.863308604347336E-2</v>
      </c>
      <c r="Q22" s="13">
        <f>-1/LN(1-$J$3)*$J$3^(1+M22)/(1+M22)</f>
        <v>5.9832770366901314E-3</v>
      </c>
      <c r="R22" s="13">
        <f>Q22/$Q$58</f>
        <v>6.0151382095528661E-3</v>
      </c>
      <c r="S22" s="13">
        <f>G22-old!G21</f>
        <v>2.7649769585253448E-2</v>
      </c>
      <c r="T22" s="13">
        <f>1/(1+M22)^$J$4</f>
        <v>3.1901823283979572E-2</v>
      </c>
      <c r="U22" s="13">
        <f>T22/$T$58</f>
        <v>8.8494765541307693E-3</v>
      </c>
      <c r="V22" s="13">
        <f>$K$7*$M22^($J$6-1)*EXP(-($M22/$J$5)^$J$7)</f>
        <v>9.9094551874152129E-3</v>
      </c>
      <c r="W22" s="13">
        <f>V22/$V$58</f>
        <v>9.591009023466093E-3</v>
      </c>
      <c r="X22" s="13">
        <f>J$8*J$9*EXP(J$8*M22)*J$10^J$9/(J$10-1+EXP(J$8*M22))^(J$9+1)</f>
        <v>7.6882243708121783E-3</v>
      </c>
      <c r="Y22" s="13">
        <f>X22/X$58</f>
        <v>7.5029597175743134E-3</v>
      </c>
      <c r="Z22" s="13">
        <f t="shared" si="8"/>
        <v>8.8494765541307693E-3</v>
      </c>
      <c r="AA22" s="13">
        <f>Z22/$Z$58</f>
        <v>7.4996684435106068E-3</v>
      </c>
      <c r="AB22" s="13">
        <f t="shared" si="7"/>
        <v>1.0275173028877231E-3</v>
      </c>
      <c r="AC22" s="13">
        <f t="shared" si="3"/>
        <v>1.2322252310125906E-3</v>
      </c>
      <c r="AE22" s="15">
        <f>(B22-B21)/$B$57</f>
        <v>2.1711366538952764E-2</v>
      </c>
      <c r="AF22" s="13">
        <f>AE22*$J$16+(1-$J$16)*AF21</f>
        <v>2.4698698353188872E-2</v>
      </c>
      <c r="AG22" s="13">
        <f>AF22/$AF$58</f>
        <v>2.4698774187066255E-2</v>
      </c>
      <c r="AH22" s="13">
        <f>_xlfn.GAMMA.DIST(M22,$J$17,$J$18,FALSE)</f>
        <v>2.3744400106846066E-2</v>
      </c>
      <c r="AI22" s="14">
        <f>AH22/$AH$58</f>
        <v>2.3744485603535623E-2</v>
      </c>
    </row>
    <row r="23" spans="1:35" x14ac:dyDescent="0.35">
      <c r="A23">
        <v>20</v>
      </c>
      <c r="B23">
        <v>0.69799999999999995</v>
      </c>
      <c r="C23">
        <v>0.186</v>
      </c>
      <c r="D23">
        <v>0.11600000000000001</v>
      </c>
      <c r="E23">
        <f t="shared" si="4"/>
        <v>5.5332704501283602E-8</v>
      </c>
      <c r="F23">
        <v>0.186</v>
      </c>
      <c r="G23">
        <f>F23/$C$57</f>
        <v>0.8571428571428571</v>
      </c>
      <c r="M23">
        <v>20</v>
      </c>
      <c r="N23" s="37">
        <f>(P_smrt_vyliecenie_hosp_O[[#This Row],[P_death]]-C22)/$C$57</f>
        <v>9.2165898617511607E-3</v>
      </c>
      <c r="O23" s="13">
        <f>J$2*N23+(1-J$2)*O22</f>
        <v>1.4611771579162325E-2</v>
      </c>
      <c r="P23" s="13">
        <f>O23/$O$58</f>
        <v>1.3608388695980987E-2</v>
      </c>
      <c r="Q23" s="13">
        <f>-1/LN(1-$J$3)*$J$3^(1+M23)/(1+M23)</f>
        <v>5.4134411284339299E-3</v>
      </c>
      <c r="R23" s="13">
        <f>Q23/$Q$58</f>
        <v>5.4422679038811667E-3</v>
      </c>
      <c r="S23" s="13">
        <f>G23-old!G22</f>
        <v>9.2165898617511122E-3</v>
      </c>
      <c r="T23" s="13">
        <f>1/(1+M23)^$J$4</f>
        <v>3.0161144064705492E-2</v>
      </c>
      <c r="U23" s="13">
        <f>T23/$T$58</f>
        <v>8.3666170071354014E-3</v>
      </c>
      <c r="V23" s="13">
        <f>$K$7*$M23^($J$6-1)*EXP(-($M23/$J$5)^$J$7)</f>
        <v>5.9210823501894402E-3</v>
      </c>
      <c r="W23" s="13">
        <f>V23/$V$58</f>
        <v>5.730804890411504E-3</v>
      </c>
      <c r="X23" s="13">
        <f>J$8*J$9*EXP(J$8*M23)*J$10^J$9/(J$10-1+EXP(J$8*M23))^(J$9+1)</f>
        <v>5.9956448199555588E-3</v>
      </c>
      <c r="Y23" s="13">
        <f>X23/X$58</f>
        <v>5.851166588710972E-3</v>
      </c>
      <c r="Z23" s="13">
        <f t="shared" si="8"/>
        <v>8.3666170071354014E-3</v>
      </c>
      <c r="AA23" s="13">
        <f>Z23/$Z$58</f>
        <v>7.0904593241804207E-3</v>
      </c>
      <c r="AB23" s="13">
        <f t="shared" si="7"/>
        <v>3.295833243375464E-4</v>
      </c>
      <c r="AC23" s="13">
        <f t="shared" si="3"/>
        <v>3.9524481663556716E-4</v>
      </c>
      <c r="AE23" s="15">
        <f>(B23-B22)/$B$57</f>
        <v>2.0434227330778931E-2</v>
      </c>
      <c r="AF23" s="13">
        <f>AE23*$J$16+(1-$J$16)*AF22</f>
        <v>2.2566462841983902E-2</v>
      </c>
      <c r="AG23" s="13">
        <f>AF23/$AF$58</f>
        <v>2.2566532129132223E-2</v>
      </c>
      <c r="AH23" s="13">
        <f>_xlfn.GAMMA.DIST(M23,$J$17,$J$18,FALSE)</f>
        <v>1.9956001164722164E-2</v>
      </c>
      <c r="AI23" s="14">
        <f>AH23/$AH$58</f>
        <v>1.9956073020487259E-2</v>
      </c>
    </row>
    <row r="24" spans="1:35" x14ac:dyDescent="0.35">
      <c r="A24">
        <v>21</v>
      </c>
      <c r="B24">
        <v>0.70599999999999996</v>
      </c>
      <c r="C24">
        <v>0.189</v>
      </c>
      <c r="D24">
        <v>0.105</v>
      </c>
      <c r="E24">
        <f t="shared" si="4"/>
        <v>6.4185937221488981E-9</v>
      </c>
      <c r="F24">
        <v>0.189</v>
      </c>
      <c r="G24">
        <f>F24/$C$57</f>
        <v>0.87096774193548387</v>
      </c>
      <c r="M24">
        <v>21</v>
      </c>
      <c r="N24" s="37">
        <f>(P_smrt_vyliecenie_hosp_O[[#This Row],[P_death]]-C23)/$C$57</f>
        <v>1.3824884792626741E-2</v>
      </c>
      <c r="O24" s="13">
        <f>J$2*N24+(1-J$2)*O23</f>
        <v>1.4218328185894533E-2</v>
      </c>
      <c r="P24" s="13">
        <f>O24/$O$58</f>
        <v>1.3241962859356955E-2</v>
      </c>
      <c r="Q24" s="13">
        <f>-1/LN(1-$J$3)*$J$3^(1+M24)/(1+M24)</f>
        <v>4.9090068414662218E-3</v>
      </c>
      <c r="R24" s="13">
        <f>Q24/$Q$58</f>
        <v>4.9351474855649658E-3</v>
      </c>
      <c r="S24" s="13">
        <f>G24-old!G23</f>
        <v>1.3824884792626779E-2</v>
      </c>
      <c r="T24" s="13">
        <f>1/(1+M24)^$J$4</f>
        <v>2.8589984312266847E-2</v>
      </c>
      <c r="U24" s="13">
        <f>T24/$T$58</f>
        <v>7.9307816861184377E-3</v>
      </c>
      <c r="V24" s="13">
        <f>$K$7*$M24^($J$6-1)*EXP(-($M24/$J$5)^$J$7)</f>
        <v>3.1612616421392934E-3</v>
      </c>
      <c r="W24" s="13">
        <f>V24/$V$58</f>
        <v>3.0596726421247187E-3</v>
      </c>
      <c r="X24" s="13">
        <f>J$8*J$9*EXP(J$8*M24)*J$10^J$9/(J$10-1+EXP(J$8*M24))^(J$9+1)</f>
        <v>4.6680749861288048E-3</v>
      </c>
      <c r="Y24" s="13">
        <f>X24/X$58</f>
        <v>4.5555874660094947E-3</v>
      </c>
      <c r="Z24" s="13">
        <f t="shared" si="8"/>
        <v>7.9307816861184377E-3</v>
      </c>
      <c r="AA24" s="13">
        <f>Z24/$Z$58</f>
        <v>6.7211018391806427E-3</v>
      </c>
      <c r="AB24" s="13">
        <f t="shared" si="7"/>
        <v>8.2368305727886958E-5</v>
      </c>
      <c r="AC24" s="13">
        <f t="shared" si="3"/>
        <v>9.8778195041988211E-5</v>
      </c>
      <c r="AE24" s="15">
        <f>(B24-B23)/$B$57</f>
        <v>1.0217113665389537E-2</v>
      </c>
      <c r="AF24" s="13">
        <f>AE24*$J$16+(1-$J$16)*AF23</f>
        <v>1.6391788253686718E-2</v>
      </c>
      <c r="AG24" s="13">
        <f>AF24/$AF$58</f>
        <v>1.6391838582365693E-2</v>
      </c>
      <c r="AH24" s="13">
        <f>_xlfn.GAMMA.DIST(M24,$J$17,$J$18,FALSE)</f>
        <v>1.66628206503764E-2</v>
      </c>
      <c r="AI24" s="14">
        <f>AH24/$AH$58</f>
        <v>1.6662880648354784E-2</v>
      </c>
    </row>
    <row r="25" spans="1:35" x14ac:dyDescent="0.35">
      <c r="A25">
        <v>22</v>
      </c>
      <c r="B25">
        <v>0.71299999999999997</v>
      </c>
      <c r="C25">
        <v>0.189</v>
      </c>
      <c r="D25">
        <v>9.8000000000000004E-2</v>
      </c>
      <c r="E25">
        <f t="shared" si="4"/>
        <v>6.7395234082563432E-10</v>
      </c>
      <c r="F25">
        <v>0.193</v>
      </c>
      <c r="G25">
        <f>F25/$C$57</f>
        <v>0.88940092165898621</v>
      </c>
      <c r="M25">
        <v>22</v>
      </c>
      <c r="N25" s="37">
        <f>(P_smrt_vyliecenie_hosp_O[[#This Row],[P_death]]-C24)/$C$57</f>
        <v>0</v>
      </c>
      <c r="O25" s="13">
        <f>J$2*N25+(1-J$2)*O24</f>
        <v>7.1091640929472665E-3</v>
      </c>
      <c r="P25" s="13">
        <f>O25/$O$58</f>
        <v>6.6209814296784774E-3</v>
      </c>
      <c r="Q25" s="13">
        <f>-1/LN(1-$J$3)*$J$3^(1+M25)/(1+M25)</f>
        <v>4.4607931733323496E-3</v>
      </c>
      <c r="R25" s="13">
        <f>Q25/$Q$58</f>
        <v>4.4845470629699038E-3</v>
      </c>
      <c r="S25" s="13">
        <f>G25-old!G24</f>
        <v>1.8433179723502335E-2</v>
      </c>
      <c r="T25" s="13">
        <f>1/(1+M25)^$J$4</f>
        <v>2.7165205114456772E-2</v>
      </c>
      <c r="U25" s="13">
        <f>T25/$T$58</f>
        <v>7.5355519215499264E-3</v>
      </c>
      <c r="V25" s="13">
        <f>$K$7*$M25^($J$6-1)*EXP(-($M25/$J$5)^$J$7)</f>
        <v>1.4814961628527648E-3</v>
      </c>
      <c r="W25" s="13">
        <f>V25/$V$58</f>
        <v>1.4338874133258536E-3</v>
      </c>
      <c r="X25" s="13">
        <f>J$8*J$9*EXP(J$8*M25)*J$10^J$9/(J$10-1+EXP(J$8*M25))^(J$9+1)</f>
        <v>3.6300496911087017E-3</v>
      </c>
      <c r="Y25" s="13">
        <f>X25/X$58</f>
        <v>3.5425756704736315E-3</v>
      </c>
      <c r="Z25" s="13">
        <f t="shared" si="8"/>
        <v>7.5355519215499264E-3</v>
      </c>
      <c r="AA25" s="13">
        <f>Z25/$Z$58</f>
        <v>6.3861563567964887E-3</v>
      </c>
      <c r="AB25" s="13">
        <f t="shared" si="7"/>
        <v>1.5419275661098304E-5</v>
      </c>
      <c r="AC25" s="13">
        <f t="shared" si="3"/>
        <v>1.8491192761568324E-5</v>
      </c>
      <c r="AE25" s="15">
        <f>(B25-B24)/$B$57</f>
        <v>8.9399744572158449E-3</v>
      </c>
      <c r="AF25" s="13">
        <f>AE25*$J$16+(1-$J$16)*AF24</f>
        <v>1.2665881355451282E-2</v>
      </c>
      <c r="AG25" s="13">
        <f>AF25/$AF$58</f>
        <v>1.2665920244257481E-2</v>
      </c>
      <c r="AH25" s="13">
        <f>_xlfn.GAMMA.DIST(M25,$J$17,$J$18,FALSE)</f>
        <v>1.3830895059420034E-2</v>
      </c>
      <c r="AI25" s="14">
        <f>AH25/$AH$58</f>
        <v>1.3830944860456738E-2</v>
      </c>
    </row>
    <row r="26" spans="1:35" x14ac:dyDescent="0.35">
      <c r="A26">
        <v>23</v>
      </c>
      <c r="B26">
        <v>0.72599999999999998</v>
      </c>
      <c r="C26">
        <v>0.189</v>
      </c>
      <c r="D26">
        <v>8.5000000000000006E-2</v>
      </c>
      <c r="E26">
        <f t="shared" si="4"/>
        <v>6.604732940091217E-11</v>
      </c>
      <c r="F26">
        <v>0.19500000000000001</v>
      </c>
      <c r="G26">
        <f>F26/$C$57</f>
        <v>0.89861751152073732</v>
      </c>
      <c r="M26">
        <v>23</v>
      </c>
      <c r="N26" s="37">
        <f>(P_smrt_vyliecenie_hosp_O[[#This Row],[P_death]]-C25)/$C$57</f>
        <v>0</v>
      </c>
      <c r="O26" s="13">
        <f>J$2*N26+(1-J$2)*O25</f>
        <v>3.5545820464736332E-3</v>
      </c>
      <c r="P26" s="13">
        <f>O26/$O$58</f>
        <v>3.3104907148392387E-3</v>
      </c>
      <c r="Q26" s="13">
        <f>-1/LN(1-$J$3)*$J$3^(1+M26)/(1+M26)</f>
        <v>4.0611804515546602E-3</v>
      </c>
      <c r="R26" s="13">
        <f>Q26/$Q$58</f>
        <v>4.0828063885788501E-3</v>
      </c>
      <c r="S26" s="13">
        <f>G26-old!G25</f>
        <v>9.2165898617511122E-3</v>
      </c>
      <c r="T26" s="13">
        <f>1/(1+M26)^$J$4</f>
        <v>2.5867655712084457E-2</v>
      </c>
      <c r="U26" s="13">
        <f>T26/$T$58</f>
        <v>7.1756153463922757E-3</v>
      </c>
      <c r="V26" s="13">
        <f>$K$7*$M26^($J$6-1)*EXP(-($M26/$J$5)^$J$7)</f>
        <v>5.9761935310965195E-4</v>
      </c>
      <c r="W26" s="13">
        <f>V26/$V$58</f>
        <v>5.7841450411440026E-4</v>
      </c>
      <c r="X26" s="13">
        <f>J$8*J$9*EXP(J$8*M26)*J$10^J$9/(J$10-1+EXP(J$8*M26))^(J$9+1)</f>
        <v>2.8202996823040146E-3</v>
      </c>
      <c r="Y26" s="13">
        <f>X26/X$58</f>
        <v>2.7523383667299585E-3</v>
      </c>
      <c r="Z26" s="13">
        <f t="shared" si="8"/>
        <v>7.1756153463922757E-3</v>
      </c>
      <c r="AA26" s="13">
        <f>Z26/$Z$58</f>
        <v>6.0811208038049295E-3</v>
      </c>
      <c r="AB26" s="13">
        <f t="shared" si="7"/>
        <v>2.0704343144377126E-6</v>
      </c>
      <c r="AC26" s="13">
        <f t="shared" si="3"/>
        <v>2.4829181895374655E-6</v>
      </c>
      <c r="AE26" s="15">
        <f>(B26-B25)/$B$57</f>
        <v>1.6602809706257996E-2</v>
      </c>
      <c r="AF26" s="13">
        <f>AE26*$J$16+(1-$J$16)*AF25</f>
        <v>1.4634345530854638E-2</v>
      </c>
      <c r="AG26" s="13">
        <f>AF26/$AF$58</f>
        <v>1.4634390463553061E-2</v>
      </c>
      <c r="AH26" s="13">
        <f>_xlfn.GAMMA.DIST(M26,$J$17,$J$18,FALSE)</f>
        <v>1.1418463549877167E-2</v>
      </c>
      <c r="AI26" s="14">
        <f>AH26/$AH$58</f>
        <v>1.141850466444856E-2</v>
      </c>
    </row>
    <row r="27" spans="1:35" x14ac:dyDescent="0.35">
      <c r="A27">
        <v>24</v>
      </c>
      <c r="B27">
        <v>0.73199999999999998</v>
      </c>
      <c r="C27">
        <v>0.189</v>
      </c>
      <c r="D27">
        <v>7.9000000000000001E-2</v>
      </c>
      <c r="E27">
        <f t="shared" si="4"/>
        <v>5.6140229990775349E-12</v>
      </c>
      <c r="F27">
        <v>0.2</v>
      </c>
      <c r="G27">
        <f>F27/$C$57</f>
        <v>0.92165898617511521</v>
      </c>
      <c r="M27">
        <v>24</v>
      </c>
      <c r="N27" s="37">
        <f>(P_smrt_vyliecenie_hosp_O[[#This Row],[P_death]]-C26)/$C$57</f>
        <v>0</v>
      </c>
      <c r="O27" s="13">
        <f>J$2*N27+(1-J$2)*O26</f>
        <v>1.7772910232368166E-3</v>
      </c>
      <c r="P27" s="13">
        <f>O27/$O$58</f>
        <v>1.6552453574196194E-3</v>
      </c>
      <c r="Q27" s="13">
        <f>-1/LN(1-$J$3)*$J$3^(1+M27)/(1+M27)</f>
        <v>3.7037965718178497E-3</v>
      </c>
      <c r="R27" s="13">
        <f>Q27/$Q$58</f>
        <v>3.723519426383911E-3</v>
      </c>
      <c r="S27" s="13">
        <f>G27-old!G26</f>
        <v>2.3041474654377891E-2</v>
      </c>
      <c r="T27" s="13">
        <f>1/(1+M27)^$J$4</f>
        <v>2.4681354508800393E-2</v>
      </c>
      <c r="U27" s="13">
        <f>T27/$T$58</f>
        <v>6.8465387105163767E-3</v>
      </c>
      <c r="V27" s="13">
        <f>$K$7*$M27^($J$6-1)*EXP(-($M27/$J$5)^$J$7)</f>
        <v>2.0310925363511138E-4</v>
      </c>
      <c r="W27" s="13">
        <f>V27/$V$58</f>
        <v>1.9658221844907903E-4</v>
      </c>
      <c r="X27" s="13">
        <f>J$8*J$9*EXP(J$8*M27)*J$10^J$9/(J$10-1+EXP(J$8*M27))^(J$9+1)</f>
        <v>2.189710336705529E-3</v>
      </c>
      <c r="Y27" s="13">
        <f>X27/X$58</f>
        <v>2.1369444564899049E-3</v>
      </c>
      <c r="Z27" s="13">
        <f t="shared" si="8"/>
        <v>6.8465387105163767E-3</v>
      </c>
      <c r="AA27" s="13">
        <f>Z27/$Z$58</f>
        <v>5.8022381324425078E-3</v>
      </c>
      <c r="AB27" s="13">
        <f t="shared" si="7"/>
        <v>1.9017360041312859E-7</v>
      </c>
      <c r="AC27" s="13">
        <f t="shared" si="3"/>
        <v>2.2806108280900596E-7</v>
      </c>
      <c r="AE27" s="15">
        <f>(B27-B26)/$B$57</f>
        <v>7.6628352490421521E-3</v>
      </c>
      <c r="AF27" s="13">
        <f>AE27*$J$16+(1-$J$16)*AF26</f>
        <v>1.1148590389948395E-2</v>
      </c>
      <c r="AG27" s="13">
        <f>AF27/$AF$58</f>
        <v>1.1148624620126217E-2</v>
      </c>
      <c r="AH27" s="13">
        <f>_xlfn.GAMMA.DIST(M27,$J$17,$J$18,FALSE)</f>
        <v>9.3803768754114735E-3</v>
      </c>
      <c r="AI27" s="14">
        <f>AH27/$AH$58</f>
        <v>9.3804106514245988E-3</v>
      </c>
    </row>
    <row r="28" spans="1:35" x14ac:dyDescent="0.35">
      <c r="A28">
        <v>25</v>
      </c>
      <c r="B28">
        <v>0.73599999999999999</v>
      </c>
      <c r="C28">
        <v>0.193</v>
      </c>
      <c r="D28">
        <v>7.0999999999999994E-2</v>
      </c>
      <c r="E28">
        <f t="shared" si="4"/>
        <v>4.4350781692712526E-13</v>
      </c>
      <c r="F28">
        <v>0.20300000000000001</v>
      </c>
      <c r="G28">
        <f>F28/$C$57</f>
        <v>0.93548387096774199</v>
      </c>
      <c r="M28">
        <v>25</v>
      </c>
      <c r="N28" s="37">
        <f>(P_smrt_vyliecenie_hosp_O[[#This Row],[P_death]]-C27)/$C$57</f>
        <v>1.8433179723502321E-2</v>
      </c>
      <c r="O28" s="13">
        <f>J$2*N28+(1-J$2)*O27</f>
        <v>1.0105235373369569E-2</v>
      </c>
      <c r="P28" s="13">
        <f>O28/$O$58</f>
        <v>9.4113140271984246E-3</v>
      </c>
      <c r="Q28" s="13">
        <f>-1/LN(1-$J$3)*$J$3^(1+M28)/(1+M28)</f>
        <v>3.3832757146413052E-3</v>
      </c>
      <c r="R28" s="13">
        <f>Q28/$Q$58</f>
        <v>3.4012917837160728E-3</v>
      </c>
      <c r="S28" s="13">
        <f>G28-old!G27</f>
        <v>1.3824884792626779E-2</v>
      </c>
      <c r="T28" s="13">
        <f>1/(1+M28)^$J$4</f>
        <v>2.359286321745117E-2</v>
      </c>
      <c r="U28" s="13">
        <f>T28/$T$58</f>
        <v>6.5445942706508419E-3</v>
      </c>
      <c r="V28" s="13">
        <f>$K$7*$M28^($J$6-1)*EXP(-($M28/$J$5)^$J$7)</f>
        <v>5.6815827326698886E-5</v>
      </c>
      <c r="W28" s="13">
        <f>V28/$V$58</f>
        <v>5.4990017337996355E-5</v>
      </c>
      <c r="X28" s="13">
        <f>J$8*J$9*EXP(J$8*M28)*J$10^J$9/(J$10-1+EXP(J$8*M28))^(J$9+1)</f>
        <v>1.6992678249400951E-3</v>
      </c>
      <c r="Y28" s="13">
        <f>X28/X$58</f>
        <v>1.658320234292122E-3</v>
      </c>
      <c r="Z28" s="13">
        <f t="shared" si="8"/>
        <v>6.5445942706508419E-3</v>
      </c>
      <c r="AA28" s="13">
        <f>Z28/$Z$58</f>
        <v>5.5463491910456271E-3</v>
      </c>
      <c r="AB28" s="13">
        <f t="shared" si="7"/>
        <v>1.1346431266877728E-8</v>
      </c>
      <c r="AC28" s="13">
        <f t="shared" si="3"/>
        <v>1.3606932797826211E-8</v>
      </c>
      <c r="AE28" s="15">
        <f>(B28-B27)/$B$57</f>
        <v>5.1085568326947684E-3</v>
      </c>
      <c r="AF28" s="13">
        <f>AE28*$J$16+(1-$J$16)*AF27</f>
        <v>8.1285736113215819E-3</v>
      </c>
      <c r="AG28" s="13">
        <f>AF28/$AF$58</f>
        <v>8.1285985689629001E-3</v>
      </c>
      <c r="AH28" s="13">
        <f>_xlfn.GAMMA.DIST(M28,$J$17,$J$18,FALSE)</f>
        <v>7.671199861722898E-3</v>
      </c>
      <c r="AI28" s="14">
        <f>AH28/$AH$58</f>
        <v>7.6712274834859319E-3</v>
      </c>
    </row>
    <row r="29" spans="1:35" x14ac:dyDescent="0.35">
      <c r="A29">
        <v>26</v>
      </c>
      <c r="B29">
        <v>0.74299999999999999</v>
      </c>
      <c r="C29">
        <v>0.19500000000000001</v>
      </c>
      <c r="D29">
        <v>6.2E-2</v>
      </c>
      <c r="E29">
        <f t="shared" si="4"/>
        <v>3.1489055001825891E-14</v>
      </c>
      <c r="F29">
        <v>0.20599999999999999</v>
      </c>
      <c r="G29">
        <f>F29/$C$57</f>
        <v>0.94930875576036866</v>
      </c>
      <c r="M29">
        <v>26</v>
      </c>
      <c r="N29" s="37">
        <f>(P_smrt_vyliecenie_hosp_O[[#This Row],[P_death]]-C28)/$C$57</f>
        <v>9.2165898617511607E-3</v>
      </c>
      <c r="O29" s="13">
        <f>J$2*N29+(1-J$2)*O28</f>
        <v>9.6609126175603646E-3</v>
      </c>
      <c r="P29" s="13">
        <f>O29/$O$58</f>
        <v>8.9975026878435192E-3</v>
      </c>
      <c r="Q29" s="13">
        <f>-1/LN(1-$J$3)*$J$3^(1+M29)/(1+M29)</f>
        <v>3.0950707463570457E-3</v>
      </c>
      <c r="R29" s="13">
        <f>Q29/$Q$58</f>
        <v>3.1115521132513702E-3</v>
      </c>
      <c r="S29" s="13">
        <f>G29-old!G28</f>
        <v>1.3824884792626668E-2</v>
      </c>
      <c r="T29" s="13">
        <f>1/(1+M29)^$J$4</f>
        <v>2.2590803147448716E-2</v>
      </c>
      <c r="U29" s="13">
        <f>T29/$T$58</f>
        <v>6.2666256098511145E-3</v>
      </c>
      <c r="V29" s="13">
        <f>$K$7*$M29^($J$6-1)*EXP(-($M29/$J$5)^$J$7)</f>
        <v>1.2753137398742943E-5</v>
      </c>
      <c r="W29" s="13">
        <f>V29/$V$58</f>
        <v>1.2343307836356571E-5</v>
      </c>
      <c r="X29" s="13">
        <f>J$8*J$9*EXP(J$8*M29)*J$10^J$9/(J$10-1+EXP(J$8*M29))^(J$9+1)</f>
        <v>1.3181855581432132E-3</v>
      </c>
      <c r="Y29" s="13">
        <f>X29/X$58</f>
        <v>1.2864209817528957E-3</v>
      </c>
      <c r="Z29" s="13">
        <f t="shared" si="8"/>
        <v>6.2666256098511145E-3</v>
      </c>
      <c r="AA29" s="13">
        <f>Z29/$Z$58</f>
        <v>5.310779010037403E-3</v>
      </c>
      <c r="AB29" s="13">
        <f t="shared" si="7"/>
        <v>4.1568797035362338E-10</v>
      </c>
      <c r="AC29" s="13">
        <f t="shared" si="3"/>
        <v>4.9850372724489191E-10</v>
      </c>
      <c r="AE29" s="15">
        <f>(B29-B28)/$B$57</f>
        <v>8.9399744572158449E-3</v>
      </c>
      <c r="AF29" s="13">
        <f>AE29*$J$16+(1-$J$16)*AF28</f>
        <v>8.5342740342687143E-3</v>
      </c>
      <c r="AG29" s="13">
        <f>AF29/$AF$58</f>
        <v>8.5343002375560858E-3</v>
      </c>
      <c r="AH29" s="13">
        <f>_xlfn.GAMMA.DIST(M29,$J$17,$J$18,FALSE)</f>
        <v>6.2472838948573022E-3</v>
      </c>
      <c r="AI29" s="14">
        <f>AH29/$AH$58</f>
        <v>6.2473063895124355E-3</v>
      </c>
    </row>
    <row r="30" spans="1:35" x14ac:dyDescent="0.35">
      <c r="A30">
        <v>27</v>
      </c>
      <c r="B30">
        <v>0.745</v>
      </c>
      <c r="C30">
        <v>0.2</v>
      </c>
      <c r="D30">
        <v>5.3999999999999999E-2</v>
      </c>
      <c r="E30">
        <f t="shared" si="4"/>
        <v>1.9523214101132054E-15</v>
      </c>
      <c r="F30">
        <v>0.20899999999999999</v>
      </c>
      <c r="G30">
        <f>F30/$C$57</f>
        <v>0.96313364055299533</v>
      </c>
      <c r="M30">
        <v>27</v>
      </c>
      <c r="N30" s="37">
        <f>(P_smrt_vyliecenie_hosp_O[[#This Row],[P_death]]-C29)/$C$57</f>
        <v>2.3041474654377902E-2</v>
      </c>
      <c r="O30" s="13">
        <f>J$2*N30+(1-J$2)*O29</f>
        <v>1.6351193635969132E-2</v>
      </c>
      <c r="P30" s="13">
        <f>O30/$O$58</f>
        <v>1.5228365529532526E-2</v>
      </c>
      <c r="Q30" s="13">
        <f>-1/LN(1-$J$3)*$J$3^(1+M30)/(1+M30)</f>
        <v>2.8353058801449363E-3</v>
      </c>
      <c r="R30" s="13">
        <f>Q30/$Q$58</f>
        <v>2.8504039894606298E-3</v>
      </c>
      <c r="S30" s="13">
        <f>G30-old!G29</f>
        <v>1.3824884792626668E-2</v>
      </c>
      <c r="T30" s="13">
        <f>1/(1+M30)^$J$4</f>
        <v>2.1665477438789087E-2</v>
      </c>
      <c r="U30" s="13">
        <f>T30/$T$58</f>
        <v>6.0099428462728338E-3</v>
      </c>
      <c r="V30" s="13">
        <f>$K$7*$M30^($J$6-1)*EXP(-($M30/$J$5)^$J$7)</f>
        <v>2.2347522695498889E-6</v>
      </c>
      <c r="W30" s="13">
        <f>V30/$V$58</f>
        <v>2.1629371925193649E-6</v>
      </c>
      <c r="X30" s="13">
        <f>J$8*J$9*EXP(J$8*M30)*J$10^J$9/(J$10-1+EXP(J$8*M30))^(J$9+1)</f>
        <v>1.0222856396840435E-3</v>
      </c>
      <c r="Y30" s="13">
        <f>X30/X$58</f>
        <v>9.9765142176694776E-4</v>
      </c>
      <c r="Z30" s="13">
        <f t="shared" si="8"/>
        <v>6.0099428462728338E-3</v>
      </c>
      <c r="AA30" s="13">
        <f>Z30/$Z$58</f>
        <v>5.0932479944766516E-3</v>
      </c>
      <c r="AB30" s="13">
        <f t="shared" si="7"/>
        <v>8.7987688107755669E-12</v>
      </c>
      <c r="AC30" s="13">
        <f t="shared" si="3"/>
        <v>1.0551710321581819E-11</v>
      </c>
      <c r="AE30" s="15">
        <f>(B30-B29)/$B$57</f>
        <v>2.5542784163473842E-3</v>
      </c>
      <c r="AF30" s="13">
        <f>AE30*$J$16+(1-$J$16)*AF29</f>
        <v>5.544276225308049E-3</v>
      </c>
      <c r="AG30" s="13">
        <f>AF30/$AF$58</f>
        <v>5.5442932482279387E-3</v>
      </c>
      <c r="AH30" s="13">
        <f>_xlfn.GAMMA.DIST(M30,$J$17,$J$18,FALSE)</f>
        <v>5.0680531045744432E-3</v>
      </c>
      <c r="AI30" s="14">
        <f>AH30/$AH$58</f>
        <v>5.0680713531619419E-3</v>
      </c>
    </row>
    <row r="31" spans="1:35" x14ac:dyDescent="0.35">
      <c r="A31">
        <v>28</v>
      </c>
      <c r="B31">
        <v>0.748</v>
      </c>
      <c r="C31">
        <v>0.20300000000000001</v>
      </c>
      <c r="D31">
        <v>4.9000000000000002E-2</v>
      </c>
      <c r="E31">
        <f t="shared" si="4"/>
        <v>1.0542535614611309E-16</v>
      </c>
      <c r="F31">
        <v>0.21299999999999999</v>
      </c>
      <c r="G31">
        <f>F31/$C$57</f>
        <v>0.98156682027649766</v>
      </c>
      <c r="M31">
        <v>28</v>
      </c>
      <c r="N31" s="37">
        <f>(P_smrt_vyliecenie_hosp_O[[#This Row],[P_death]]-C30)/$C$57</f>
        <v>1.3824884792626741E-2</v>
      </c>
      <c r="O31" s="13">
        <f>J$2*N31+(1-J$2)*O30</f>
        <v>1.5088039214297936E-2</v>
      </c>
      <c r="P31" s="13">
        <f>O31/$O$58</f>
        <v>1.4051951276132724E-2</v>
      </c>
      <c r="Q31" s="13">
        <f>-1/LN(1-$J$3)*$J$3^(1+M31)/(1+M31)</f>
        <v>2.6006598762708727E-3</v>
      </c>
      <c r="R31" s="13">
        <f>Q31/$Q$58</f>
        <v>2.614508486884578E-3</v>
      </c>
      <c r="S31" s="13">
        <f>G31-old!G30</f>
        <v>1.8433179723502335E-2</v>
      </c>
      <c r="T31" s="13">
        <f>1/(1+M31)^$J$4</f>
        <v>2.0808573192373357E-2</v>
      </c>
      <c r="U31" s="13">
        <f>T31/$T$58</f>
        <v>5.7722400049559494E-3</v>
      </c>
      <c r="V31" s="13">
        <f>$K$7*$M31^($J$6-1)*EXP(-($M31/$J$5)^$J$7)</f>
        <v>2.9676262118865292E-7</v>
      </c>
      <c r="W31" s="13">
        <f>V31/$V$58</f>
        <v>2.8722598001780139E-7</v>
      </c>
      <c r="X31" s="13">
        <f>J$8*J$9*EXP(J$8*M31)*J$10^J$9/(J$10-1+EXP(J$8*M31))^(J$9+1)</f>
        <v>7.9264684299197022E-4</v>
      </c>
      <c r="Y31" s="13">
        <f>X31/X$58</f>
        <v>7.7354627627795761E-4</v>
      </c>
      <c r="Z31" s="13">
        <f t="shared" si="8"/>
        <v>5.7722400049559494E-3</v>
      </c>
      <c r="AA31" s="13">
        <f>Z31/$Z$58</f>
        <v>4.8918018990999797E-3</v>
      </c>
      <c r="AB31" s="13">
        <f t="shared" si="7"/>
        <v>1.0075270023125367E-13</v>
      </c>
      <c r="AC31" s="13">
        <f t="shared" si="3"/>
        <v>1.2082523473686431E-13</v>
      </c>
      <c r="AE31" s="15">
        <f>(B31-B30)/$B$57</f>
        <v>3.8314176245210761E-3</v>
      </c>
      <c r="AF31" s="13">
        <f>AE31*$J$16+(1-$J$16)*AF30</f>
        <v>4.6878469249145623E-3</v>
      </c>
      <c r="AG31" s="13">
        <f>AF31/$AF$58</f>
        <v>4.6878613182888126E-3</v>
      </c>
      <c r="AH31" s="13">
        <f>_xlfn.GAMMA.DIST(M31,$J$17,$J$18,FALSE)</f>
        <v>4.0967090653228639E-3</v>
      </c>
      <c r="AI31" s="14">
        <f>AH31/$AH$58</f>
        <v>4.0967238163825493E-3</v>
      </c>
    </row>
    <row r="32" spans="1:35" x14ac:dyDescent="0.35">
      <c r="A32">
        <v>29</v>
      </c>
      <c r="B32">
        <v>0.754</v>
      </c>
      <c r="C32">
        <v>0.20599999999999999</v>
      </c>
      <c r="D32">
        <v>0.04</v>
      </c>
      <c r="E32">
        <f t="shared" si="4"/>
        <v>5.1658424511595413E-18</v>
      </c>
      <c r="F32">
        <v>0.217</v>
      </c>
      <c r="G32">
        <f>F32/$C$57</f>
        <v>1</v>
      </c>
      <c r="M32">
        <v>29</v>
      </c>
      <c r="N32" s="37">
        <f>(P_smrt_vyliecenie_hosp_O[[#This Row],[P_death]]-C31)/$C$57</f>
        <v>1.3824884792626613E-2</v>
      </c>
      <c r="O32" s="13">
        <f>J$2*N32+(1-J$2)*O31</f>
        <v>1.4456462003462275E-2</v>
      </c>
      <c r="P32" s="13">
        <f>O32/$O$58</f>
        <v>1.3463744149432764E-2</v>
      </c>
      <c r="Q32" s="13">
        <f>-1/LN(1-$J$3)*$J$3^(1+M32)/(1+M32)</f>
        <v>2.3882726530420843E-3</v>
      </c>
      <c r="R32" s="13">
        <f>Q32/$Q$58</f>
        <v>2.4009902937890035E-3</v>
      </c>
      <c r="S32" s="13">
        <f>G32-old!G31</f>
        <v>1.8433179723502335E-2</v>
      </c>
      <c r="T32" s="13">
        <f>1/(1+M32)^$J$4</f>
        <v>2.0012924504605577E-2</v>
      </c>
      <c r="U32" s="13">
        <f>T32/$T$58</f>
        <v>5.5515292842849536E-3</v>
      </c>
      <c r="V32" s="13">
        <f>$K$7*$M32^($J$6-1)*EXP(-($M32/$J$5)^$J$7)</f>
        <v>2.8924693021435354E-8</v>
      </c>
      <c r="W32" s="13">
        <f>V32/$V$58</f>
        <v>2.7995181018819945E-8</v>
      </c>
      <c r="X32" s="13">
        <f>J$8*J$9*EXP(J$8*M32)*J$10^J$9/(J$10-1+EXP(J$8*M32))^(J$9+1)</f>
        <v>6.1449987478464643E-4</v>
      </c>
      <c r="Y32" s="13">
        <f>X32/X$58</f>
        <v>5.9969215056565844E-4</v>
      </c>
      <c r="Z32" s="13">
        <f t="shared" si="8"/>
        <v>5.5515292842849536E-3</v>
      </c>
      <c r="AA32" s="13">
        <f>Z32/$Z$58</f>
        <v>4.7047561210999123E-3</v>
      </c>
      <c r="AB32" s="13">
        <f t="shared" si="7"/>
        <v>5.8144861286754446E-16</v>
      </c>
      <c r="AC32" s="13">
        <f t="shared" si="3"/>
        <v>6.9728816176533983E-16</v>
      </c>
      <c r="AE32" s="15">
        <f>(B32-B31)/$B$57</f>
        <v>7.6628352490421521E-3</v>
      </c>
      <c r="AF32" s="13">
        <f>AE32*$J$16+(1-$J$16)*AF31</f>
        <v>6.1753410869783577E-3</v>
      </c>
      <c r="AG32" s="13">
        <f>AF32/$AF$58</f>
        <v>6.1753600474940941E-3</v>
      </c>
      <c r="AH32" s="13">
        <f>_xlfn.GAMMA.DIST(M32,$J$17,$J$18,FALSE)</f>
        <v>3.3005199656912774E-3</v>
      </c>
      <c r="AI32" s="14">
        <f>AH32/$AH$58</f>
        <v>3.3005318499052237E-3</v>
      </c>
    </row>
    <row r="33" spans="1:35" x14ac:dyDescent="0.35">
      <c r="A33">
        <v>30</v>
      </c>
      <c r="B33">
        <v>0.75700000000000001</v>
      </c>
      <c r="C33">
        <v>0.20599999999999999</v>
      </c>
      <c r="D33">
        <v>3.6999999999999998E-2</v>
      </c>
      <c r="E33">
        <f t="shared" si="4"/>
        <v>2.0663369804638166E-19</v>
      </c>
      <c r="F33">
        <v>0.217</v>
      </c>
      <c r="G33">
        <f>F33/$C$57</f>
        <v>1</v>
      </c>
      <c r="M33">
        <v>30</v>
      </c>
      <c r="N33" s="37">
        <f>(P_smrt_vyliecenie_hosp_O[[#This Row],[P_death]]-C32)/$C$57</f>
        <v>0</v>
      </c>
      <c r="O33" s="13">
        <f>J$2*N33+(1-J$2)*O32</f>
        <v>7.2282310017311377E-3</v>
      </c>
      <c r="P33" s="13">
        <f>O33/$O$58</f>
        <v>6.7318720747163822E-3</v>
      </c>
      <c r="Q33" s="13">
        <f>-1/LN(1-$J$3)*$J$3^(1+M33)/(1+M33)</f>
        <v>2.1956700197322391E-3</v>
      </c>
      <c r="R33" s="13">
        <f>Q33/$Q$58</f>
        <v>2.2073620442898908E-3</v>
      </c>
      <c r="S33" s="13">
        <f>G33-old!G32</f>
        <v>0</v>
      </c>
      <c r="T33" s="13">
        <f>1/(1+M33)^$J$4</f>
        <v>1.9272322394573081E-2</v>
      </c>
      <c r="U33" s="13">
        <f>T33/$T$58</f>
        <v>5.3460883303203064E-3</v>
      </c>
      <c r="V33" s="13">
        <f>$K$7*$M33^($J$6-1)*EXP(-($M33/$J$5)^$J$7)</f>
        <v>1.9993694358858595E-9</v>
      </c>
      <c r="W33" s="13">
        <f>V33/$V$58</f>
        <v>1.9351185244953373E-9</v>
      </c>
      <c r="X33" s="13">
        <f>J$8*J$9*EXP(J$8*M33)*J$10^J$9/(J$10-1+EXP(J$8*M33))^(J$9+1)</f>
        <v>4.7633816967839414E-4</v>
      </c>
      <c r="Y33" s="13">
        <f>X33/X$58</f>
        <v>4.6485975521322104E-4</v>
      </c>
      <c r="Z33" s="13">
        <f t="shared" si="8"/>
        <v>5.3460883303203064E-3</v>
      </c>
      <c r="AA33" s="13">
        <f>Z33/$Z$58</f>
        <v>4.5306510166873582E-3</v>
      </c>
      <c r="AB33" s="13">
        <f t="shared" si="7"/>
        <v>1.5672901874293644E-18</v>
      </c>
      <c r="AC33" s="13">
        <f t="shared" si="3"/>
        <v>1.8795347852939692E-18</v>
      </c>
      <c r="AE33" s="15">
        <f>(B33-B32)/$B$57</f>
        <v>3.8314176245210761E-3</v>
      </c>
      <c r="AF33" s="13">
        <f>AE33*$J$16+(1-$J$16)*AF32</f>
        <v>5.0033793557497167E-3</v>
      </c>
      <c r="AG33" s="13">
        <f>AF33/$AF$58</f>
        <v>5.0033947179218899E-3</v>
      </c>
      <c r="AH33" s="13">
        <f>_xlfn.GAMMA.DIST(M33,$J$17,$J$18,FALSE)</f>
        <v>2.6508246058221789E-3</v>
      </c>
      <c r="AI33" s="14">
        <f>AH33/$AH$58</f>
        <v>2.6508341506718013E-3</v>
      </c>
    </row>
    <row r="34" spans="1:35" x14ac:dyDescent="0.35">
      <c r="A34">
        <v>31</v>
      </c>
      <c r="B34">
        <v>0.76</v>
      </c>
      <c r="C34">
        <v>0.20899999999999999</v>
      </c>
      <c r="D34">
        <v>0.03</v>
      </c>
      <c r="E34">
        <f t="shared" si="4"/>
        <v>7.6454468277161206E-21</v>
      </c>
      <c r="F34">
        <v>0.217</v>
      </c>
      <c r="G34">
        <f>F34/$C$57</f>
        <v>1</v>
      </c>
      <c r="M34">
        <v>31</v>
      </c>
      <c r="N34" s="37">
        <f>(P_smrt_vyliecenie_hosp_O[[#This Row],[P_death]]-C33)/$C$57</f>
        <v>1.3824884792626741E-2</v>
      </c>
      <c r="O34" s="13">
        <f>J$2*N34+(1-J$2)*O33</f>
        <v>1.0526557897178939E-2</v>
      </c>
      <c r="P34" s="13">
        <f>O34/$O$58</f>
        <v>9.8037045487246524E-3</v>
      </c>
      <c r="Q34" s="13">
        <f>-1/LN(1-$J$3)*$J$3^(1+M34)/(1+M34)</f>
        <v>2.0207025650348263E-3</v>
      </c>
      <c r="R34" s="13">
        <f>Q34/$Q$58</f>
        <v>2.03146288138554E-3</v>
      </c>
      <c r="S34" s="13">
        <f>G34-old!G33</f>
        <v>0</v>
      </c>
      <c r="T34" s="13">
        <f>1/(1+M34)^$J$4</f>
        <v>1.8581361171917526E-2</v>
      </c>
      <c r="U34" s="13">
        <f>T34/$T$58</f>
        <v>5.1544176196755484E-3</v>
      </c>
      <c r="V34" s="13">
        <f>$K$7*$M34^($J$6-1)*EXP(-($M34/$J$5)^$J$7)</f>
        <v>9.4471973187704722E-11</v>
      </c>
      <c r="W34" s="13">
        <f>V34/$V$58</f>
        <v>9.143606082992597E-11</v>
      </c>
      <c r="X34" s="13">
        <f>J$8*J$9*EXP(J$8*M34)*J$10^J$9/(J$10-1+EXP(J$8*M34))^(J$9+1)</f>
        <v>3.6920964785441785E-4</v>
      </c>
      <c r="Y34" s="13">
        <f>X34/X$58</f>
        <v>3.6031273042813871E-4</v>
      </c>
      <c r="Z34" s="13">
        <f t="shared" si="8"/>
        <v>5.1544176196755484E-3</v>
      </c>
      <c r="AA34" s="13">
        <f>Z34/$Z$58</f>
        <v>4.3682157843462138E-3</v>
      </c>
      <c r="AB34" s="13">
        <f t="shared" si="7"/>
        <v>1.8187673986507846E-21</v>
      </c>
      <c r="AC34" s="13">
        <f t="shared" si="3"/>
        <v>2.1811127381136861E-21</v>
      </c>
      <c r="AE34" s="15">
        <f>(B34-B33)/$B$57</f>
        <v>3.8314176245210761E-3</v>
      </c>
      <c r="AF34" s="13">
        <f>AE34*$J$16+(1-$J$16)*AF33</f>
        <v>4.4173984901353961E-3</v>
      </c>
      <c r="AG34" s="13">
        <f>AF34/$AF$58</f>
        <v>4.4174120531357882E-3</v>
      </c>
      <c r="AH34" s="13">
        <f>_xlfn.GAMMA.DIST(M34,$J$17,$J$18,FALSE)</f>
        <v>2.1228507811816449E-3</v>
      </c>
      <c r="AI34" s="14">
        <f>AH34/$AH$58</f>
        <v>2.1228584249508454E-3</v>
      </c>
    </row>
    <row r="35" spans="1:35" x14ac:dyDescent="0.35">
      <c r="A35">
        <v>32</v>
      </c>
      <c r="B35">
        <v>0.76</v>
      </c>
      <c r="C35">
        <v>0.20899999999999999</v>
      </c>
      <c r="D35">
        <v>0.03</v>
      </c>
      <c r="E35">
        <f t="shared" si="4"/>
        <v>2.2936340483148361E-22</v>
      </c>
      <c r="F35">
        <v>0.217</v>
      </c>
      <c r="G35">
        <f>F35/$C$57</f>
        <v>1</v>
      </c>
      <c r="M35">
        <v>32</v>
      </c>
      <c r="N35" s="37">
        <f>(P_smrt_vyliecenie_hosp_O[[#This Row],[P_death]]-C34)/$C$57</f>
        <v>0</v>
      </c>
      <c r="O35" s="13">
        <f>J$2*N35+(1-J$2)*O34</f>
        <v>5.2632789485894697E-3</v>
      </c>
      <c r="P35" s="13">
        <f>O35/$O$58</f>
        <v>4.9018522743623262E-3</v>
      </c>
      <c r="Q35" s="13">
        <f>-1/LN(1-$J$3)*$J$3^(1+M35)/(1+M35)</f>
        <v>1.8614956962745067E-3</v>
      </c>
      <c r="R35" s="13">
        <f>Q35/$Q$58</f>
        <v>1.8714082301248612E-3</v>
      </c>
      <c r="S35" s="13">
        <f>G35-old!G34</f>
        <v>0</v>
      </c>
      <c r="T35" s="13">
        <f>1/(1+M35)^$J$4</f>
        <v>1.7935313368643294E-2</v>
      </c>
      <c r="U35" s="13">
        <f>T35/$T$58</f>
        <v>4.9752057659507472E-3</v>
      </c>
      <c r="V35" s="13">
        <f>$K$7*$M35^($J$6-1)*EXP(-($M35/$J$5)^$J$7)</f>
        <v>2.933720068359513E-12</v>
      </c>
      <c r="W35" s="13">
        <f>V35/$V$58</f>
        <v>2.8394432504920595E-12</v>
      </c>
      <c r="X35" s="13">
        <f>J$8*J$9*EXP(J$8*M35)*J$10^J$9/(J$10-1+EXP(J$8*M35))^(J$9+1)</f>
        <v>2.8615680360686988E-4</v>
      </c>
      <c r="Y35" s="13">
        <f>X35/X$58</f>
        <v>2.7926122688656118E-4</v>
      </c>
      <c r="Z35" s="13">
        <f t="shared" si="8"/>
        <v>4.9752057659507472E-3</v>
      </c>
      <c r="AA35" s="13">
        <f>Z35/$Z$58</f>
        <v>4.2163390630665168E-3</v>
      </c>
      <c r="AB35" s="13">
        <f t="shared" si="7"/>
        <v>8.328410151402508E-25</v>
      </c>
      <c r="AC35" s="13">
        <f t="shared" si="3"/>
        <v>9.9876440950804516E-25</v>
      </c>
      <c r="AE35" s="15">
        <f t="shared" ref="AE35:AE57" si="9">(B35-B34)/$B$57</f>
        <v>0</v>
      </c>
      <c r="AF35" s="13">
        <f>AE35*$J$16+(1-$J$16)*AF34</f>
        <v>2.2086992450676981E-3</v>
      </c>
      <c r="AG35" s="13">
        <f>AF35/$AF$58</f>
        <v>2.2087060265678941E-3</v>
      </c>
      <c r="AH35" s="13">
        <f>_xlfn.GAMMA.DIST(M35,$J$17,$J$18,FALSE)</f>
        <v>1.6954220186330576E-3</v>
      </c>
      <c r="AI35" s="14">
        <f>AH35/$AH$58</f>
        <v>1.6954281233554067E-3</v>
      </c>
    </row>
    <row r="36" spans="1:35" x14ac:dyDescent="0.35">
      <c r="A36">
        <v>33</v>
      </c>
      <c r="B36">
        <v>0.76</v>
      </c>
      <c r="C36">
        <v>0.20899999999999999</v>
      </c>
      <c r="D36">
        <v>0.03</v>
      </c>
      <c r="E36">
        <f t="shared" si="4"/>
        <v>6.8809021449445078E-24</v>
      </c>
      <c r="F36">
        <v>0.217</v>
      </c>
      <c r="G36">
        <f>F36/$C$57</f>
        <v>1</v>
      </c>
      <c r="M36">
        <v>33</v>
      </c>
      <c r="N36" s="37">
        <f>(P_smrt_vyliecenie_hosp_O[[#This Row],[P_death]]-C35)/$C$57</f>
        <v>0</v>
      </c>
      <c r="O36" s="13">
        <f>J$2*N36+(1-J$2)*O35</f>
        <v>2.6316394742947349E-3</v>
      </c>
      <c r="P36" s="13">
        <f>O36/$O$58</f>
        <v>2.4509261371811631E-3</v>
      </c>
      <c r="Q36" s="13">
        <f>-1/LN(1-$J$3)*$J$3^(1+M36)/(1+M36)</f>
        <v>1.7164085317119351E-3</v>
      </c>
      <c r="R36" s="13">
        <f>Q36/$Q$58</f>
        <v>1.7255484710121884E-3</v>
      </c>
      <c r="S36" s="13">
        <f>G36-old!G35</f>
        <v>0</v>
      </c>
      <c r="T36" s="13">
        <f>1/(1+M36)^$J$4</f>
        <v>1.7330027241846232E-2</v>
      </c>
      <c r="U36" s="13">
        <f>T36/$T$58</f>
        <v>4.8073010872761229E-3</v>
      </c>
      <c r="V36" s="13">
        <f>$K$7*$M36^($J$6-1)*EXP(-($M36/$J$5)^$J$7)</f>
        <v>5.7414639841304867E-14</v>
      </c>
      <c r="W36" s="13">
        <f>V36/$V$58</f>
        <v>5.5569586660661456E-14</v>
      </c>
      <c r="X36" s="13">
        <f>J$8*J$9*EXP(J$8*M36)*J$10^J$9/(J$10-1+EXP(J$8*M36))^(J$9+1)</f>
        <v>2.2177642821556758E-4</v>
      </c>
      <c r="Y36" s="13">
        <f>X36/X$58</f>
        <v>2.164322380504529E-4</v>
      </c>
      <c r="Z36" s="13">
        <f t="shared" si="8"/>
        <v>4.8073010872761229E-3</v>
      </c>
      <c r="AA36" s="13">
        <f>Z36/$Z$58</f>
        <v>4.0740448366824627E-3</v>
      </c>
      <c r="AB36" s="13">
        <f t="shared" si="7"/>
        <v>1.371360686115121E-28</v>
      </c>
      <c r="AC36" s="13">
        <f t="shared" si="3"/>
        <v>1.6445710777820711E-28</v>
      </c>
      <c r="AE36" s="15">
        <f t="shared" si="9"/>
        <v>0</v>
      </c>
      <c r="AF36" s="13">
        <f>AE36*$J$16+(1-$J$16)*AF35</f>
        <v>1.104349622533849E-3</v>
      </c>
      <c r="AG36" s="13">
        <f>AF36/$AF$58</f>
        <v>1.1043530132839471E-3</v>
      </c>
      <c r="AH36" s="13">
        <f>_xlfn.GAMMA.DIST(M36,$J$17,$J$18,FALSE)</f>
        <v>1.3506060394324914E-3</v>
      </c>
      <c r="AI36" s="14">
        <f>AH36/$AH$58</f>
        <v>1.3506109025726318E-3</v>
      </c>
    </row>
    <row r="37" spans="1:35" x14ac:dyDescent="0.35">
      <c r="A37">
        <v>34</v>
      </c>
      <c r="B37">
        <v>0.76</v>
      </c>
      <c r="C37">
        <v>0.21299999999999999</v>
      </c>
      <c r="D37">
        <v>2.7E-2</v>
      </c>
      <c r="E37">
        <f t="shared" si="4"/>
        <v>2.0642706434833523E-25</v>
      </c>
      <c r="F37">
        <v>0.217</v>
      </c>
      <c r="G37">
        <f>F37/$C$57</f>
        <v>1</v>
      </c>
      <c r="M37">
        <v>34</v>
      </c>
      <c r="N37" s="37">
        <f>(P_smrt_vyliecenie_hosp_O[[#This Row],[P_death]]-C36)/$C$57</f>
        <v>1.8433179723502321E-2</v>
      </c>
      <c r="O37" s="13">
        <f>J$2*N37+(1-J$2)*O36</f>
        <v>1.0532409598898528E-2</v>
      </c>
      <c r="P37" s="13">
        <f>O37/$O$58</f>
        <v>9.8091544170791946E-3</v>
      </c>
      <c r="Q37" s="13">
        <f>-1/LN(1-$J$3)*$J$3^(1+M37)/(1+M37)</f>
        <v>1.5839998735512997E-3</v>
      </c>
      <c r="R37" s="13">
        <f>Q37/$Q$58</f>
        <v>1.5924347318198191E-3</v>
      </c>
      <c r="S37" s="13">
        <f>G37-old!G36</f>
        <v>0</v>
      </c>
      <c r="T37" s="13">
        <f>1/(1+M37)^$J$4</f>
        <v>1.6761842246731464E-2</v>
      </c>
      <c r="U37" s="13">
        <f>T37/$T$58</f>
        <v>4.6496881587635994E-3</v>
      </c>
      <c r="V37" s="13">
        <f>$K$7*$M37^($J$6-1)*EXP(-($M37/$J$5)^$J$7)</f>
        <v>6.7720966362491898E-16</v>
      </c>
      <c r="W37" s="13">
        <f>V37/$V$58</f>
        <v>6.5544713324438853E-16</v>
      </c>
      <c r="X37" s="13">
        <f>J$8*J$9*EXP(J$8*M37)*J$10^J$9/(J$10-1+EXP(J$8*M37))^(J$9+1)</f>
        <v>1.7187474929928348E-4</v>
      </c>
      <c r="Y37" s="13">
        <f>X37/X$58</f>
        <v>1.6773304969564497E-4</v>
      </c>
      <c r="Z37" s="13">
        <f t="shared" si="8"/>
        <v>4.6496881587635994E-3</v>
      </c>
      <c r="AA37" s="13">
        <f>Z37/$Z$58</f>
        <v>3.9404725627717628E-3</v>
      </c>
      <c r="AB37" s="13">
        <f t="shared" si="7"/>
        <v>7.35515694899505E-33</v>
      </c>
      <c r="AC37" s="13">
        <f t="shared" si="3"/>
        <v>8.8204937718694782E-33</v>
      </c>
      <c r="AE37" s="15">
        <f t="shared" si="9"/>
        <v>0</v>
      </c>
      <c r="AF37" s="13">
        <f>AE37*$J$16+(1-$J$16)*AF36</f>
        <v>5.5217481126692452E-4</v>
      </c>
      <c r="AG37" s="13">
        <f>AF37/$AF$58</f>
        <v>5.5217650664197353E-4</v>
      </c>
      <c r="AH37" s="13">
        <f>_xlfn.GAMMA.DIST(M37,$J$17,$J$18,FALSE)</f>
        <v>1.0733422045290791E-3</v>
      </c>
      <c r="AI37" s="14">
        <f>AH37/$AH$58</f>
        <v>1.0733460693226659E-3</v>
      </c>
    </row>
    <row r="38" spans="1:35" x14ac:dyDescent="0.35">
      <c r="A38">
        <v>35</v>
      </c>
      <c r="B38">
        <v>0.76400000000000001</v>
      </c>
      <c r="C38">
        <v>0.21299999999999999</v>
      </c>
      <c r="D38">
        <v>2.3E-2</v>
      </c>
      <c r="E38">
        <f t="shared" si="4"/>
        <v>5.5735307374050514E-27</v>
      </c>
      <c r="F38">
        <v>0.217</v>
      </c>
      <c r="G38">
        <f>F38/$C$57</f>
        <v>1</v>
      </c>
      <c r="M38">
        <v>35</v>
      </c>
      <c r="N38" s="37">
        <f>(P_smrt_vyliecenie_hosp_O[[#This Row],[P_death]]-C37)/$C$57</f>
        <v>0</v>
      </c>
      <c r="O38" s="13">
        <f>J$2*N38+(1-J$2)*O37</f>
        <v>5.2662047994492638E-3</v>
      </c>
      <c r="P38" s="13">
        <f>O38/$O$58</f>
        <v>4.9045772085395973E-3</v>
      </c>
      <c r="Q38" s="13">
        <f>-1/LN(1-$J$3)*$J$3^(1+M38)/(1+M38)</f>
        <v>1.4629998832105756E-3</v>
      </c>
      <c r="R38" s="13">
        <f>Q38/$Q$58</f>
        <v>1.4707904120280276E-3</v>
      </c>
      <c r="S38" s="13">
        <f>G38-old!G37</f>
        <v>0</v>
      </c>
      <c r="T38" s="13">
        <f>1/(1+M38)^$J$4</f>
        <v>1.6227518918551821E-2</v>
      </c>
      <c r="U38" s="13">
        <f>T38/$T$58</f>
        <v>4.5014683619526309E-3</v>
      </c>
      <c r="V38" s="13">
        <f>$K$7*$M38^($J$6-1)*EXP(-($M38/$J$5)^$J$7)</f>
        <v>4.5911066942566945E-18</v>
      </c>
      <c r="W38" s="13">
        <f>V38/$V$58</f>
        <v>4.4435687835021355E-18</v>
      </c>
      <c r="X38" s="13">
        <f>J$8*J$9*EXP(J$8*M38)*J$10^J$9/(J$10-1+EXP(J$8*M38))^(J$9+1)</f>
        <v>1.3319807302278368E-4</v>
      </c>
      <c r="Y38" s="13">
        <f>X38/X$58</f>
        <v>1.2998837288653349E-4</v>
      </c>
      <c r="Z38" s="13">
        <f t="shared" si="8"/>
        <v>4.5014683619526309E-3</v>
      </c>
      <c r="AA38" s="13">
        <f>Z38/$Z$58</f>
        <v>3.8148606888889062E-3</v>
      </c>
      <c r="AB38" s="13">
        <f t="shared" si="7"/>
        <v>1.1567675049620424E-37</v>
      </c>
      <c r="AC38" s="13">
        <f t="shared" si="3"/>
        <v>1.3872254044032035E-37</v>
      </c>
      <c r="AE38" s="15">
        <f t="shared" si="9"/>
        <v>5.1085568326947684E-3</v>
      </c>
      <c r="AF38" s="13">
        <f>AE38*$J$16+(1-$J$16)*AF37</f>
        <v>2.8303658219808463E-3</v>
      </c>
      <c r="AG38" s="13">
        <f>AF38/$AF$58</f>
        <v>2.830374512220778E-3</v>
      </c>
      <c r="AH38" s="13">
        <f>_xlfn.GAMMA.DIST(M38,$J$17,$J$18,FALSE)</f>
        <v>8.5107289118548004E-4</v>
      </c>
      <c r="AI38" s="14">
        <f>AH38/$AH$58</f>
        <v>8.5107595565181492E-4</v>
      </c>
    </row>
    <row r="39" spans="1:35" x14ac:dyDescent="0.35">
      <c r="A39">
        <v>36</v>
      </c>
      <c r="B39">
        <v>0.76800000000000002</v>
      </c>
      <c r="C39">
        <v>0.217</v>
      </c>
      <c r="D39">
        <v>1.4999999999999999E-2</v>
      </c>
      <c r="E39">
        <f t="shared" si="4"/>
        <v>1.2819120696031618E-28</v>
      </c>
      <c r="F39">
        <v>0.217</v>
      </c>
      <c r="G39">
        <f>F39/$C$57</f>
        <v>1</v>
      </c>
      <c r="M39">
        <v>36</v>
      </c>
      <c r="N39" s="37">
        <f>(P_smrt_vyliecenie_hosp_O[[#This Row],[P_death]]-C38)/$C$57</f>
        <v>1.8433179723502321E-2</v>
      </c>
      <c r="O39" s="13">
        <f>J$2*N39+(1-J$2)*O38</f>
        <v>1.1849692261475793E-2</v>
      </c>
      <c r="P39" s="13">
        <f>O39/$O$58</f>
        <v>1.1035979952758413E-2</v>
      </c>
      <c r="Q39" s="13">
        <f>-1/LN(1-$J$3)*$J$3^(1+M39)/(1+M39)</f>
        <v>1.3522863785351807E-3</v>
      </c>
      <c r="R39" s="13">
        <f>Q39/$Q$58</f>
        <v>1.3594873538205013E-3</v>
      </c>
      <c r="S39" s="13">
        <f>G39-old!G38</f>
        <v>0</v>
      </c>
      <c r="T39" s="13">
        <f>1/(1+M39)^$J$4</f>
        <v>1.572418038490199E-2</v>
      </c>
      <c r="U39" s="13">
        <f>T39/$T$58</f>
        <v>4.3618436604841854E-3</v>
      </c>
      <c r="V39" s="13">
        <f>$K$7*$M39^($J$6-1)*EXP(-($M39/$J$5)^$J$7)</f>
        <v>1.7011977805258229E-20</v>
      </c>
      <c r="W39" s="13">
        <f>V39/$V$58</f>
        <v>1.6465287904470139E-20</v>
      </c>
      <c r="X39" s="13">
        <f>J$8*J$9*EXP(J$8*M39)*J$10^J$9/(J$10-1+EXP(J$8*M39))^(J$9+1)</f>
        <v>1.0322283516432962E-4</v>
      </c>
      <c r="Y39" s="13">
        <f>X39/X$58</f>
        <v>1.0073545422425846E-4</v>
      </c>
      <c r="Z39" s="13">
        <f t="shared" si="8"/>
        <v>4.3618436604841854E-3</v>
      </c>
      <c r="AA39" s="13">
        <f>Z39/$Z$58</f>
        <v>3.6965329029309099E-3</v>
      </c>
      <c r="AB39" s="13">
        <f t="shared" si="7"/>
        <v>4.7721402675369886E-43</v>
      </c>
      <c r="AC39" s="13">
        <f t="shared" si="3"/>
        <v>5.722873597421841E-43</v>
      </c>
      <c r="AE39" s="15">
        <f t="shared" si="9"/>
        <v>5.1085568326947684E-3</v>
      </c>
      <c r="AF39" s="13">
        <f>AE39*$J$16+(1-$J$16)*AF38</f>
        <v>3.9694613273378076E-3</v>
      </c>
      <c r="AG39" s="13">
        <f>AF39/$AF$58</f>
        <v>3.9694735150101806E-3</v>
      </c>
      <c r="AH39" s="13">
        <f>_xlfn.GAMMA.DIST(M39,$J$17,$J$18,FALSE)</f>
        <v>6.7339458112895215E-4</v>
      </c>
      <c r="AI39" s="14">
        <f>AH39/$AH$58</f>
        <v>6.7339700582728923E-4</v>
      </c>
    </row>
    <row r="40" spans="1:35" x14ac:dyDescent="0.35">
      <c r="A40">
        <v>37</v>
      </c>
      <c r="B40">
        <v>0.77600000000000002</v>
      </c>
      <c r="C40">
        <v>0.217</v>
      </c>
      <c r="D40">
        <v>8.0000000000000002E-3</v>
      </c>
      <c r="E40">
        <f t="shared" si="4"/>
        <v>1.9228681044047425E-30</v>
      </c>
      <c r="F40">
        <v>0.217</v>
      </c>
      <c r="G40">
        <f>F40/$C$57</f>
        <v>1</v>
      </c>
      <c r="M40">
        <v>37</v>
      </c>
      <c r="N40" s="37">
        <f>(P_smrt_vyliecenie_hosp_O[[#This Row],[P_death]]-C39)/$C$57</f>
        <v>0</v>
      </c>
      <c r="O40" s="13">
        <f>J$2*N40+(1-J$2)*O39</f>
        <v>5.9248461307378963E-3</v>
      </c>
      <c r="P40" s="13">
        <f>O40/$O$58</f>
        <v>5.5179899763792067E-3</v>
      </c>
      <c r="Q40" s="13">
        <f>-1/LN(1-$J$3)*$J$3^(1+M40)/(1+M40)</f>
        <v>1.250864900145042E-3</v>
      </c>
      <c r="R40" s="13">
        <f>Q40/$Q$58</f>
        <v>1.2575258022839634E-3</v>
      </c>
      <c r="S40" s="13">
        <f>G40-old!G39</f>
        <v>0</v>
      </c>
      <c r="T40" s="13">
        <f>1/(1+M40)^$J$4</f>
        <v>1.5249263324505154E-2</v>
      </c>
      <c r="U40" s="13">
        <f>T40/$T$58</f>
        <v>4.2301029962053182E-3</v>
      </c>
      <c r="V40" s="13">
        <f>$K$7*$M40^($J$6-1)*EXP(-($M40/$J$5)^$J$7)</f>
        <v>3.2666331885771937E-23</v>
      </c>
      <c r="W40" s="13">
        <f>V40/$V$58</f>
        <v>3.1616580120152795E-23</v>
      </c>
      <c r="X40" s="13">
        <f>J$8*J$9*EXP(J$8*M40)*J$10^J$9/(J$10-1+EXP(J$8*M40))^(J$9+1)</f>
        <v>7.9992207357103455E-5</v>
      </c>
      <c r="Y40" s="13">
        <f>X40/X$58</f>
        <v>7.8064619419632844E-5</v>
      </c>
      <c r="Z40" s="13">
        <f t="shared" si="8"/>
        <v>4.2301029962053182E-3</v>
      </c>
      <c r="AA40" s="13">
        <f>Z40/$Z$58</f>
        <v>3.5848866042401521E-3</v>
      </c>
      <c r="AB40" s="13">
        <f t="shared" si="7"/>
        <v>4.5893051395443157E-49</v>
      </c>
      <c r="AC40" s="13">
        <f t="shared" si="3"/>
        <v>5.5036129998680832E-49</v>
      </c>
      <c r="AE40" s="15">
        <f t="shared" si="9"/>
        <v>1.0217113665389537E-2</v>
      </c>
      <c r="AF40" s="13">
        <f>AE40*$J$16+(1-$J$16)*AF39</f>
        <v>7.0932874963636726E-3</v>
      </c>
      <c r="AG40" s="13">
        <f>AF40/$AF$58</f>
        <v>7.0933092753046739E-3</v>
      </c>
      <c r="AH40" s="13">
        <f>_xlfn.GAMMA.DIST(M40,$J$17,$J$18,FALSE)</f>
        <v>5.3173778080263339E-4</v>
      </c>
      <c r="AI40" s="14">
        <f>AH40/$AH$58</f>
        <v>5.3173969543596873E-4</v>
      </c>
    </row>
    <row r="41" spans="1:35" x14ac:dyDescent="0.35">
      <c r="A41">
        <v>38</v>
      </c>
      <c r="B41">
        <v>0.77600000000000002</v>
      </c>
      <c r="C41">
        <v>0.217</v>
      </c>
      <c r="D41">
        <v>8.0000000000000002E-3</v>
      </c>
      <c r="E41">
        <f t="shared" si="4"/>
        <v>1.5382944835237941E-32</v>
      </c>
      <c r="F41">
        <v>0.217</v>
      </c>
      <c r="G41">
        <f>F41/$C$57</f>
        <v>1</v>
      </c>
      <c r="M41">
        <v>38</v>
      </c>
      <c r="N41" s="37">
        <f>(P_smrt_vyliecenie_hosp_O[[#This Row],[P_death]]-C40)/$C$57</f>
        <v>0</v>
      </c>
      <c r="O41" s="13">
        <f>J$2*N41+(1-J$2)*O40</f>
        <v>2.9624230653689482E-3</v>
      </c>
      <c r="P41" s="13">
        <f>O41/$O$58</f>
        <v>2.7589949881896034E-3</v>
      </c>
      <c r="Q41" s="13">
        <f>-1/LN(1-$J$3)*$J$3^(1+M41)/(1+M41)</f>
        <v>1.1578518691086159E-3</v>
      </c>
      <c r="R41" s="13">
        <f>Q41/$Q$58</f>
        <v>1.1640174733961817E-3</v>
      </c>
      <c r="S41" s="13">
        <f>G41-old!G40</f>
        <v>0</v>
      </c>
      <c r="T41" s="13">
        <f>1/(1+M41)^$J$4</f>
        <v>1.480047664408719E-2</v>
      </c>
      <c r="U41" s="13">
        <f>T41/$T$58</f>
        <v>4.1056108262496477E-3</v>
      </c>
      <c r="V41" s="13">
        <f>$K$7*$M41^($J$6-1)*EXP(-($M41/$J$5)^$J$7)</f>
        <v>3.072541942666911E-26</v>
      </c>
      <c r="W41" s="13">
        <f>V41/$V$58</f>
        <v>2.9738040023149886E-26</v>
      </c>
      <c r="X41" s="13">
        <f>J$8*J$9*EXP(J$8*M41)*J$10^J$9/(J$10-1+EXP(J$8*M41))^(J$9+1)</f>
        <v>6.198907779792341E-5</v>
      </c>
      <c r="Y41" s="13">
        <f>X41/X$58</f>
        <v>6.0495314810676702E-5</v>
      </c>
      <c r="Z41" s="13">
        <f t="shared" si="8"/>
        <v>4.1056108262496477E-3</v>
      </c>
      <c r="AA41" s="13">
        <f>Z41/$Z$58</f>
        <v>3.4793831891206562E-3</v>
      </c>
      <c r="AB41" s="13">
        <f t="shared" si="7"/>
        <v>9.0818455096545878E-56</v>
      </c>
      <c r="AC41" s="13">
        <f t="shared" si="3"/>
        <v>1.0891183194389098E-55</v>
      </c>
      <c r="AE41" s="15">
        <f t="shared" si="9"/>
        <v>0</v>
      </c>
      <c r="AF41" s="13">
        <f>AE41*$J$16+(1-$J$16)*AF40</f>
        <v>3.5466437481818363E-3</v>
      </c>
      <c r="AG41" s="13">
        <f>AF41/$AF$58</f>
        <v>3.546654637652337E-3</v>
      </c>
      <c r="AH41" s="13">
        <f>_xlfn.GAMMA.DIST(M41,$J$17,$J$18,FALSE)</f>
        <v>4.190801924872951E-4</v>
      </c>
      <c r="AI41" s="14">
        <f>AH41/$AH$58</f>
        <v>4.1908170147336997E-4</v>
      </c>
    </row>
    <row r="42" spans="1:35" x14ac:dyDescent="0.35">
      <c r="A42">
        <v>39</v>
      </c>
      <c r="B42">
        <v>0.77600000000000002</v>
      </c>
      <c r="C42">
        <v>0.217</v>
      </c>
      <c r="D42">
        <v>8.0000000000000002E-3</v>
      </c>
      <c r="E42">
        <f t="shared" si="4"/>
        <v>1.2306355868190353E-34</v>
      </c>
      <c r="F42">
        <v>0.217</v>
      </c>
      <c r="G42">
        <f>F42/$C$57</f>
        <v>1</v>
      </c>
      <c r="M42">
        <v>39</v>
      </c>
      <c r="N42" s="37">
        <f>(P_smrt_vyliecenie_hosp_O[[#This Row],[P_death]]-C41)/$C$57</f>
        <v>0</v>
      </c>
      <c r="O42" s="13">
        <f>J$2*N42+(1-J$2)*O41</f>
        <v>1.4812115326844741E-3</v>
      </c>
      <c r="P42" s="13">
        <f>O42/$O$58</f>
        <v>1.3794974940948017E-3</v>
      </c>
      <c r="Q42" s="13">
        <f>-1/LN(1-$J$3)*$J$3^(1+M42)/(1+M42)</f>
        <v>1.0724602937618555E-3</v>
      </c>
      <c r="R42" s="13">
        <f>Q42/$Q$58</f>
        <v>1.0781711847332133E-3</v>
      </c>
      <c r="S42" s="13">
        <f>G42-old!G41</f>
        <v>0</v>
      </c>
      <c r="T42" s="13">
        <f>1/(1+M42)^$J$4</f>
        <v>1.4375766496407772E-2</v>
      </c>
      <c r="U42" s="13">
        <f>T42/$T$58</f>
        <v>3.9877974191370258E-3</v>
      </c>
      <c r="V42" s="13">
        <f>$K$7*$M42^($J$6-1)*EXP(-($M42/$J$5)^$J$7)</f>
        <v>1.3339297895757824E-29</v>
      </c>
      <c r="W42" s="13">
        <f>V42/$V$58</f>
        <v>1.2910631721448532E-29</v>
      </c>
      <c r="X42" s="13">
        <f>J$8*J$9*EXP(J$8*M42)*J$10^J$9/(J$10-1+EXP(J$8*M42))^(J$9+1)</f>
        <v>4.8037390502237982E-5</v>
      </c>
      <c r="Y42" s="13">
        <f>X42/X$58</f>
        <v>4.6879824064968556E-5</v>
      </c>
      <c r="Z42" s="13">
        <f t="shared" si="8"/>
        <v>3.9877974191370258E-3</v>
      </c>
      <c r="AA42" s="13">
        <f>Z42/$Z$58</f>
        <v>3.3795398270708901E-3</v>
      </c>
      <c r="AB42" s="13">
        <f t="shared" si="7"/>
        <v>3.2420030574737519E-63</v>
      </c>
      <c r="AC42" s="13">
        <f t="shared" si="3"/>
        <v>3.8878936200995918E-63</v>
      </c>
      <c r="AE42" s="15">
        <f t="shared" si="9"/>
        <v>0</v>
      </c>
      <c r="AF42" s="13">
        <f>AE42*$J$16+(1-$J$16)*AF41</f>
        <v>1.7733218740909181E-3</v>
      </c>
      <c r="AG42" s="13">
        <f>AF42/$AF$58</f>
        <v>1.7733273188261685E-3</v>
      </c>
      <c r="AH42" s="13">
        <f>_xlfn.GAMMA.DIST(M42,$J$17,$J$18,FALSE)</f>
        <v>3.2969434685940524E-4</v>
      </c>
      <c r="AI42" s="14">
        <f>AH42/$AH$58</f>
        <v>3.2969553399300711E-4</v>
      </c>
    </row>
    <row r="43" spans="1:35" x14ac:dyDescent="0.35">
      <c r="A43">
        <v>40</v>
      </c>
      <c r="B43">
        <v>0.77600000000000002</v>
      </c>
      <c r="C43">
        <v>0.217</v>
      </c>
      <c r="D43">
        <v>8.0000000000000002E-3</v>
      </c>
      <c r="E43">
        <f t="shared" si="4"/>
        <v>9.8450846945522823E-37</v>
      </c>
      <c r="F43">
        <v>0.217</v>
      </c>
      <c r="G43">
        <f>F43/$C$57</f>
        <v>1</v>
      </c>
      <c r="M43">
        <v>40</v>
      </c>
      <c r="N43" s="37">
        <f>(P_smrt_vyliecenie_hosp_O[[#This Row],[P_death]]-C42)/$C$57</f>
        <v>0</v>
      </c>
      <c r="O43" s="13">
        <f>J$2*N43+(1-J$2)*O42</f>
        <v>7.4060576634223704E-4</v>
      </c>
      <c r="P43" s="13">
        <f>O43/$O$58</f>
        <v>6.8974874704740084E-4</v>
      </c>
      <c r="Q43" s="13">
        <f>-1/LN(1-$J$3)*$J$3^(1+M43)/(1+M43)</f>
        <v>9.9398758934025628E-4</v>
      </c>
      <c r="R43" s="13">
        <f>Q43/$Q$58</f>
        <v>9.9928061024053905E-4</v>
      </c>
      <c r="S43" s="13">
        <f>G43-old!G42</f>
        <v>0</v>
      </c>
      <c r="T43" s="13">
        <f>1/(1+M43)^$J$4</f>
        <v>1.3973286535705388E-2</v>
      </c>
      <c r="U43" s="13">
        <f>T43/$T$58</f>
        <v>3.8761506037171727E-3</v>
      </c>
      <c r="V43" s="13">
        <f>$K$7*$M43^($J$6-1)*EXP(-($M43/$J$5)^$J$7)</f>
        <v>2.5107125144994524E-33</v>
      </c>
      <c r="W43" s="13">
        <f>V43/$V$58</f>
        <v>2.430029292879279E-33</v>
      </c>
      <c r="X43" s="13">
        <f>J$8*J$9*EXP(J$8*M43)*J$10^J$9/(J$10-1+EXP(J$8*M43))^(J$9+1)</f>
        <v>3.7225558547699469E-5</v>
      </c>
      <c r="Y43" s="13">
        <f>X43/X$58</f>
        <v>3.6328526949336164E-5</v>
      </c>
      <c r="Z43" s="13">
        <f t="shared" si="8"/>
        <v>3.8761506037171727E-3</v>
      </c>
      <c r="AA43" s="13">
        <f>Z43/$Z$58</f>
        <v>3.2849224682586467E-3</v>
      </c>
      <c r="AB43" s="13">
        <f t="shared" si="7"/>
        <v>1.8171638888636277E-71</v>
      </c>
      <c r="AC43" s="13">
        <f t="shared" si="3"/>
        <v>2.1791897678509398E-71</v>
      </c>
      <c r="AE43" s="15">
        <f t="shared" si="9"/>
        <v>0</v>
      </c>
      <c r="AF43" s="13">
        <f>AE43*$J$16+(1-$J$16)*AF42</f>
        <v>8.8666093704545907E-4</v>
      </c>
      <c r="AG43" s="13">
        <f>AF43/$AF$58</f>
        <v>8.8666365941308424E-4</v>
      </c>
      <c r="AH43" s="13">
        <f>_xlfn.GAMMA.DIST(M43,$J$17,$J$18,FALSE)</f>
        <v>2.5892881406734073E-4</v>
      </c>
      <c r="AI43" s="14">
        <f>AH43/$AH$58</f>
        <v>2.5892974639480889E-4</v>
      </c>
    </row>
    <row r="44" spans="1:35" x14ac:dyDescent="0.35">
      <c r="A44">
        <v>41</v>
      </c>
      <c r="B44">
        <v>0.77900000000000003</v>
      </c>
      <c r="C44">
        <v>0.217</v>
      </c>
      <c r="D44">
        <v>4.0000000000000001E-3</v>
      </c>
      <c r="E44">
        <f t="shared" si="4"/>
        <v>7.8760677556418263E-39</v>
      </c>
      <c r="F44">
        <v>0.217</v>
      </c>
      <c r="G44">
        <f>F44/$C$57</f>
        <v>1</v>
      </c>
      <c r="M44">
        <v>41</v>
      </c>
      <c r="N44" s="37">
        <f>(P_smrt_vyliecenie_hosp_O[[#This Row],[P_death]]-C43)/$C$57</f>
        <v>0</v>
      </c>
      <c r="O44" s="13">
        <f>J$2*N44+(1-J$2)*O43</f>
        <v>3.7030288317111852E-4</v>
      </c>
      <c r="P44" s="13">
        <f>O44/$O$58</f>
        <v>3.4487437352370042E-4</v>
      </c>
      <c r="Q44" s="13">
        <f>-1/LN(1-$J$3)*$J$3^(1+M44)/(1+M44)</f>
        <v>9.2180515725721391E-4</v>
      </c>
      <c r="R44" s="13">
        <f>Q44/$Q$58</f>
        <v>9.2671380402069054E-4</v>
      </c>
      <c r="S44" s="13">
        <f>G44-old!G43</f>
        <v>0</v>
      </c>
      <c r="T44" s="13">
        <f>1/(1+M44)^$J$4</f>
        <v>1.3591372520593857E-2</v>
      </c>
      <c r="U44" s="13">
        <f>T44/$T$58</f>
        <v>3.7702087240842094E-3</v>
      </c>
      <c r="V44" s="13">
        <f>$K$7*$M44^($J$6-1)*EXP(-($M44/$J$5)^$J$7)</f>
        <v>1.9180046815216341E-37</v>
      </c>
      <c r="W44" s="13">
        <f>V44/$V$58</f>
        <v>1.8563684743119083E-37</v>
      </c>
      <c r="X44" s="13">
        <f>J$8*J$9*EXP(J$8*M44)*J$10^J$9/(J$10-1+EXP(J$8*M44))^(J$9+1)</f>
        <v>2.884703939623504E-5</v>
      </c>
      <c r="Y44" s="13">
        <f>X44/X$58</f>
        <v>2.8151906620067383E-5</v>
      </c>
      <c r="Z44" s="13">
        <f t="shared" si="8"/>
        <v>3.7702087240842094E-3</v>
      </c>
      <c r="AA44" s="13">
        <f>Z44/$Z$58</f>
        <v>3.1951398730204385E-3</v>
      </c>
      <c r="AB44" s="13">
        <f t="shared" si="7"/>
        <v>1.3818935492016882E-80</v>
      </c>
      <c r="AC44" s="13">
        <f t="shared" si="3"/>
        <v>1.6572023586506208E-80</v>
      </c>
      <c r="AE44" s="15">
        <f t="shared" si="9"/>
        <v>3.8314176245210761E-3</v>
      </c>
      <c r="AF44" s="13">
        <f>AE44*$J$16+(1-$J$16)*AF43</f>
        <v>2.3590392807832676E-3</v>
      </c>
      <c r="AG44" s="13">
        <f>AF44/$AF$58</f>
        <v>2.3590465238813858E-3</v>
      </c>
      <c r="AH44" s="13">
        <f>_xlfn.GAMMA.DIST(M44,$J$17,$J$18,FALSE)</f>
        <v>2.0302083026681148E-4</v>
      </c>
      <c r="AI44" s="14">
        <f>AH44/$AH$58</f>
        <v>2.0302156128586529E-4</v>
      </c>
    </row>
    <row r="45" spans="1:35" x14ac:dyDescent="0.35">
      <c r="A45">
        <v>42</v>
      </c>
      <c r="B45">
        <v>0.77900000000000003</v>
      </c>
      <c r="C45">
        <v>0.217</v>
      </c>
      <c r="D45">
        <v>4.0000000000000001E-3</v>
      </c>
      <c r="E45">
        <f t="shared" si="4"/>
        <v>3.1504271022567308E-41</v>
      </c>
      <c r="F45">
        <v>0.217</v>
      </c>
      <c r="G45">
        <f>F45/$C$57</f>
        <v>1</v>
      </c>
      <c r="M45">
        <v>42</v>
      </c>
      <c r="N45" s="37">
        <f>(P_smrt_vyliecenie_hosp_O[[#This Row],[P_death]]-C44)/$C$57</f>
        <v>0</v>
      </c>
      <c r="O45" s="13">
        <f>J$2*N45+(1-J$2)*O44</f>
        <v>1.8515144158555926E-4</v>
      </c>
      <c r="P45" s="13">
        <f>O45/$O$58</f>
        <v>1.7243718676185021E-4</v>
      </c>
      <c r="Q45" s="13">
        <f>-1/LN(1-$J$3)*$J$3^(1+M45)/(1+M45)</f>
        <v>8.5534943661774027E-4</v>
      </c>
      <c r="R45" s="13">
        <f>Q45/$Q$58</f>
        <v>8.5990420419594302E-4</v>
      </c>
      <c r="S45" s="13">
        <f>G45-old!G44</f>
        <v>0</v>
      </c>
      <c r="T45" s="13">
        <f>1/(1+M45)^$J$4</f>
        <v>1.3228520542822576E-2</v>
      </c>
      <c r="U45" s="13">
        <f>T45/$T$58</f>
        <v>3.6695546002956342E-3</v>
      </c>
      <c r="V45" s="13">
        <f>$K$7*$M45^($J$6-1)*EXP(-($M45/$J$5)^$J$7)</f>
        <v>5.5485909569220226E-42</v>
      </c>
      <c r="W45" s="13">
        <f>V45/$V$58</f>
        <v>5.3702837268940237E-42</v>
      </c>
      <c r="X45" s="13">
        <f>J$8*J$9*EXP(J$8*M45)*J$10^J$9/(J$10-1+EXP(J$8*M45))^(J$9+1)</f>
        <v>2.2354241893980303E-5</v>
      </c>
      <c r="Y45" s="13">
        <f>X45/X$58</f>
        <v>2.1815567334922643E-5</v>
      </c>
      <c r="Z45" s="13">
        <f t="shared" si="8"/>
        <v>3.6695546002956342E-3</v>
      </c>
      <c r="AA45" s="13">
        <f>Z45/$Z$58</f>
        <v>3.1098384937502683E-3</v>
      </c>
      <c r="AB45" s="13">
        <f t="shared" si="7"/>
        <v>1.2228163374643402E-90</v>
      </c>
      <c r="AC45" s="13">
        <f t="shared" si="3"/>
        <v>1.4664328665642072E-90</v>
      </c>
      <c r="AE45" s="15">
        <f t="shared" si="9"/>
        <v>0</v>
      </c>
      <c r="AF45" s="13">
        <f>AE45*$J$16+(1-$J$16)*AF44</f>
        <v>1.1795196403916338E-3</v>
      </c>
      <c r="AG45" s="13">
        <f>AF45/$AF$58</f>
        <v>1.1795232619406929E-3</v>
      </c>
      <c r="AH45" s="13">
        <f>_xlfn.GAMMA.DIST(M45,$J$17,$J$18,FALSE)</f>
        <v>1.5893747531319413E-4</v>
      </c>
      <c r="AI45" s="14">
        <f>AH45/$AH$58</f>
        <v>1.5893804760088828E-4</v>
      </c>
    </row>
    <row r="46" spans="1:35" x14ac:dyDescent="0.35">
      <c r="A46">
        <v>43</v>
      </c>
      <c r="B46">
        <v>0.78300000000000003</v>
      </c>
      <c r="C46">
        <v>0.217</v>
      </c>
      <c r="D46">
        <v>4.0000000000000001E-3</v>
      </c>
      <c r="E46">
        <f t="shared" si="4"/>
        <v>1.2601708409026923E-43</v>
      </c>
      <c r="F46">
        <v>0.217</v>
      </c>
      <c r="G46">
        <f>F46/$C$57</f>
        <v>1</v>
      </c>
      <c r="M46">
        <v>43</v>
      </c>
      <c r="N46" s="37">
        <f>(P_smrt_vyliecenie_hosp_O[[#This Row],[P_death]]-C45)/$C$57</f>
        <v>0</v>
      </c>
      <c r="O46" s="13">
        <f>J$2*N46+(1-J$2)*O45</f>
        <v>9.257572079277963E-5</v>
      </c>
      <c r="P46" s="13">
        <f>O46/$O$58</f>
        <v>8.6218593380925105E-5</v>
      </c>
      <c r="Q46" s="13">
        <f>-1/LN(1-$J$3)*$J$3^(1+M46)/(1+M46)</f>
        <v>7.9411419285987928E-4</v>
      </c>
      <c r="R46" s="13">
        <f>Q46/$Q$58</f>
        <v>7.983428804864606E-4</v>
      </c>
      <c r="S46" s="13">
        <f>G46-old!G45</f>
        <v>0</v>
      </c>
      <c r="T46" s="13">
        <f>1/(1+M46)^$J$4</f>
        <v>1.2883368293733448E-2</v>
      </c>
      <c r="U46" s="13">
        <f>T46/$T$58</f>
        <v>3.573810331739874E-3</v>
      </c>
      <c r="V46" s="13">
        <f>$K$7*$M46^($J$6-1)*EXP(-($M46/$J$5)^$J$7)</f>
        <v>5.6517512844836613E-47</v>
      </c>
      <c r="W46" s="13">
        <f>V46/$V$58</f>
        <v>5.4701289367259353E-47</v>
      </c>
      <c r="X46" s="13">
        <f>J$8*J$9*EXP(J$8*M46)*J$10^J$9/(J$10-1+EXP(J$8*M46))^(J$9+1)</f>
        <v>1.732278287371269E-5</v>
      </c>
      <c r="Y46" s="13">
        <f>X46/X$58</f>
        <v>1.6905352371242301E-5</v>
      </c>
      <c r="Z46" s="13">
        <f t="shared" si="8"/>
        <v>3.573810331739874E-3</v>
      </c>
      <c r="AA46" s="13">
        <f>Z46/$Z$58</f>
        <v>3.0286980709080306E-3</v>
      </c>
      <c r="AB46" s="13">
        <f t="shared" si="7"/>
        <v>1.0715857607206273E-101</v>
      </c>
      <c r="AC46" s="13">
        <f t="shared" si="3"/>
        <v>1.28507326138727E-101</v>
      </c>
      <c r="AE46" s="15">
        <f t="shared" si="9"/>
        <v>5.1085568326947684E-3</v>
      </c>
      <c r="AF46" s="13">
        <f>AE46*$J$16+(1-$J$16)*AF45</f>
        <v>3.1440382365432009E-3</v>
      </c>
      <c r="AG46" s="13">
        <f>AF46/$AF$58</f>
        <v>3.1440478898701377E-3</v>
      </c>
      <c r="AH46" s="13">
        <f>_xlfn.GAMMA.DIST(M46,$J$17,$J$18,FALSE)</f>
        <v>1.2424223628623189E-4</v>
      </c>
      <c r="AI46" s="14">
        <f>AH46/$AH$58</f>
        <v>1.242426836464456E-4</v>
      </c>
    </row>
    <row r="47" spans="1:35" x14ac:dyDescent="0.35">
      <c r="A47">
        <v>44</v>
      </c>
      <c r="B47">
        <v>0.78300000000000003</v>
      </c>
      <c r="C47">
        <v>0.217</v>
      </c>
      <c r="D47">
        <v>4.0000000000000001E-3</v>
      </c>
      <c r="E47">
        <f t="shared" si="4"/>
        <v>5.0406833636107695E-46</v>
      </c>
      <c r="F47">
        <v>0.217</v>
      </c>
      <c r="G47">
        <f>F47/$C$57</f>
        <v>1</v>
      </c>
      <c r="M47">
        <v>44</v>
      </c>
      <c r="N47" s="37">
        <f>(P_smrt_vyliecenie_hosp_O[[#This Row],[P_death]]-C46)/$C$57</f>
        <v>0</v>
      </c>
      <c r="O47" s="13">
        <f>J$2*N47+(1-J$2)*O46</f>
        <v>4.6287860396389815E-5</v>
      </c>
      <c r="P47" s="13">
        <f>O47/$O$58</f>
        <v>4.3109296690462552E-5</v>
      </c>
      <c r="Q47" s="13">
        <f>-1/LN(1-$J$3)*$J$3^(1+M47)/(1+M47)</f>
        <v>7.3764385025651012E-4</v>
      </c>
      <c r="R47" s="13">
        <f>Q47/$Q$58</f>
        <v>7.4157183120742353E-4</v>
      </c>
      <c r="S47" s="13">
        <f>G47-old!G46</f>
        <v>0</v>
      </c>
      <c r="T47" s="13">
        <f>1/(1+M47)^$J$4</f>
        <v>1.2554678886588089E-2</v>
      </c>
      <c r="U47" s="13">
        <f>T47/$T$58</f>
        <v>3.4826328094950971E-3</v>
      </c>
      <c r="V47" s="13">
        <f>$K$7*$M47^($J$6-1)*EXP(-($M47/$J$5)^$J$7)</f>
        <v>1.8780020484395667E-52</v>
      </c>
      <c r="W47" s="13">
        <f>V47/$V$58</f>
        <v>1.8176513493442553E-52</v>
      </c>
      <c r="X47" s="13">
        <f>J$8*J$9*EXP(J$8*M47)*J$10^J$9/(J$10-1+EXP(J$8*M47))^(J$9+1)</f>
        <v>1.3423774553686594E-5</v>
      </c>
      <c r="Y47" s="13">
        <f>X47/X$58</f>
        <v>1.3100299220777013E-5</v>
      </c>
      <c r="Z47" s="13">
        <f t="shared" si="8"/>
        <v>3.4826328094950971E-3</v>
      </c>
      <c r="AA47" s="13">
        <f>Z47/$Z$58</f>
        <v>2.9514278298769436E-3</v>
      </c>
      <c r="AB47" s="13">
        <f t="shared" si="7"/>
        <v>7.8528961122705608E-114</v>
      </c>
      <c r="AC47" s="13">
        <f t="shared" si="3"/>
        <v>9.4173954043067067E-114</v>
      </c>
      <c r="AE47" s="15">
        <f t="shared" si="9"/>
        <v>0</v>
      </c>
      <c r="AF47" s="13">
        <f>AE47*$J$16+(1-$J$16)*AF46</f>
        <v>1.5720191182716004E-3</v>
      </c>
      <c r="AG47" s="13">
        <f>AF47/$AF$58</f>
        <v>1.5720239449350689E-3</v>
      </c>
      <c r="AH47" s="13">
        <f>_xlfn.GAMMA.DIST(M47,$J$17,$J$18,FALSE)</f>
        <v>9.6983757233496355E-5</v>
      </c>
      <c r="AI47" s="14">
        <f>AH47/$AH$58</f>
        <v>9.6984106443842678E-5</v>
      </c>
    </row>
    <row r="48" spans="1:35" x14ac:dyDescent="0.35">
      <c r="A48">
        <v>45</v>
      </c>
      <c r="B48">
        <v>0.78300000000000003</v>
      </c>
      <c r="C48">
        <v>0.217</v>
      </c>
      <c r="D48">
        <v>4.0000000000000001E-3</v>
      </c>
      <c r="E48">
        <f t="shared" si="4"/>
        <v>2.0162733454443079E-48</v>
      </c>
      <c r="F48">
        <v>0.217</v>
      </c>
      <c r="G48">
        <f>F48/$C$57</f>
        <v>1</v>
      </c>
      <c r="M48">
        <v>45</v>
      </c>
      <c r="N48" s="37">
        <f>(P_smrt_vyliecenie_hosp_O[[#This Row],[P_death]]-C47)/$C$57</f>
        <v>0</v>
      </c>
      <c r="O48" s="13">
        <f>J$2*N48+(1-J$2)*O47</f>
        <v>2.3143930198194907E-5</v>
      </c>
      <c r="P48" s="13">
        <f>O48/$O$58</f>
        <v>2.1554648345231276E-5</v>
      </c>
      <c r="Q48" s="13">
        <f>-1/LN(1-$J$3)*$J$3^(1+M48)/(1+M48)</f>
        <v>6.8552770866230008E-4</v>
      </c>
      <c r="R48" s="13">
        <f>Q48/$Q$58</f>
        <v>6.8917816921994235E-4</v>
      </c>
      <c r="S48" s="13">
        <f>G48-old!G47</f>
        <v>0</v>
      </c>
      <c r="T48" s="13">
        <f>1/(1+M48)^$J$4</f>
        <v>1.2241326838161124E-2</v>
      </c>
      <c r="U48" s="13">
        <f>T48/$T$58</f>
        <v>3.3957098276623998E-3</v>
      </c>
      <c r="V48" s="13">
        <f>$K$7*$M48^($J$6-1)*EXP(-($M48/$J$5)^$J$7)</f>
        <v>1.8792689982958785E-58</v>
      </c>
      <c r="W48" s="13">
        <f>V48/$V$58</f>
        <v>1.8188775850226403E-58</v>
      </c>
      <c r="X48" s="13">
        <f>J$8*J$9*EXP(J$8*M48)*J$10^J$9/(J$10-1+EXP(J$8*M48))^(J$9+1)</f>
        <v>1.0402341287825367E-5</v>
      </c>
      <c r="Y48" s="13">
        <f>X48/X$58</f>
        <v>1.015167402597134E-5</v>
      </c>
      <c r="Z48" s="13">
        <f t="shared" si="8"/>
        <v>3.3957098276623998E-3</v>
      </c>
      <c r="AA48" s="13">
        <f>Z48/$Z$58</f>
        <v>2.877763185433964E-3</v>
      </c>
      <c r="AB48" s="13">
        <f t="shared" si="7"/>
        <v>4.03117894845563E-127</v>
      </c>
      <c r="AC48" s="13">
        <f t="shared" si="3"/>
        <v>4.8342936873702553E-127</v>
      </c>
      <c r="AE48" s="15">
        <f t="shared" si="9"/>
        <v>0</v>
      </c>
      <c r="AF48" s="13">
        <f>AE48*$J$16+(1-$J$16)*AF47</f>
        <v>7.8600955913580022E-4</v>
      </c>
      <c r="AG48" s="13">
        <f>AF48/$AF$58</f>
        <v>7.8601197246753443E-4</v>
      </c>
      <c r="AH48" s="13">
        <f>_xlfn.GAMMA.DIST(M48,$J$17,$J$18,FALSE)</f>
        <v>7.560371025001344E-5</v>
      </c>
      <c r="AI48" s="14">
        <f>AH48/$AH$58</f>
        <v>7.5603982477019202E-5</v>
      </c>
    </row>
    <row r="49" spans="1:35" x14ac:dyDescent="0.35">
      <c r="A49">
        <v>46</v>
      </c>
      <c r="B49">
        <v>0.78300000000000003</v>
      </c>
      <c r="C49">
        <v>0.217</v>
      </c>
      <c r="D49">
        <v>4.0000000000000001E-3</v>
      </c>
      <c r="E49">
        <f t="shared" si="4"/>
        <v>8.0650933817772323E-51</v>
      </c>
      <c r="F49">
        <v>0.217</v>
      </c>
      <c r="G49">
        <f>F49/$C$57</f>
        <v>1</v>
      </c>
      <c r="M49">
        <v>46</v>
      </c>
      <c r="N49" s="37">
        <f>(P_smrt_vyliecenie_hosp_O[[#This Row],[P_death]]-C48)/$C$57</f>
        <v>0</v>
      </c>
      <c r="O49" s="13">
        <f>J$2*N49+(1-J$2)*O48</f>
        <v>1.1571965099097454E-5</v>
      </c>
      <c r="P49" s="13">
        <f>O49/$O$58</f>
        <v>1.0777324172615638E-5</v>
      </c>
      <c r="Q49" s="13">
        <f>-1/LN(1-$J$3)*$J$3^(1+M49)/(1+M49)</f>
        <v>6.373949120966494E-4</v>
      </c>
      <c r="R49" s="13">
        <f>Q49/$Q$58</f>
        <v>6.4078906372152112E-4</v>
      </c>
      <c r="S49" s="13">
        <f>G49-old!G48</f>
        <v>0</v>
      </c>
      <c r="T49" s="13">
        <f>1/(1+M49)^$J$4</f>
        <v>1.1942285881655397E-2</v>
      </c>
      <c r="U49" s="13">
        <f>T49/$T$58</f>
        <v>3.3127567027025728E-3</v>
      </c>
      <c r="V49" s="13">
        <f>$K$7*$M49^($J$6-1)*EXP(-($M49/$J$5)^$J$7)</f>
        <v>5.2085153729880002E-65</v>
      </c>
      <c r="W49" s="13">
        <f>V49/$V$58</f>
        <v>5.0411366716337149E-65</v>
      </c>
      <c r="X49" s="13">
        <f>J$8*J$9*EXP(J$8*M49)*J$10^J$9/(J$10-1+EXP(J$8*M49))^(J$9+1)</f>
        <v>8.0609670769317261E-6</v>
      </c>
      <c r="Y49" s="13">
        <f>X49/X$58</f>
        <v>7.8667203694683958E-6</v>
      </c>
      <c r="Z49" s="13">
        <f t="shared" si="8"/>
        <v>3.3127567027025728E-3</v>
      </c>
      <c r="AA49" s="13">
        <f>Z49/$Z$58</f>
        <v>2.8074628767381449E-3</v>
      </c>
      <c r="AB49" s="13">
        <f t="shared" si="7"/>
        <v>1.2042546079150118E-141</v>
      </c>
      <c r="AC49" s="13">
        <f t="shared" si="3"/>
        <v>1.4441731621118981E-141</v>
      </c>
      <c r="AE49" s="15">
        <f t="shared" si="9"/>
        <v>0</v>
      </c>
      <c r="AF49" s="13">
        <f>AE49*$J$16+(1-$J$16)*AF48</f>
        <v>3.9300477956790011E-4</v>
      </c>
      <c r="AG49" s="13">
        <f>AF49/$AF$58</f>
        <v>3.9300598623376722E-4</v>
      </c>
      <c r="AH49" s="13">
        <f>_xlfn.GAMMA.DIST(M49,$J$17,$J$18,FALSE)</f>
        <v>5.8860956800663671E-5</v>
      </c>
      <c r="AI49" s="14">
        <f>AH49/$AH$58</f>
        <v>5.8861168741876257E-5</v>
      </c>
    </row>
    <row r="50" spans="1:35" x14ac:dyDescent="0.35">
      <c r="A50">
        <v>47</v>
      </c>
      <c r="B50">
        <v>0.78300000000000003</v>
      </c>
      <c r="C50">
        <v>0.217</v>
      </c>
      <c r="D50">
        <v>4.0000000000000001E-3</v>
      </c>
      <c r="E50">
        <f t="shared" si="4"/>
        <v>3.226037352710893E-53</v>
      </c>
      <c r="F50">
        <v>0.217</v>
      </c>
      <c r="G50">
        <f>F50/$C$57</f>
        <v>1</v>
      </c>
      <c r="M50">
        <v>47</v>
      </c>
      <c r="N50" s="37">
        <f>(P_smrt_vyliecenie_hosp_O[[#This Row],[P_death]]-C49)/$C$57</f>
        <v>0</v>
      </c>
      <c r="O50" s="13">
        <f>J$2*N50+(1-J$2)*O49</f>
        <v>5.7859825495487269E-6</v>
      </c>
      <c r="P50" s="13">
        <f>O50/$O$58</f>
        <v>5.388662086307819E-6</v>
      </c>
      <c r="Q50" s="13">
        <f>-1/LN(1-$J$3)*$J$3^(1+M50)/(1+M50)</f>
        <v>5.9291005885657065E-4</v>
      </c>
      <c r="R50" s="13">
        <f>Q50/$Q$58</f>
        <v>5.960673269826232E-4</v>
      </c>
      <c r="S50" s="13">
        <f>G50-old!G49</f>
        <v>0</v>
      </c>
      <c r="T50" s="13">
        <f>1/(1+M50)^$J$4</f>
        <v>1.16566183385869E-2</v>
      </c>
      <c r="U50" s="13">
        <f>T50/$T$58</f>
        <v>3.2335133252267057E-3</v>
      </c>
      <c r="V50" s="13">
        <f>$K$7*$M50^($J$6-1)*EXP(-($M50/$J$5)^$J$7)</f>
        <v>3.6632930725136673E-72</v>
      </c>
      <c r="W50" s="13">
        <f>V50/$V$58</f>
        <v>3.5455709975559173E-72</v>
      </c>
      <c r="X50" s="13">
        <f>J$8*J$9*EXP(J$8*M50)*J$10^J$9/(J$10-1+EXP(J$8*M50))^(J$9+1)</f>
        <v>6.2465885452695715E-6</v>
      </c>
      <c r="Y50" s="13">
        <f>X50/X$58</f>
        <v>6.0960632737709288E-6</v>
      </c>
      <c r="Z50" s="13">
        <f t="shared" si="8"/>
        <v>3.2335133252267057E-3</v>
      </c>
      <c r="AA50" s="13">
        <f>Z50/$Z$58</f>
        <v>2.7403064688107685E-3</v>
      </c>
      <c r="AB50" s="13">
        <f t="shared" si="7"/>
        <v>1.7247040282272424E-157</v>
      </c>
      <c r="AC50" s="13">
        <f t="shared" si="3"/>
        <v>2.0683095200810286E-157</v>
      </c>
      <c r="AE50" s="15">
        <f t="shared" si="9"/>
        <v>0</v>
      </c>
      <c r="AF50" s="13">
        <f>AE50*$J$16+(1-$J$16)*AF49</f>
        <v>1.9650238978395005E-4</v>
      </c>
      <c r="AG50" s="13">
        <f>AF50/$AF$58</f>
        <v>1.9650299311688361E-4</v>
      </c>
      <c r="AH50" s="13">
        <f>_xlfn.GAMMA.DIST(M50,$J$17,$J$18,FALSE)</f>
        <v>4.5769452203884935E-5</v>
      </c>
      <c r="AI50" s="14">
        <f>AH50/$AH$58</f>
        <v>4.5769617006391158E-5</v>
      </c>
    </row>
    <row r="51" spans="1:35" x14ac:dyDescent="0.35">
      <c r="A51">
        <v>48</v>
      </c>
      <c r="B51">
        <v>0.78300000000000003</v>
      </c>
      <c r="C51">
        <v>0.217</v>
      </c>
      <c r="D51">
        <v>4.0000000000000001E-3</v>
      </c>
      <c r="E51">
        <f t="shared" si="4"/>
        <v>1.2904149410843571E-55</v>
      </c>
      <c r="F51">
        <v>0.217</v>
      </c>
      <c r="G51">
        <f>F51/$C$57</f>
        <v>1</v>
      </c>
      <c r="M51">
        <v>48</v>
      </c>
      <c r="N51" s="37">
        <f>(P_smrt_vyliecenie_hosp_O[[#This Row],[P_death]]-C50)/$C$57</f>
        <v>0</v>
      </c>
      <c r="O51" s="13">
        <f>J$2*N51+(1-J$2)*O50</f>
        <v>2.8929912747743634E-6</v>
      </c>
      <c r="P51" s="13">
        <f>O51/$O$58</f>
        <v>2.6943310431539095E-6</v>
      </c>
      <c r="Q51" s="13">
        <f>-1/LN(1-$J$3)*$J$3^(1+M51)/(1+M51)</f>
        <v>5.5176936089509432E-4</v>
      </c>
      <c r="R51" s="13">
        <f>Q51/$Q$58</f>
        <v>5.5470755327362482E-4</v>
      </c>
      <c r="S51" s="13">
        <f>G51-old!G50</f>
        <v>0</v>
      </c>
      <c r="T51" s="13">
        <f>1/(1+M51)^$J$4</f>
        <v>1.1383465822515232E-2</v>
      </c>
      <c r="U51" s="13">
        <f>T51/$T$58</f>
        <v>3.1577415812370146E-3</v>
      </c>
      <c r="V51" s="13">
        <f>$K$7*$M51^($J$6-1)*EXP(-($M51/$J$5)^$J$7)</f>
        <v>5.9672514364840438E-80</v>
      </c>
      <c r="W51" s="13">
        <f>V51/$V$58</f>
        <v>5.7754903059951054E-80</v>
      </c>
      <c r="X51" s="13">
        <f>J$8*J$9*EXP(J$8*M51)*J$10^J$9/(J$10-1+EXP(J$8*M51))^(J$9+1)</f>
        <v>4.8405915049383562E-6</v>
      </c>
      <c r="Y51" s="13">
        <f>X51/X$58</f>
        <v>4.7239468203694247E-6</v>
      </c>
      <c r="Z51" s="13">
        <f t="shared" si="8"/>
        <v>3.1577415812370146E-3</v>
      </c>
      <c r="AA51" s="13">
        <f>Z51/$Z$58</f>
        <v>2.6760921671135684E-3</v>
      </c>
      <c r="AB51" s="13">
        <f t="shared" si="7"/>
        <v>9.6717898991731015E-175</v>
      </c>
      <c r="AC51" s="13">
        <f t="shared" si="3"/>
        <v>1.1598659710469203E-174</v>
      </c>
      <c r="AE51" s="15">
        <f t="shared" si="9"/>
        <v>0</v>
      </c>
      <c r="AF51" s="13">
        <f>AE51*$J$16+(1-$J$16)*AF50</f>
        <v>9.8251194891975027E-5</v>
      </c>
      <c r="AG51" s="13">
        <f>AF51/$AF$58</f>
        <v>9.8251496558441804E-5</v>
      </c>
      <c r="AH51" s="13">
        <f>_xlfn.GAMMA.DIST(M51,$J$17,$J$18,FALSE)</f>
        <v>3.5547647386145204E-5</v>
      </c>
      <c r="AI51" s="14">
        <f>AH51/$AH$58</f>
        <v>3.5547775382900624E-5</v>
      </c>
    </row>
    <row r="52" spans="1:35" x14ac:dyDescent="0.35">
      <c r="A52">
        <v>49</v>
      </c>
      <c r="B52">
        <v>0.78300000000000003</v>
      </c>
      <c r="C52">
        <v>0.217</v>
      </c>
      <c r="D52">
        <v>4.0000000000000001E-3</v>
      </c>
      <c r="E52">
        <f t="shared" si="4"/>
        <v>5.1616597643374285E-58</v>
      </c>
      <c r="F52">
        <v>0.217</v>
      </c>
      <c r="G52">
        <f>F52/$C$57</f>
        <v>1</v>
      </c>
      <c r="M52">
        <v>49</v>
      </c>
      <c r="N52" s="37">
        <f>(P_smrt_vyliecenie_hosp_O[[#This Row],[P_death]]-C51)/$C$57</f>
        <v>0</v>
      </c>
      <c r="O52" s="13">
        <f>J$2*N52+(1-J$2)*O51</f>
        <v>1.4464956373871817E-6</v>
      </c>
      <c r="P52" s="13">
        <f>O52/$O$58</f>
        <v>1.3471655215769548E-6</v>
      </c>
      <c r="Q52" s="13">
        <f>-1/LN(1-$J$3)*$J$3^(1+M52)/(1+M52)</f>
        <v>5.1369727499333282E-4</v>
      </c>
      <c r="R52" s="13">
        <f>Q52/$Q$58</f>
        <v>5.1643273209774467E-4</v>
      </c>
      <c r="S52" s="13">
        <f>G52-old!G51</f>
        <v>0</v>
      </c>
      <c r="T52" s="13">
        <f>1/(1+M52)^$J$4</f>
        <v>1.1122041084459128E-2</v>
      </c>
      <c r="U52" s="13">
        <f>T52/$T$58</f>
        <v>3.0852230900679208E-3</v>
      </c>
      <c r="V52" s="13">
        <f>$K$7*$M52^($J$6-1)*EXP(-($M52/$J$5)^$J$7)</f>
        <v>2.0464877530133514E-88</v>
      </c>
      <c r="W52" s="13">
        <f>V52/$V$58</f>
        <v>1.9807226668213685E-88</v>
      </c>
      <c r="X52" s="13">
        <f>J$8*J$9*EXP(J$8*M52)*J$10^J$9/(J$10-1+EXP(J$8*M52))^(J$9+1)</f>
        <v>3.7510582271039713E-6</v>
      </c>
      <c r="Y52" s="13">
        <f>X52/X$58</f>
        <v>3.6606682400013908E-6</v>
      </c>
      <c r="Z52" s="13">
        <f t="shared" si="8"/>
        <v>3.0852230900679208E-3</v>
      </c>
      <c r="AA52" s="13">
        <f>Z52/$Z$58</f>
        <v>2.6146349005210048E-3</v>
      </c>
      <c r="AB52" s="13">
        <f t="shared" si="7"/>
        <v>1.7193322548699112E-193</v>
      </c>
      <c r="AC52" s="13">
        <f t="shared" si="3"/>
        <v>2.0618675510284566E-193</v>
      </c>
      <c r="AE52" s="15">
        <f t="shared" si="9"/>
        <v>0</v>
      </c>
      <c r="AF52" s="13">
        <f>AE52*$J$16+(1-$J$16)*AF51</f>
        <v>4.9125597445987514E-5</v>
      </c>
      <c r="AG52" s="13">
        <f>AF52/$AF$58</f>
        <v>4.9125748279220902E-5</v>
      </c>
      <c r="AH52" s="13">
        <f>_xlfn.GAMMA.DIST(M52,$J$17,$J$18,FALSE)</f>
        <v>2.7577438929691998E-5</v>
      </c>
      <c r="AI52" s="14">
        <f>AH52/$AH$58</f>
        <v>2.7577538228041268E-5</v>
      </c>
    </row>
    <row r="53" spans="1:35" x14ac:dyDescent="0.35">
      <c r="A53">
        <v>50</v>
      </c>
      <c r="B53">
        <v>0.78300000000000003</v>
      </c>
      <c r="C53">
        <v>0.217</v>
      </c>
      <c r="D53">
        <v>4.0000000000000001E-3</v>
      </c>
      <c r="E53">
        <f t="shared" si="4"/>
        <v>2.0646639057349714E-60</v>
      </c>
      <c r="F53">
        <v>0.217</v>
      </c>
      <c r="G53">
        <f>F53/$C$57</f>
        <v>1</v>
      </c>
      <c r="M53">
        <v>50</v>
      </c>
      <c r="N53" s="37">
        <f>(P_smrt_vyliecenie_hosp_O[[#This Row],[P_death]]-C52)/$C$57</f>
        <v>0</v>
      </c>
      <c r="O53" s="13">
        <f>J$2*N53+(1-J$2)*O52</f>
        <v>7.2324781869359086E-7</v>
      </c>
      <c r="P53" s="13">
        <f>O53/$O$58</f>
        <v>6.7358276078847738E-7</v>
      </c>
      <c r="Q53" s="13">
        <f>-1/LN(1-$J$3)*$J$3^(1+M53)/(1+M53)</f>
        <v>4.7844354043496674E-4</v>
      </c>
      <c r="R53" s="13">
        <f>Q53/$Q$58</f>
        <v>4.8099127009103662E-4</v>
      </c>
      <c r="S53" s="13">
        <f>G53-old!G52</f>
        <v>0</v>
      </c>
      <c r="T53" s="13">
        <f>1/(1+M53)^$J$4</f>
        <v>1.0871620840179215E-2</v>
      </c>
      <c r="U53" s="13">
        <f>T53/$T$58</f>
        <v>3.0157572146943439E-3</v>
      </c>
      <c r="V53" s="13">
        <f>$K$7*$M53^($J$6-1)*EXP(-($M53/$J$5)^$J$7)</f>
        <v>1.3378317814293254E-97</v>
      </c>
      <c r="W53" s="13">
        <f>V53/$V$58</f>
        <v>1.2948397711978819E-97</v>
      </c>
      <c r="X53" s="13">
        <f>J$8*J$9*EXP(J$8*M53)*J$10^J$9/(J$10-1+EXP(J$8*M53))^(J$9+1)</f>
        <v>2.9067592070498041E-6</v>
      </c>
      <c r="Y53" s="13">
        <f>X53/X$58</f>
        <v>2.8367144593204706E-6</v>
      </c>
      <c r="Z53" s="13">
        <f t="shared" si="8"/>
        <v>3.0157572146943439E-3</v>
      </c>
      <c r="AA53" s="13">
        <f>Z53/$Z$58</f>
        <v>2.55576463511566E-3</v>
      </c>
      <c r="AB53" s="13">
        <f t="shared" si="7"/>
        <v>7.7738377741433728E-214</v>
      </c>
      <c r="AC53" s="13">
        <f t="shared" si="3"/>
        <v>9.3225866077166504E-214</v>
      </c>
      <c r="AE53" s="15">
        <f t="shared" si="9"/>
        <v>0</v>
      </c>
      <c r="AF53" s="13">
        <f>AE53*$J$16+(1-$J$16)*AF52</f>
        <v>2.4562798722993757E-5</v>
      </c>
      <c r="AG53" s="13">
        <f>AF53/$AF$58</f>
        <v>2.4562874139610451E-5</v>
      </c>
      <c r="AH53" s="13">
        <f>_xlfn.GAMMA.DIST(M53,$J$17,$J$18,FALSE)</f>
        <v>2.1370997947522745E-5</v>
      </c>
      <c r="AI53" s="14">
        <f>AH53/$AH$58</f>
        <v>2.137107489828035E-5</v>
      </c>
    </row>
    <row r="54" spans="1:35" x14ac:dyDescent="0.35">
      <c r="A54">
        <v>51</v>
      </c>
      <c r="B54">
        <v>0.78300000000000003</v>
      </c>
      <c r="C54">
        <v>0.217</v>
      </c>
      <c r="D54">
        <v>4.0000000000000001E-3</v>
      </c>
      <c r="E54">
        <f t="shared" si="4"/>
        <v>8.2586556229398853E-63</v>
      </c>
      <c r="F54">
        <v>0.217</v>
      </c>
      <c r="G54">
        <f>F54/$C$57</f>
        <v>1</v>
      </c>
      <c r="M54">
        <v>51</v>
      </c>
      <c r="N54" s="37">
        <f>(P_smrt_vyliecenie_hosp_O[[#This Row],[P_death]]-C53)/$C$57</f>
        <v>0</v>
      </c>
      <c r="O54" s="13">
        <f>J$2*N54+(1-J$2)*O53</f>
        <v>3.6162390934679543E-7</v>
      </c>
      <c r="P54" s="13">
        <f>O54/$O$58</f>
        <v>3.3679138039423869E-7</v>
      </c>
      <c r="Q54" s="13">
        <f>-1/LN(1-$J$3)*$J$3^(1+M54)/(1+M54)</f>
        <v>4.4578056796296426E-4</v>
      </c>
      <c r="R54" s="13">
        <f>Q54/$Q$58</f>
        <v>4.4815436607520631E-4</v>
      </c>
      <c r="S54" s="13">
        <f>G54-old!G53</f>
        <v>0</v>
      </c>
      <c r="T54" s="13">
        <f>1/(1+M54)^$J$4</f>
        <v>1.0631539444520955E-2</v>
      </c>
      <c r="U54" s="13">
        <f>T54/$T$58</f>
        <v>2.9491593070121308E-3</v>
      </c>
      <c r="V54" s="13">
        <f>$K$7*$M54^($J$6-1)*EXP(-($M54/$J$5)^$J$7)</f>
        <v>1.503066997744355E-107</v>
      </c>
      <c r="W54" s="13">
        <f>V54/$V$58</f>
        <v>1.4547650567659974E-107</v>
      </c>
      <c r="X54" s="13">
        <f>J$8*J$9*EXP(J$8*M54)*J$10^J$9/(J$10-1+EXP(J$8*M54))^(J$9+1)</f>
        <v>2.2524969866900865E-6</v>
      </c>
      <c r="Y54" s="13">
        <f>X54/X$58</f>
        <v>2.1982181242335279E-6</v>
      </c>
      <c r="Z54" s="13">
        <f t="shared" si="8"/>
        <v>2.9491593070121308E-3</v>
      </c>
      <c r="AA54" s="13">
        <f>Z54/$Z$58</f>
        <v>2.4993248871155384E-3</v>
      </c>
      <c r="AB54" s="13">
        <f t="shared" si="7"/>
        <v>7.1074189182073082E-236</v>
      </c>
      <c r="AC54" s="13">
        <f t="shared" si="3"/>
        <v>8.5233999405927654E-236</v>
      </c>
      <c r="AE54" s="15">
        <f t="shared" si="9"/>
        <v>0</v>
      </c>
      <c r="AF54" s="13">
        <f>AE54*$J$16+(1-$J$16)*AF53</f>
        <v>1.2281399361496878E-5</v>
      </c>
      <c r="AG54" s="13">
        <f>AF54/$AF$58</f>
        <v>1.2281437069805225E-5</v>
      </c>
      <c r="AH54" s="13">
        <f>_xlfn.GAMMA.DIST(M54,$J$17,$J$18,FALSE)</f>
        <v>1.6544063164987732E-5</v>
      </c>
      <c r="AI54" s="14">
        <f>AH54/$AH$58</f>
        <v>1.6544122735354895E-5</v>
      </c>
    </row>
    <row r="55" spans="1:35" x14ac:dyDescent="0.35">
      <c r="A55">
        <v>52</v>
      </c>
      <c r="B55">
        <v>0.78300000000000003</v>
      </c>
      <c r="C55">
        <v>0.217</v>
      </c>
      <c r="D55">
        <v>4.0000000000000001E-3</v>
      </c>
      <c r="E55">
        <f t="shared" si="4"/>
        <v>3.3034622491759542E-65</v>
      </c>
      <c r="F55">
        <v>0.217</v>
      </c>
      <c r="G55">
        <f>F55/$C$57</f>
        <v>1</v>
      </c>
      <c r="M55">
        <v>52</v>
      </c>
      <c r="N55" s="37">
        <f>(P_smrt_vyliecenie_hosp_O[[#This Row],[P_death]]-C54)/$C$57</f>
        <v>0</v>
      </c>
      <c r="O55" s="13">
        <f>J$2*N55+(1-J$2)*O54</f>
        <v>1.8081195467339771E-7</v>
      </c>
      <c r="P55" s="13">
        <f>O55/$O$58</f>
        <v>1.6839569019711935E-7</v>
      </c>
      <c r="Q55" s="13">
        <f>-1/LN(1-$J$3)*$J$3^(1+M55)/(1+M55)</f>
        <v>4.1550113315793279E-4</v>
      </c>
      <c r="R55" s="13">
        <f>Q55/$Q$58</f>
        <v>4.1771369215311689E-4</v>
      </c>
      <c r="S55" s="13">
        <f>G55-old!G54</f>
        <v>0</v>
      </c>
      <c r="T55" s="13">
        <f>1/(1+M55)^$J$4</f>
        <v>1.0401183298710648E-2</v>
      </c>
      <c r="U55" s="13">
        <f>T55/$T$58</f>
        <v>2.8852591564376036E-3</v>
      </c>
      <c r="V55" s="13">
        <f>$K$7*$M55^($J$6-1)*EXP(-($M55/$J$5)^$J$7)</f>
        <v>2.605741779760482E-118</v>
      </c>
      <c r="W55" s="13">
        <f>V55/$V$58</f>
        <v>2.5220047368743616E-118</v>
      </c>
      <c r="X55" s="13">
        <f>J$8*J$9*EXP(J$8*M55)*J$10^J$9/(J$10-1+EXP(J$8*M55))^(J$9+1)</f>
        <v>1.745497835257797E-6</v>
      </c>
      <c r="Y55" s="13">
        <f>X55/X$58</f>
        <v>1.7034362309679734E-6</v>
      </c>
      <c r="Z55" s="13">
        <f t="shared" si="8"/>
        <v>2.8852591564376036E-3</v>
      </c>
      <c r="AA55" s="13">
        <f>Z55/$Z$58</f>
        <v>2.4451714081082784E-3</v>
      </c>
      <c r="AB55" s="13">
        <f t="shared" si="7"/>
        <v>1.0349084642670612E-259</v>
      </c>
      <c r="AC55" s="13">
        <f t="shared" si="3"/>
        <v>1.2410889022252412E-259</v>
      </c>
      <c r="AE55" s="15">
        <f t="shared" si="9"/>
        <v>0</v>
      </c>
      <c r="AF55" s="13">
        <f>AE55*$J$16+(1-$J$16)*AF54</f>
        <v>6.1406996807484392E-6</v>
      </c>
      <c r="AG55" s="13">
        <f>AF55/$AF$58</f>
        <v>6.1407185349026127E-6</v>
      </c>
      <c r="AH55" s="13">
        <f>_xlfn.GAMMA.DIST(M55,$J$17,$J$18,FALSE)</f>
        <v>1.2794510512346215E-5</v>
      </c>
      <c r="AI55" s="14">
        <f>AH55/$AH$58</f>
        <v>1.2794556581663123E-5</v>
      </c>
    </row>
    <row r="56" spans="1:35" x14ac:dyDescent="0.35">
      <c r="A56">
        <v>53</v>
      </c>
      <c r="B56">
        <v>0.78300000000000003</v>
      </c>
      <c r="C56">
        <v>0.217</v>
      </c>
      <c r="D56">
        <v>4.0000000000000001E-3</v>
      </c>
      <c r="E56">
        <f t="shared" si="4"/>
        <v>1.3213848996703817E-67</v>
      </c>
      <c r="F56">
        <v>0.217</v>
      </c>
      <c r="G56">
        <f>F56/$C$57</f>
        <v>1</v>
      </c>
      <c r="M56">
        <v>53</v>
      </c>
      <c r="N56" s="37">
        <f>(P_smrt_vyliecenie_hosp_O[[#This Row],[P_death]]-C55)/$C$57</f>
        <v>0</v>
      </c>
      <c r="O56" s="13">
        <f>J$2*N56+(1-J$2)*O55</f>
        <v>9.0405977336698857E-8</v>
      </c>
      <c r="P56" s="13">
        <f>O56/$O$58</f>
        <v>8.4197845098559673E-8</v>
      </c>
      <c r="Q56" s="13">
        <f>-1/LN(1-$J$3)*$J$3^(1+M56)/(1+M56)</f>
        <v>3.8741633434262798E-4</v>
      </c>
      <c r="R56" s="13">
        <f>Q56/$Q$58</f>
        <v>3.8947934073906351E-4</v>
      </c>
      <c r="S56" s="13">
        <f>G56-old!G55</f>
        <v>0</v>
      </c>
      <c r="T56" s="13">
        <f>1/(1+M56)^$J$4</f>
        <v>1.0179985893694177E-2</v>
      </c>
      <c r="U56" s="13">
        <f>T56/$T$58</f>
        <v>2.8238996149435964E-3</v>
      </c>
      <c r="V56" s="13">
        <f>$K$7*$M56^($J$6-1)*EXP(-($M56/$J$5)^$J$7)</f>
        <v>6.2313257792840144E-130</v>
      </c>
      <c r="W56" s="13">
        <f>V56/$V$58</f>
        <v>6.0310784646536077E-130</v>
      </c>
      <c r="X56" s="13">
        <f>J$8*J$9*EXP(J$8*M56)*J$10^J$9/(J$10-1+EXP(J$8*M56))^(J$9+1)</f>
        <v>1.3526155052248415E-6</v>
      </c>
      <c r="Y56" s="13">
        <f>X56/X$58</f>
        <v>1.3200212636349374E-6</v>
      </c>
      <c r="Z56" s="13">
        <f t="shared" si="8"/>
        <v>2.8238996149435964E-3</v>
      </c>
      <c r="AA56" s="13">
        <f>Z56/$Z$58</f>
        <v>2.3931710198100481E-3</v>
      </c>
      <c r="AB56" s="13">
        <f t="shared" si="7"/>
        <v>1.872284228672535E-285</v>
      </c>
      <c r="AC56" s="13">
        <f t="shared" si="3"/>
        <v>2.2452914999226428E-285</v>
      </c>
      <c r="AE56" s="15">
        <f t="shared" si="9"/>
        <v>0</v>
      </c>
      <c r="AF56" s="13">
        <f>AE56*$J$16+(1-$J$16)*AF55</f>
        <v>3.0703498403742196E-6</v>
      </c>
      <c r="AG56" s="13">
        <f>AF56/$AF$58</f>
        <v>3.0703592674513064E-6</v>
      </c>
      <c r="AH56" s="13">
        <f>_xlfn.GAMMA.DIST(M56,$J$17,$J$18,FALSE)</f>
        <v>9.8852099326611743E-6</v>
      </c>
      <c r="AI56" s="14">
        <f>AH56/$AH$58</f>
        <v>9.8852455264315387E-6</v>
      </c>
    </row>
    <row r="57" spans="1:35" x14ac:dyDescent="0.35">
      <c r="A57">
        <v>54</v>
      </c>
      <c r="B57">
        <v>0.78300000000000003</v>
      </c>
      <c r="C57">
        <v>0.217</v>
      </c>
      <c r="D57">
        <v>0</v>
      </c>
      <c r="E57">
        <f t="shared" si="4"/>
        <v>5.2855395986815268E-70</v>
      </c>
      <c r="F57">
        <v>0.217</v>
      </c>
      <c r="G57">
        <f>F57/$C$57</f>
        <v>1</v>
      </c>
      <c r="M57">
        <v>54</v>
      </c>
      <c r="N57" s="37">
        <f>(P_smrt_vyliecenie_hosp_O[[#This Row],[P_death]]-C56)/$C$57</f>
        <v>0</v>
      </c>
      <c r="O57" s="13">
        <f>J$2*N57+(1-J$2)*O56</f>
        <v>4.5202988668349429E-8</v>
      </c>
      <c r="P57" s="13">
        <f>O57/$O$58</f>
        <v>4.2098922549279836E-8</v>
      </c>
      <c r="Q57" s="13">
        <f>-1/LN(1-$J$3)*$J$3^(1+M57)/(1+M57)</f>
        <v>3.6135378094139669E-4</v>
      </c>
      <c r="R57" s="13">
        <f>Q57/$Q$58</f>
        <v>3.6327800327116294E-4</v>
      </c>
      <c r="S57" s="13">
        <f>G57-old!G56</f>
        <v>0</v>
      </c>
      <c r="T57" s="13">
        <f>1/(1+M57)^$J$4</f>
        <v>9.9674234069485352E-3</v>
      </c>
      <c r="U57" s="13">
        <f>T57/$T$58</f>
        <v>2.7649353756272837E-3</v>
      </c>
      <c r="V57" s="13">
        <f>$K$7*$M57^($J$6-1)*EXP(-($M57/$J$5)^$J$7)</f>
        <v>1.8295185321711324E-142</v>
      </c>
      <c r="W57" s="13">
        <f>V57/$V$58</f>
        <v>1.7707258793536886E-142</v>
      </c>
      <c r="X57" s="13">
        <f>J$8*J$9*EXP(J$8*M57)*J$10^J$9/(J$10-1+EXP(J$8*M57))^(J$9+1)</f>
        <v>1.0481643204214761E-6</v>
      </c>
      <c r="Y57" s="13">
        <f>X57/$V$58</f>
        <v>1.0144809442202846E-6</v>
      </c>
      <c r="Z57" s="13">
        <f t="shared" si="8"/>
        <v>2.7649353756272837E-3</v>
      </c>
      <c r="AA57" s="13">
        <f>Z57/$Z$58</f>
        <v>2.3432005789380691E-3</v>
      </c>
      <c r="AB57" s="13">
        <f t="shared" si="7"/>
        <v>0</v>
      </c>
      <c r="AC57" s="13">
        <f t="shared" si="3"/>
        <v>0</v>
      </c>
      <c r="AE57" s="15">
        <f t="shared" si="9"/>
        <v>0</v>
      </c>
      <c r="AF57" s="13">
        <f>AE57*$J$16+(1-$J$16)*AF56</f>
        <v>1.5351749201871098E-6</v>
      </c>
      <c r="AG57" s="13">
        <f>AF57/$AF$58</f>
        <v>1.5351796337256532E-6</v>
      </c>
      <c r="AH57" s="13">
        <f>_xlfn.GAMMA.DIST(M57,$J$17,$J$18,FALSE)</f>
        <v>7.6303510496301167E-6</v>
      </c>
      <c r="AI57" s="14">
        <f>AH57/$AH$58</f>
        <v>7.6303785243084397E-6</v>
      </c>
    </row>
    <row r="58" spans="1:35" x14ac:dyDescent="0.35">
      <c r="B58">
        <f>SUMPRODUCT(P_smrt_vyliecenie_hosp_O[P_rec],P_smrt_vyliecenie_hosp_O[P_cont_cum])</f>
        <v>0.62765674035457053</v>
      </c>
      <c r="C58">
        <f>SUMPRODUCT(P_smrt_vyliecenie_hosp_O[P_death],P_smrt_vyliecenie_hosp_O[P_cont_cum])</f>
        <v>0.37161160021454559</v>
      </c>
      <c r="F58">
        <f>SUMPRODUCT(P_smrt_vyliecenie_hosp_O[P_death],P_smrt_vyliecenie_hosp_O[P_cont_cum])</f>
        <v>0.37161160021454559</v>
      </c>
      <c r="N58" s="5">
        <f>SUM(N3:N57)</f>
        <v>0.99999999999999978</v>
      </c>
      <c r="O58" s="5">
        <f>SUM(O3:O57)</f>
        <v>1.0737326736910204</v>
      </c>
      <c r="P58" s="5">
        <f>SUM(P3:P57)</f>
        <v>1.0000000000000002</v>
      </c>
      <c r="Q58" s="5">
        <f>SUM(Q3:Q57)</f>
        <v>0.99470316861346009</v>
      </c>
      <c r="R58" s="5">
        <f>SUM(R3:R57)</f>
        <v>1.0000000000000007</v>
      </c>
      <c r="S58" s="5">
        <f>SUM(S3:S57)</f>
        <v>1</v>
      </c>
      <c r="T58" s="37">
        <f>SUM(T3:T57)</f>
        <v>3.6049390140582274</v>
      </c>
      <c r="U58" s="37">
        <f>SUM(U3:U57)</f>
        <v>0.99999999999999956</v>
      </c>
      <c r="V58" s="37">
        <f>SUM(V3:V57)</f>
        <v>1.0332025716136837</v>
      </c>
      <c r="W58" s="37">
        <f>SUM(W3:W57)</f>
        <v>1</v>
      </c>
      <c r="X58" s="37">
        <f>SUM(X3:X57)</f>
        <v>1.0246922095028601</v>
      </c>
      <c r="Y58" s="37">
        <f>SUM(Y3:Y57)</f>
        <v>0.99999999157444519</v>
      </c>
      <c r="Z58" s="37">
        <f>SUM(Z3:Z57)</f>
        <v>1.1799823713257802</v>
      </c>
      <c r="AA58" s="37">
        <f>SUM(AA3:AA57)</f>
        <v>0.99999999999999978</v>
      </c>
      <c r="AB58" s="37">
        <f>SUM(AB3:AB57)</f>
        <v>0.83387133863778529</v>
      </c>
      <c r="AC58" s="37"/>
      <c r="AE58" s="5">
        <f>SUM(AE3:AE56)</f>
        <v>0.99999999999999978</v>
      </c>
      <c r="AF58" s="5">
        <f>SUM(AF3:AF56)</f>
        <v>0.99999692965015963</v>
      </c>
      <c r="AG58" s="5">
        <f>SUM(AG3:AG56)</f>
        <v>1</v>
      </c>
      <c r="AH58" s="5">
        <f>SUM(AH3:AH56)</f>
        <v>0.99999639930335882</v>
      </c>
      <c r="AI58" s="5">
        <f>SUM(AI3:AI56)</f>
        <v>1</v>
      </c>
    </row>
    <row r="59" spans="1:35" x14ac:dyDescent="0.35">
      <c r="B59">
        <f>SUMPRODUCT(P_smrt_vyliecenie_hosp_O[day],P_smrt_vyliecenie_hosp_O[P_rec],P_smrt_vyliecenie_hosp_O[P_cont_cum])/P_smrt_vyliecenie_hosp_O[[#Totals],[P_rec]]</f>
        <v>5.6533128722692334</v>
      </c>
      <c r="C59">
        <f>SUMPRODUCT(P_smrt_vyliecenie_hosp_O[P_death],P_smrt_vyliecenie_hosp_O[day],P_smrt_vyliecenie_hosp_O[P_cont_cum])/P_smrt_vyliecenie_hosp_O[[#Totals],[P_death]]</f>
        <v>4.5926361058787624</v>
      </c>
      <c r="F59">
        <f>SUMPRODUCT(P_smrt_vyliecenie_hosp_O[P_death],P_smrt_vyliecenie_hosp_O[day],P_smrt_vyliecenie_hosp_O[P_cont_cum])/P_smrt_vyliecenie_hosp_O[[#Totals],[P_death]]</f>
        <v>4.5926361058787624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E59" s="37">
        <f>SUMPRODUCT(AE3:AE57,$M3:$M57)</f>
        <v>11.739463601532568</v>
      </c>
      <c r="AF59" s="37"/>
      <c r="AG59" s="37">
        <f>SUMPRODUCT(AG3:AG57,$M3:$M57)</f>
        <v>12.739416746203208</v>
      </c>
      <c r="AI59" s="37">
        <f>SUMPRODUCT(AI3:AI57,$M3:$M57)</f>
        <v>11.731076178773185</v>
      </c>
    </row>
    <row r="60" spans="1:35" x14ac:dyDescent="0.35">
      <c r="N60" s="5">
        <f>SUMPRODUCT(N3:N57,$M3:$M57)</f>
        <v>10.087557603686635</v>
      </c>
      <c r="P60" s="5">
        <f>SUMPRODUCT(P3:P57,$M3:$M57)</f>
        <v>10.394847865480042</v>
      </c>
      <c r="Q60" s="9"/>
      <c r="R60" s="5">
        <f>SUMPRODUCT(R3:R57,$M3:$M57)</f>
        <v>4.9965035805022904</v>
      </c>
      <c r="S60" s="5">
        <f>SUMPRODUCT(S3:S57,$M3:$M57)</f>
        <v>9.5576036866359448</v>
      </c>
      <c r="T60" s="9"/>
      <c r="U60" s="5">
        <f>SUMPRODUCT(U3:U57,$M3:$M57)</f>
        <v>8.731619563218878</v>
      </c>
      <c r="V60" s="9"/>
      <c r="W60" s="5">
        <f>SUMPRODUCT(W3:W57,$M3:$M57)</f>
        <v>7.4894862200682679</v>
      </c>
      <c r="X60" s="9"/>
      <c r="Y60" s="5">
        <f>SUMPRODUCT(Y3:Y57,$M3:$M57)</f>
        <v>7.2925519755233674</v>
      </c>
      <c r="Z60" s="9"/>
      <c r="AA60" s="5">
        <f>SUMPRODUCT(AA3:AA57,$M3:$M57)</f>
        <v>10.145050986215075</v>
      </c>
      <c r="AB60" s="9"/>
      <c r="AC60" s="9"/>
      <c r="AG60" s="9"/>
      <c r="AI60" s="9"/>
    </row>
    <row r="61" spans="1:35" x14ac:dyDescent="0.35">
      <c r="AG61" s="9"/>
      <c r="AI61" s="9"/>
    </row>
  </sheetData>
  <mergeCells count="2">
    <mergeCell ref="AE1:AI1"/>
    <mergeCell ref="N1:U1"/>
  </mergeCells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67B-3B37-4EA4-A42A-FCD3FB348D45}">
  <dimension ref="A1:X37"/>
  <sheetViews>
    <sheetView topLeftCell="A23" zoomScale="89" workbookViewId="0">
      <selection activeCell="V37" sqref="V37"/>
    </sheetView>
  </sheetViews>
  <sheetFormatPr defaultRowHeight="14.5" x14ac:dyDescent="0.35"/>
  <sheetData>
    <row r="1" spans="1:24" ht="15" thickBot="1" x14ac:dyDescent="0.4">
      <c r="J1" s="43" t="s">
        <v>15</v>
      </c>
      <c r="K1" s="44"/>
      <c r="L1" s="44"/>
      <c r="M1" s="44"/>
      <c r="N1" s="44"/>
      <c r="O1" s="44"/>
      <c r="P1" s="45"/>
      <c r="R1" s="46" t="s">
        <v>9</v>
      </c>
      <c r="S1" s="47"/>
      <c r="T1" s="47"/>
      <c r="U1" s="47"/>
      <c r="V1" s="47"/>
      <c r="W1" s="47"/>
      <c r="X1" s="48"/>
    </row>
    <row r="2" spans="1:24" ht="15" thickBot="1" x14ac:dyDescent="0.4">
      <c r="A2" t="s">
        <v>0</v>
      </c>
      <c r="B2" t="s">
        <v>31</v>
      </c>
      <c r="C2" t="s">
        <v>30</v>
      </c>
      <c r="D2" t="s">
        <v>33</v>
      </c>
      <c r="E2" t="s">
        <v>32</v>
      </c>
      <c r="J2" s="23" t="s">
        <v>37</v>
      </c>
      <c r="K2" s="24"/>
      <c r="L2" s="25" t="s">
        <v>28</v>
      </c>
      <c r="M2" s="26" t="s">
        <v>41</v>
      </c>
      <c r="N2" s="26"/>
      <c r="O2" s="27" t="s">
        <v>36</v>
      </c>
      <c r="P2" s="28" t="s">
        <v>38</v>
      </c>
      <c r="R2" s="23" t="s">
        <v>43</v>
      </c>
      <c r="S2" s="24"/>
      <c r="T2" s="25" t="s">
        <v>27</v>
      </c>
      <c r="U2" s="26" t="s">
        <v>47</v>
      </c>
      <c r="V2" s="26"/>
      <c r="W2" s="27" t="s">
        <v>46</v>
      </c>
      <c r="X2" s="28" t="s">
        <v>45</v>
      </c>
    </row>
    <row r="3" spans="1:24" x14ac:dyDescent="0.35">
      <c r="A3">
        <v>0</v>
      </c>
      <c r="B3">
        <v>0.96</v>
      </c>
      <c r="C3">
        <f>B3/$B$33</f>
        <v>0.41558441558441556</v>
      </c>
      <c r="D3">
        <v>16.84</v>
      </c>
      <c r="E3">
        <f>D3/$D$33</f>
        <v>0.52856246076585056</v>
      </c>
      <c r="G3" t="s">
        <v>25</v>
      </c>
      <c r="H3">
        <v>0.65</v>
      </c>
      <c r="J3" s="29">
        <f>C3</f>
        <v>0.41558441558441556</v>
      </c>
      <c r="K3" s="30">
        <f>J3</f>
        <v>0.41558441558441556</v>
      </c>
      <c r="L3" s="30">
        <f>K3/$K$34</f>
        <v>0.34629260348381818</v>
      </c>
      <c r="M3" s="30">
        <f>-1/LN(1-$H$8)*$H$8^(1+$A3)/(1+$A3)</f>
        <v>0.33001043102957339</v>
      </c>
      <c r="N3" s="30">
        <f>M3/$M$34</f>
        <v>0.33696958884051037</v>
      </c>
      <c r="O3" s="30">
        <f>_xlfn.CHISQ.DIST($A3,2.5,FALSE)</f>
        <v>0.5</v>
      </c>
      <c r="P3" s="31">
        <f t="shared" ref="P3:P33" si="0">$H$3^A3*EXP(-$H$3)/FACT(A3)</f>
        <v>0.52204577676101604</v>
      </c>
      <c r="R3" s="18">
        <f>E3</f>
        <v>0.52856246076585056</v>
      </c>
      <c r="S3" s="13">
        <f>R3</f>
        <v>0.52856246076585056</v>
      </c>
      <c r="T3" s="13">
        <f>S3/$S$34</f>
        <v>0.4213355289841918</v>
      </c>
      <c r="U3" s="13">
        <f>-1/LN(1-$H$10)*$H$10^(1+$A3)/(1+$A3)</f>
        <v>0.41212955508368432</v>
      </c>
      <c r="V3" s="13">
        <f>U3/$U$34</f>
        <v>0.41291506334369904</v>
      </c>
      <c r="W3" s="13">
        <f>_xlfn.CHISQ.DIST($A3,2,FALSE)</f>
        <v>0.5</v>
      </c>
      <c r="X3" s="19">
        <f t="shared" ref="X3:X33" si="1">$H$4^A3*EXP(-$H$4)/FACT(A3)</f>
        <v>0.61522168764070195</v>
      </c>
    </row>
    <row r="4" spans="1:24" x14ac:dyDescent="0.35">
      <c r="A4">
        <f>A3+1</f>
        <v>1</v>
      </c>
      <c r="B4">
        <v>1.26</v>
      </c>
      <c r="C4">
        <f>AVERAGE(B3:B5)/$B$33</f>
        <v>0.53246753246753231</v>
      </c>
      <c r="D4">
        <v>21.27</v>
      </c>
      <c r="E4">
        <f>AVERAGE(D3:D5)/$D$33</f>
        <v>0.64888051893701604</v>
      </c>
      <c r="G4" t="s">
        <v>26</v>
      </c>
      <c r="H4">
        <v>0.48577260842003672</v>
      </c>
      <c r="J4" s="18">
        <f t="shared" ref="J4:J33" si="2">C4-C3</f>
        <v>0.11688311688311676</v>
      </c>
      <c r="K4" s="13">
        <f t="shared" ref="K4:K33" si="3">J4*$H$7+K3*(1-$H$7)</f>
        <v>0.21396103896103885</v>
      </c>
      <c r="L4" s="13">
        <f>K4/$K$34</f>
        <v>0.17828658257487193</v>
      </c>
      <c r="M4" s="13">
        <f>-1/LN(1-$H$8)*$H$8^(1+$A4)/(1+$A4)</f>
        <v>0.15551741562268648</v>
      </c>
      <c r="N4" s="13">
        <f t="shared" ref="N4:N33" si="4">M4/$M$34</f>
        <v>0.15879691874109053</v>
      </c>
      <c r="O4" s="13">
        <f>_xlfn.CHISQ.DIST($A4,2.5,FALSE)</f>
        <v>0.30326532985631671</v>
      </c>
      <c r="P4" s="19">
        <f t="shared" si="0"/>
        <v>0.33932975489466044</v>
      </c>
      <c r="R4" s="18">
        <f t="shared" ref="R4:R33" si="5">E4-E3</f>
        <v>0.12031805817116548</v>
      </c>
      <c r="S4" s="13">
        <f>R4*$H$9+(1-$H$9)*S3</f>
        <v>0.25299748901443808</v>
      </c>
      <c r="T4" s="13">
        <f t="shared" ref="T4:T33" si="6">S4/$S$34</f>
        <v>0.20167310162571717</v>
      </c>
      <c r="U4" s="13">
        <f>-1/LN(1-$H$10)*$H$10^(1+$A4)/(1+$A4)</f>
        <v>0.18185216618067571</v>
      </c>
      <c r="V4" s="13">
        <f t="shared" ref="V4:V33" si="7">U4/$U$34</f>
        <v>0.18219877170040721</v>
      </c>
      <c r="W4" s="13">
        <f>_xlfn.CHISQ.DIST($A4,2,FALSE)</f>
        <v>0.30326532985631671</v>
      </c>
      <c r="X4" s="19">
        <f t="shared" si="1"/>
        <v>0.29885784396180087</v>
      </c>
    </row>
    <row r="5" spans="1:24" x14ac:dyDescent="0.35">
      <c r="A5">
        <f t="shared" ref="A5:A33" si="8">A4+1</f>
        <v>2</v>
      </c>
      <c r="B5">
        <v>1.47</v>
      </c>
      <c r="C5">
        <f>AVERAGE(B3:B7)/$B$33</f>
        <v>0.61038961038961037</v>
      </c>
      <c r="D5">
        <v>23.91</v>
      </c>
      <c r="E5">
        <f>AVERAGE(D3:D7)/$D$33</f>
        <v>0.7180790960451976</v>
      </c>
      <c r="G5" t="s">
        <v>29</v>
      </c>
      <c r="H5" cm="1">
        <f t="array" ref="H5">SUMPRODUCT(O3:O33-L3:L33,O3:O33-L3:L33)</f>
        <v>4.8811181030614909E-2</v>
      </c>
      <c r="J5" s="18">
        <f t="shared" si="2"/>
        <v>7.7922077922078059E-2</v>
      </c>
      <c r="K5" s="13">
        <f t="shared" si="3"/>
        <v>0.1221347402597403</v>
      </c>
      <c r="L5" s="13">
        <f t="shared" ref="L5:L33" si="9">K5/$K$34</f>
        <v>0.10177079696525419</v>
      </c>
      <c r="M5" s="13">
        <f t="shared" ref="M4:M33" si="10">-1/LN(1-$H$8)*$H$8^(1+$A5)/(1+$A5)</f>
        <v>9.7716776149588E-2</v>
      </c>
      <c r="N5" s="13">
        <f t="shared" si="4"/>
        <v>9.977739727565188E-2</v>
      </c>
      <c r="O5" s="13">
        <f t="shared" ref="O5:O33" si="11">_xlfn.CHISQ.DIST($A5,2.5,FALSE)</f>
        <v>0.18393972058572117</v>
      </c>
      <c r="P5" s="19">
        <f t="shared" si="0"/>
        <v>0.11028217034076465</v>
      </c>
      <c r="R5" s="18">
        <f t="shared" si="5"/>
        <v>6.9198577108181558E-2</v>
      </c>
      <c r="S5" s="13">
        <f t="shared" ref="S5:S33" si="12">R5*$H$9+(1-$H$9)*S4</f>
        <v>0.12893322347771491</v>
      </c>
      <c r="T5" s="13">
        <f t="shared" si="6"/>
        <v>0.10277715870875144</v>
      </c>
      <c r="U5" s="13">
        <f t="shared" ref="U5:U33" si="13">-1/LN(1-$H$10)*$H$10^(1+$A5)/(1+$A5)</f>
        <v>0.1069896911029642</v>
      </c>
      <c r="V5" s="13">
        <f t="shared" si="7"/>
        <v>0.10719361068373957</v>
      </c>
      <c r="W5" s="13">
        <f t="shared" ref="W5:W33" si="14">_xlfn.CHISQ.DIST($A5,2,FALSE)</f>
        <v>0.18393972058572117</v>
      </c>
      <c r="X5" s="19">
        <f t="shared" si="1"/>
        <v>7.2588477204056159E-2</v>
      </c>
    </row>
    <row r="6" spans="1:24" x14ac:dyDescent="0.35">
      <c r="A6">
        <f t="shared" si="8"/>
        <v>3</v>
      </c>
      <c r="B6">
        <v>1.62</v>
      </c>
      <c r="C6">
        <f t="shared" ref="C6:C33" si="15">AVERAGE(B4:B8)/$B$33</f>
        <v>0.68831168831168832</v>
      </c>
      <c r="D6">
        <v>25.63</v>
      </c>
      <c r="E6">
        <f t="shared" ref="E6:E33" si="16">AVERAGE(D4:D8)/$D$33</f>
        <v>0.78637790332705582</v>
      </c>
      <c r="G6" t="s">
        <v>34</v>
      </c>
      <c r="H6" cm="1">
        <f t="array" ref="H6">SUMPRODUCT(X3:X33-R3:R33,X3:X33-R3:R33)</f>
        <v>4.7551653762724529E-2</v>
      </c>
      <c r="J6" s="18">
        <f t="shared" si="2"/>
        <v>7.7922077922077948E-2</v>
      </c>
      <c r="K6" s="13">
        <f t="shared" si="3"/>
        <v>9.2291193181818207E-2</v>
      </c>
      <c r="L6" s="13">
        <f t="shared" si="9"/>
        <v>7.6903166642128359E-2</v>
      </c>
      <c r="M6" s="13">
        <f t="shared" si="10"/>
        <v>6.9073546140740016E-2</v>
      </c>
      <c r="N6" s="13">
        <f t="shared" si="4"/>
        <v>7.0530147699226414E-2</v>
      </c>
      <c r="O6" s="13">
        <f t="shared" si="11"/>
        <v>0.11156508007421491</v>
      </c>
      <c r="P6" s="19">
        <f t="shared" si="0"/>
        <v>2.3894470240499011E-2</v>
      </c>
      <c r="R6" s="18">
        <f t="shared" si="5"/>
        <v>6.829880728185822E-2</v>
      </c>
      <c r="S6" s="13">
        <f t="shared" si="12"/>
        <v>8.800499254551164E-2</v>
      </c>
      <c r="T6" s="13">
        <f t="shared" si="6"/>
        <v>7.0151841721198246E-2</v>
      </c>
      <c r="U6" s="13">
        <f t="shared" si="13"/>
        <v>7.0813801798774431E-2</v>
      </c>
      <c r="V6" s="13">
        <f t="shared" si="7"/>
        <v>7.0948771071300126E-2</v>
      </c>
      <c r="W6" s="13">
        <f t="shared" si="14"/>
        <v>0.11156508007421491</v>
      </c>
      <c r="X6" s="19">
        <f t="shared" si="1"/>
        <v>1.1753831304217579E-2</v>
      </c>
    </row>
    <row r="7" spans="1:24" x14ac:dyDescent="0.35">
      <c r="A7">
        <f t="shared" si="8"/>
        <v>4</v>
      </c>
      <c r="B7">
        <v>1.74</v>
      </c>
      <c r="C7">
        <f t="shared" si="15"/>
        <v>0.74891774891774887</v>
      </c>
      <c r="D7">
        <v>26.74</v>
      </c>
      <c r="E7">
        <f t="shared" si="16"/>
        <v>0.83145009416195859</v>
      </c>
      <c r="G7" t="s">
        <v>35</v>
      </c>
      <c r="H7">
        <v>0.67500000000000004</v>
      </c>
      <c r="J7" s="18">
        <f t="shared" si="2"/>
        <v>6.0606060606060552E-2</v>
      </c>
      <c r="K7" s="13">
        <f t="shared" si="3"/>
        <v>7.0903728693181789E-2</v>
      </c>
      <c r="L7" s="13">
        <f t="shared" si="9"/>
        <v>5.9081707314130039E-2</v>
      </c>
      <c r="M7" s="13">
        <f t="shared" si="10"/>
        <v>5.2081453790117971E-2</v>
      </c>
      <c r="N7" s="13">
        <f t="shared" si="4"/>
        <v>5.3179731365216719E-2</v>
      </c>
      <c r="O7" s="13">
        <f t="shared" si="11"/>
        <v>6.7667641618306337E-2</v>
      </c>
      <c r="P7" s="19">
        <f t="shared" si="0"/>
        <v>3.882851414081089E-3</v>
      </c>
      <c r="R7" s="18">
        <f t="shared" si="5"/>
        <v>4.507219083490277E-2</v>
      </c>
      <c r="S7" s="13">
        <f t="shared" si="12"/>
        <v>5.9025351390850647E-2</v>
      </c>
      <c r="T7" s="13">
        <f t="shared" si="6"/>
        <v>4.7051161400504492E-2</v>
      </c>
      <c r="U7" s="13">
        <f t="shared" si="13"/>
        <v>4.999454406993474E-2</v>
      </c>
      <c r="V7" s="13">
        <f t="shared" si="7"/>
        <v>5.0089832376337885E-2</v>
      </c>
      <c r="W7" s="13">
        <f t="shared" si="14"/>
        <v>6.7667641618306337E-2</v>
      </c>
      <c r="X7" s="19">
        <f t="shared" si="1"/>
        <v>1.4274223228947138E-3</v>
      </c>
    </row>
    <row r="8" spans="1:24" x14ac:dyDescent="0.35">
      <c r="A8">
        <f t="shared" si="8"/>
        <v>5</v>
      </c>
      <c r="B8">
        <v>1.86</v>
      </c>
      <c r="C8">
        <f t="shared" si="15"/>
        <v>0.79826839826839824</v>
      </c>
      <c r="D8">
        <v>27.72</v>
      </c>
      <c r="E8">
        <f t="shared" si="16"/>
        <v>0.86409290646578785</v>
      </c>
      <c r="G8" t="s">
        <v>40</v>
      </c>
      <c r="H8">
        <v>0.9425</v>
      </c>
      <c r="J8" s="18">
        <f t="shared" si="2"/>
        <v>4.9350649350649367E-2</v>
      </c>
      <c r="K8" s="13">
        <f t="shared" si="3"/>
        <v>5.6355400136972406E-2</v>
      </c>
      <c r="L8" s="13">
        <f t="shared" si="9"/>
        <v>4.6959071375092074E-2</v>
      </c>
      <c r="M8" s="13">
        <f t="shared" si="10"/>
        <v>4.0905641830988493E-2</v>
      </c>
      <c r="N8" s="13">
        <f t="shared" si="4"/>
        <v>4.1768247343097302E-2</v>
      </c>
      <c r="O8" s="13">
        <f t="shared" si="11"/>
        <v>4.10424993119494E-2</v>
      </c>
      <c r="P8" s="19">
        <f t="shared" si="0"/>
        <v>5.0477068383054165E-4</v>
      </c>
      <c r="R8" s="18">
        <f t="shared" si="5"/>
        <v>3.2642812303829261E-2</v>
      </c>
      <c r="S8" s="13">
        <f t="shared" si="12"/>
        <v>4.1217137507111215E-2</v>
      </c>
      <c r="T8" s="13">
        <f t="shared" si="6"/>
        <v>3.2855614471013296E-2</v>
      </c>
      <c r="U8" s="13">
        <f t="shared" si="13"/>
        <v>3.6766820951431176E-2</v>
      </c>
      <c r="V8" s="13">
        <f t="shared" si="7"/>
        <v>3.6836897560098489E-2</v>
      </c>
      <c r="W8" s="13">
        <f t="shared" si="14"/>
        <v>4.10424993119494E-2</v>
      </c>
      <c r="X8" s="19">
        <f t="shared" si="1"/>
        <v>1.3868053302191059E-4</v>
      </c>
    </row>
    <row r="9" spans="1:24" x14ac:dyDescent="0.35">
      <c r="A9">
        <f t="shared" si="8"/>
        <v>6</v>
      </c>
      <c r="B9">
        <v>1.96</v>
      </c>
      <c r="C9">
        <f t="shared" si="15"/>
        <v>0.83982683982683992</v>
      </c>
      <c r="D9">
        <v>28.45</v>
      </c>
      <c r="E9">
        <f t="shared" si="16"/>
        <v>0.88920276208411808</v>
      </c>
      <c r="G9" t="s">
        <v>44</v>
      </c>
      <c r="H9">
        <v>0.67500000000000004</v>
      </c>
      <c r="J9" s="18">
        <f t="shared" si="2"/>
        <v>4.1558441558441683E-2</v>
      </c>
      <c r="K9" s="13">
        <f t="shared" si="3"/>
        <v>4.6367453096464166E-2</v>
      </c>
      <c r="L9" s="13">
        <f t="shared" si="9"/>
        <v>3.8636448932062722E-2</v>
      </c>
      <c r="M9" s="13">
        <f t="shared" si="10"/>
        <v>3.3045914936319989E-2</v>
      </c>
      <c r="N9" s="13">
        <f t="shared" si="4"/>
        <v>3.3742776960745034E-2</v>
      </c>
      <c r="O9" s="13">
        <f t="shared" si="11"/>
        <v>2.4893534183931976E-2</v>
      </c>
      <c r="P9" s="19">
        <f t="shared" si="0"/>
        <v>5.4683490748308681E-5</v>
      </c>
      <c r="R9" s="18">
        <f t="shared" si="5"/>
        <v>2.5109855618330235E-2</v>
      </c>
      <c r="S9" s="13">
        <f t="shared" si="12"/>
        <v>3.0344722232184054E-2</v>
      </c>
      <c r="T9" s="13">
        <f t="shared" si="6"/>
        <v>2.4188833946040364E-2</v>
      </c>
      <c r="U9" s="13">
        <f t="shared" si="13"/>
        <v>2.7811473848261156E-2</v>
      </c>
      <c r="V9" s="13">
        <f t="shared" si="7"/>
        <v>2.7864481797245929E-2</v>
      </c>
      <c r="W9" s="13">
        <f t="shared" si="14"/>
        <v>2.4893534183931976E-2</v>
      </c>
      <c r="X9" s="19">
        <f t="shared" si="1"/>
        <v>1.122786737718909E-5</v>
      </c>
    </row>
    <row r="10" spans="1:24" x14ac:dyDescent="0.35">
      <c r="A10">
        <f t="shared" si="8"/>
        <v>7</v>
      </c>
      <c r="B10">
        <v>2.04</v>
      </c>
      <c r="C10">
        <f t="shared" si="15"/>
        <v>0.87532467532467539</v>
      </c>
      <c r="D10">
        <v>29.11</v>
      </c>
      <c r="E10">
        <f t="shared" si="16"/>
        <v>0.90985561833019457</v>
      </c>
      <c r="G10" t="s">
        <v>48</v>
      </c>
      <c r="H10">
        <v>0.88249999999999995</v>
      </c>
      <c r="J10" s="18">
        <f t="shared" si="2"/>
        <v>3.5497835497835473E-2</v>
      </c>
      <c r="K10" s="13">
        <f t="shared" si="3"/>
        <v>3.9030461217389803E-2</v>
      </c>
      <c r="L10" s="13">
        <f t="shared" si="9"/>
        <v>3.2522778822534265E-2</v>
      </c>
      <c r="M10" s="13">
        <f t="shared" si="10"/>
        <v>2.7252552974046388E-2</v>
      </c>
      <c r="N10" s="13">
        <f t="shared" si="4"/>
        <v>2.7827246374814416E-2</v>
      </c>
      <c r="O10" s="13">
        <f t="shared" si="11"/>
        <v>1.509869171115925E-2</v>
      </c>
      <c r="P10" s="19">
        <f t="shared" si="0"/>
        <v>5.0777527123429496E-6</v>
      </c>
      <c r="R10" s="18">
        <f t="shared" si="5"/>
        <v>2.065285624607649E-2</v>
      </c>
      <c r="S10" s="13">
        <f t="shared" si="12"/>
        <v>2.3802712691561447E-2</v>
      </c>
      <c r="T10" s="13">
        <f t="shared" si="6"/>
        <v>1.8973970509798505E-2</v>
      </c>
      <c r="U10" s="13">
        <f t="shared" si="13"/>
        <v>2.1475672462204158E-2</v>
      </c>
      <c r="V10" s="13">
        <f t="shared" si="7"/>
        <v>2.1516604537810836E-2</v>
      </c>
      <c r="W10" s="13">
        <f t="shared" si="14"/>
        <v>1.509869171115925E-2</v>
      </c>
      <c r="X10" s="19">
        <f t="shared" si="1"/>
        <v>7.7917006040162587E-7</v>
      </c>
    </row>
    <row r="11" spans="1:24" x14ac:dyDescent="0.35">
      <c r="A11">
        <f t="shared" si="8"/>
        <v>8</v>
      </c>
      <c r="B11">
        <v>2.1</v>
      </c>
      <c r="C11">
        <f t="shared" si="15"/>
        <v>0.90389610389610386</v>
      </c>
      <c r="D11">
        <v>29.63</v>
      </c>
      <c r="E11">
        <f t="shared" si="16"/>
        <v>0.92749529190207158</v>
      </c>
      <c r="J11" s="18">
        <f t="shared" si="2"/>
        <v>2.857142857142847E-2</v>
      </c>
      <c r="K11" s="13">
        <f t="shared" si="3"/>
        <v>3.1970614181365903E-2</v>
      </c>
      <c r="L11" s="13">
        <f t="shared" si="9"/>
        <v>2.6640044247744517E-2</v>
      </c>
      <c r="M11" s="13">
        <f t="shared" si="10"/>
        <v>2.2831583269367753E-2</v>
      </c>
      <c r="N11" s="13">
        <f t="shared" si="4"/>
        <v>2.3313048629566745E-2</v>
      </c>
      <c r="O11" s="13">
        <f t="shared" si="11"/>
        <v>9.1578194443670893E-3</v>
      </c>
      <c r="P11" s="19">
        <f t="shared" si="0"/>
        <v>4.1256740787786459E-7</v>
      </c>
      <c r="R11" s="18">
        <f t="shared" si="5"/>
        <v>1.7639673571877013E-2</v>
      </c>
      <c r="S11" s="13">
        <f t="shared" si="12"/>
        <v>1.9642661285774451E-2</v>
      </c>
      <c r="T11" s="13">
        <f t="shared" si="6"/>
        <v>1.5657848783864656E-2</v>
      </c>
      <c r="U11" s="13">
        <f t="shared" si="13"/>
        <v>1.6846471953684591E-2</v>
      </c>
      <c r="V11" s="13">
        <f t="shared" si="7"/>
        <v>1.6878580892993832E-2</v>
      </c>
      <c r="W11" s="13">
        <f t="shared" si="14"/>
        <v>9.1578194443670893E-3</v>
      </c>
      <c r="X11" s="19">
        <f t="shared" si="1"/>
        <v>4.7312434080511917E-8</v>
      </c>
    </row>
    <row r="12" spans="1:24" x14ac:dyDescent="0.35">
      <c r="A12">
        <f t="shared" si="8"/>
        <v>9</v>
      </c>
      <c r="B12">
        <v>2.15</v>
      </c>
      <c r="C12">
        <f t="shared" si="15"/>
        <v>0.92554112554112566</v>
      </c>
      <c r="D12">
        <v>30.03</v>
      </c>
      <c r="E12">
        <f t="shared" si="16"/>
        <v>0.9422473320778405</v>
      </c>
      <c r="J12" s="18">
        <f t="shared" si="2"/>
        <v>2.16450216450218E-2</v>
      </c>
      <c r="K12" s="13">
        <f t="shared" si="3"/>
        <v>2.5000839219333632E-2</v>
      </c>
      <c r="L12" s="13">
        <f t="shared" si="9"/>
        <v>2.0832363721745038E-2</v>
      </c>
      <c r="M12" s="13">
        <f t="shared" si="10"/>
        <v>1.9366890508241197E-2</v>
      </c>
      <c r="N12" s="13">
        <f t="shared" si="4"/>
        <v>1.9775293500029992E-2</v>
      </c>
      <c r="O12" s="13">
        <f t="shared" si="11"/>
        <v>5.5544982691211539E-3</v>
      </c>
      <c r="P12" s="19">
        <f t="shared" si="0"/>
        <v>2.9796535013401328E-8</v>
      </c>
      <c r="R12" s="18">
        <f t="shared" si="5"/>
        <v>1.4752040175768921E-2</v>
      </c>
      <c r="S12" s="13">
        <f t="shared" si="12"/>
        <v>1.6341492036520716E-2</v>
      </c>
      <c r="T12" s="13">
        <f t="shared" si="6"/>
        <v>1.3026371909995574E-2</v>
      </c>
      <c r="U12" s="13">
        <f t="shared" si="13"/>
        <v>1.3380310349213989E-2</v>
      </c>
      <c r="V12" s="13">
        <f t="shared" si="7"/>
        <v>1.3405812874260353E-2</v>
      </c>
      <c r="W12" s="13">
        <f t="shared" si="14"/>
        <v>5.5544982691211539E-3</v>
      </c>
      <c r="X12" s="19">
        <f t="shared" si="1"/>
        <v>2.5536760571101461E-9</v>
      </c>
    </row>
    <row r="13" spans="1:24" x14ac:dyDescent="0.35">
      <c r="A13">
        <f t="shared" si="8"/>
        <v>10</v>
      </c>
      <c r="B13">
        <v>2.19</v>
      </c>
      <c r="C13">
        <f t="shared" si="15"/>
        <v>0.94199134199134182</v>
      </c>
      <c r="D13">
        <v>30.53</v>
      </c>
      <c r="E13">
        <f t="shared" si="16"/>
        <v>0.95398618957940984</v>
      </c>
      <c r="J13" s="18">
        <f t="shared" si="2"/>
        <v>1.645021645021616E-2</v>
      </c>
      <c r="K13" s="13">
        <f t="shared" si="3"/>
        <v>1.9229168850179335E-2</v>
      </c>
      <c r="L13" s="13">
        <f t="shared" si="9"/>
        <v>1.6023023708900238E-2</v>
      </c>
      <c r="M13" s="13">
        <f t="shared" si="10"/>
        <v>1.6593903912743027E-2</v>
      </c>
      <c r="N13" s="13">
        <f t="shared" si="4"/>
        <v>1.6943831021616607E-2</v>
      </c>
      <c r="O13" s="13">
        <f t="shared" si="11"/>
        <v>3.3689734995427331E-3</v>
      </c>
      <c r="P13" s="19">
        <f t="shared" si="0"/>
        <v>1.9367747758710869E-9</v>
      </c>
      <c r="R13" s="18">
        <f t="shared" si="5"/>
        <v>1.1738857501569333E-2</v>
      </c>
      <c r="S13" s="13">
        <f t="shared" si="12"/>
        <v>1.3234713725428534E-2</v>
      </c>
      <c r="T13" s="13">
        <f t="shared" si="6"/>
        <v>1.0549850816832821E-2</v>
      </c>
      <c r="U13" s="13">
        <f t="shared" si="13"/>
        <v>1.0734658075619402E-2</v>
      </c>
      <c r="V13" s="13">
        <f t="shared" si="7"/>
        <v>1.0755118055940689E-2</v>
      </c>
      <c r="W13" s="13">
        <f t="shared" si="14"/>
        <v>3.3689734995427331E-3</v>
      </c>
      <c r="X13" s="19">
        <f t="shared" si="1"/>
        <v>1.2405058793221904E-10</v>
      </c>
    </row>
    <row r="14" spans="1:24" x14ac:dyDescent="0.35">
      <c r="A14">
        <f t="shared" si="8"/>
        <v>11</v>
      </c>
      <c r="B14">
        <v>2.21</v>
      </c>
      <c r="C14">
        <f t="shared" si="15"/>
        <v>0.95584415584415572</v>
      </c>
      <c r="D14">
        <v>30.8</v>
      </c>
      <c r="E14">
        <f t="shared" si="16"/>
        <v>0.96377903327055869</v>
      </c>
      <c r="J14" s="18">
        <f t="shared" si="2"/>
        <v>1.3852813852813894E-2</v>
      </c>
      <c r="K14" s="13">
        <f t="shared" si="3"/>
        <v>1.5600129226957662E-2</v>
      </c>
      <c r="L14" s="13">
        <f t="shared" si="9"/>
        <v>1.2999066283778509E-2</v>
      </c>
      <c r="M14" s="13">
        <f t="shared" si="10"/>
        <v>1.4336441567946943E-2</v>
      </c>
      <c r="N14" s="13">
        <f t="shared" si="4"/>
        <v>1.4638764009717514E-2</v>
      </c>
      <c r="O14" s="13">
        <f t="shared" si="11"/>
        <v>2.0433857192320337E-3</v>
      </c>
      <c r="P14" s="19">
        <f t="shared" si="0"/>
        <v>1.1444578221056421E-10</v>
      </c>
      <c r="R14" s="18">
        <f t="shared" si="5"/>
        <v>9.7928436911488559E-3</v>
      </c>
      <c r="S14" s="13">
        <f t="shared" si="12"/>
        <v>1.091145145228975E-2</v>
      </c>
      <c r="T14" s="13">
        <f t="shared" si="6"/>
        <v>8.6978976202255077E-3</v>
      </c>
      <c r="U14" s="13">
        <f t="shared" si="13"/>
        <v>8.6838911057562796E-3</v>
      </c>
      <c r="V14" s="13">
        <f t="shared" si="7"/>
        <v>8.7004423773370202E-3</v>
      </c>
      <c r="W14" s="13">
        <f t="shared" si="14"/>
        <v>2.0433857192320337E-3</v>
      </c>
      <c r="X14" s="19">
        <f t="shared" si="1"/>
        <v>5.4782161523521061E-12</v>
      </c>
    </row>
    <row r="15" spans="1:24" x14ac:dyDescent="0.35">
      <c r="A15">
        <f t="shared" si="8"/>
        <v>12</v>
      </c>
      <c r="B15">
        <v>2.23</v>
      </c>
      <c r="C15">
        <f t="shared" si="15"/>
        <v>0.96536796536796532</v>
      </c>
      <c r="D15">
        <v>30.98</v>
      </c>
      <c r="E15">
        <f t="shared" si="16"/>
        <v>0.97219083490269931</v>
      </c>
      <c r="J15" s="18">
        <f t="shared" si="2"/>
        <v>9.523809523809601E-3</v>
      </c>
      <c r="K15" s="13">
        <f t="shared" si="3"/>
        <v>1.1498613427332721E-2</v>
      </c>
      <c r="L15" s="13">
        <f t="shared" si="9"/>
        <v>9.5814102523683713E-3</v>
      </c>
      <c r="M15" s="13">
        <f t="shared" si="10"/>
        <v>1.2472704164113836E-2</v>
      </c>
      <c r="N15" s="13">
        <f t="shared" si="4"/>
        <v>1.2735724688454233E-2</v>
      </c>
      <c r="O15" s="13">
        <f t="shared" si="11"/>
        <v>1.2393760883331792E-3</v>
      </c>
      <c r="P15" s="19">
        <f t="shared" si="0"/>
        <v>6.1991465364055616E-12</v>
      </c>
      <c r="R15" s="18">
        <f t="shared" si="5"/>
        <v>8.4118016321406142E-3</v>
      </c>
      <c r="S15" s="13">
        <f t="shared" si="12"/>
        <v>9.224187823689084E-3</v>
      </c>
      <c r="T15" s="13">
        <f t="shared" si="6"/>
        <v>7.3529210729652321E-3</v>
      </c>
      <c r="U15" s="13">
        <f t="shared" si="13"/>
        <v>7.0740312930737681E-3</v>
      </c>
      <c r="V15" s="13">
        <f t="shared" si="7"/>
        <v>7.0875142135383871E-3</v>
      </c>
      <c r="W15" s="13">
        <f t="shared" si="14"/>
        <v>1.2393760883331792E-3</v>
      </c>
      <c r="X15" s="19">
        <f t="shared" si="1"/>
        <v>2.2176394581807165E-13</v>
      </c>
    </row>
    <row r="16" spans="1:24" x14ac:dyDescent="0.35">
      <c r="A16">
        <f t="shared" si="8"/>
        <v>13</v>
      </c>
      <c r="B16">
        <v>2.2599999999999998</v>
      </c>
      <c r="C16">
        <f t="shared" si="15"/>
        <v>0.9722943722943721</v>
      </c>
      <c r="D16">
        <v>31.19</v>
      </c>
      <c r="E16">
        <f t="shared" si="16"/>
        <v>0.97815442561205268</v>
      </c>
      <c r="J16" s="18">
        <f t="shared" si="2"/>
        <v>6.9264069264067807E-3</v>
      </c>
      <c r="K16" s="13">
        <f t="shared" si="3"/>
        <v>8.4123740392077102E-3</v>
      </c>
      <c r="L16" s="13">
        <f t="shared" si="9"/>
        <v>7.0097501212125933E-3</v>
      </c>
      <c r="M16" s="13">
        <f t="shared" si="10"/>
        <v>1.0915843412200343E-2</v>
      </c>
      <c r="N16" s="13">
        <f t="shared" si="4"/>
        <v>1.1146033338948966E-2</v>
      </c>
      <c r="O16" s="13">
        <f t="shared" si="11"/>
        <v>7.5171959648878618E-4</v>
      </c>
      <c r="P16" s="19">
        <f t="shared" si="0"/>
        <v>3.0995732682027813E-13</v>
      </c>
      <c r="R16" s="18">
        <f t="shared" si="5"/>
        <v>5.9635907093533724E-3</v>
      </c>
      <c r="S16" s="13">
        <f t="shared" si="12"/>
        <v>7.0232847715124783E-3</v>
      </c>
      <c r="T16" s="13">
        <f t="shared" si="6"/>
        <v>5.5985046689169165E-3</v>
      </c>
      <c r="U16" s="13">
        <f t="shared" si="13"/>
        <v>5.7969160006992012E-3</v>
      </c>
      <c r="V16" s="13">
        <f t="shared" si="7"/>
        <v>5.8079647724870826E-3</v>
      </c>
      <c r="W16" s="13">
        <f t="shared" si="14"/>
        <v>7.5171959648878618E-4</v>
      </c>
      <c r="X16" s="19">
        <f t="shared" si="1"/>
        <v>8.2866808010434104E-15</v>
      </c>
    </row>
    <row r="17" spans="1:24" x14ac:dyDescent="0.35">
      <c r="A17">
        <f t="shared" si="8"/>
        <v>14</v>
      </c>
      <c r="B17">
        <v>2.2599999999999998</v>
      </c>
      <c r="C17">
        <f t="shared" si="15"/>
        <v>0.9783549783549782</v>
      </c>
      <c r="D17">
        <v>31.37</v>
      </c>
      <c r="E17">
        <f t="shared" si="16"/>
        <v>0.98279974890144384</v>
      </c>
      <c r="J17" s="18">
        <f t="shared" si="2"/>
        <v>6.0606060606060996E-3</v>
      </c>
      <c r="K17" s="13">
        <f t="shared" si="3"/>
        <v>6.8249306536516223E-3</v>
      </c>
      <c r="L17" s="13">
        <f t="shared" si="9"/>
        <v>5.6869866049379493E-3</v>
      </c>
      <c r="M17" s="13">
        <f t="shared" si="10"/>
        <v>9.6023035882655712E-3</v>
      </c>
      <c r="N17" s="13">
        <f t="shared" si="4"/>
        <v>9.8047939938287754E-3</v>
      </c>
      <c r="O17" s="13">
        <f t="shared" si="11"/>
        <v>4.5594098277725801E-4</v>
      </c>
      <c r="P17" s="19">
        <f t="shared" si="0"/>
        <v>1.4390875888084344E-14</v>
      </c>
      <c r="R17" s="18">
        <f t="shared" si="5"/>
        <v>4.6453232893911567E-3</v>
      </c>
      <c r="S17" s="13">
        <f t="shared" si="12"/>
        <v>5.4181607710805865E-3</v>
      </c>
      <c r="T17" s="13">
        <f t="shared" si="6"/>
        <v>4.3190044773458247E-3</v>
      </c>
      <c r="U17" s="13">
        <f t="shared" si="13"/>
        <v>4.7747264792425753E-3</v>
      </c>
      <c r="V17" s="13">
        <f t="shared" si="7"/>
        <v>4.7838269842718608E-3</v>
      </c>
      <c r="W17" s="13">
        <f t="shared" si="14"/>
        <v>4.5594098277725801E-4</v>
      </c>
      <c r="X17" s="19">
        <f t="shared" si="1"/>
        <v>2.8753161056193552E-16</v>
      </c>
    </row>
    <row r="18" spans="1:24" x14ac:dyDescent="0.35">
      <c r="A18">
        <f t="shared" si="8"/>
        <v>15</v>
      </c>
      <c r="B18">
        <v>2.27</v>
      </c>
      <c r="C18">
        <f t="shared" si="15"/>
        <v>0.98268398268398249</v>
      </c>
      <c r="D18">
        <v>31.48</v>
      </c>
      <c r="E18">
        <f t="shared" si="16"/>
        <v>0.98706842435655995</v>
      </c>
      <c r="J18" s="18">
        <f t="shared" si="2"/>
        <v>4.3290043290042934E-3</v>
      </c>
      <c r="K18" s="13">
        <f t="shared" si="3"/>
        <v>5.1401803845146747E-3</v>
      </c>
      <c r="L18" s="13">
        <f t="shared" si="9"/>
        <v>4.2831405148504101E-3</v>
      </c>
      <c r="M18" s="13">
        <f t="shared" si="10"/>
        <v>8.4845354361940285E-3</v>
      </c>
      <c r="N18" s="13">
        <f t="shared" si="4"/>
        <v>8.6634546929846411E-3</v>
      </c>
      <c r="O18" s="13">
        <f t="shared" si="11"/>
        <v>2.7654218507391676E-4</v>
      </c>
      <c r="P18" s="19">
        <f t="shared" si="0"/>
        <v>6.2360462181698823E-16</v>
      </c>
      <c r="R18" s="18">
        <f t="shared" si="5"/>
        <v>4.268675455116111E-3</v>
      </c>
      <c r="S18" s="13">
        <f t="shared" si="12"/>
        <v>4.6422581828045656E-3</v>
      </c>
      <c r="T18" s="13">
        <f t="shared" si="6"/>
        <v>3.7005055264407549E-3</v>
      </c>
      <c r="U18" s="13">
        <f t="shared" si="13"/>
        <v>3.9503401105608488E-3</v>
      </c>
      <c r="V18" s="13">
        <f t="shared" si="7"/>
        <v>3.9578693565186715E-3</v>
      </c>
      <c r="W18" s="13">
        <f t="shared" si="14"/>
        <v>2.7654218507391676E-4</v>
      </c>
      <c r="X18" s="19">
        <f t="shared" si="1"/>
        <v>9.3116653643923731E-18</v>
      </c>
    </row>
    <row r="19" spans="1:24" x14ac:dyDescent="0.35">
      <c r="A19">
        <f t="shared" si="8"/>
        <v>16</v>
      </c>
      <c r="B19">
        <v>2.2799999999999998</v>
      </c>
      <c r="C19">
        <f t="shared" si="15"/>
        <v>0.98614718614718599</v>
      </c>
      <c r="D19">
        <v>31.54</v>
      </c>
      <c r="E19">
        <f t="shared" si="16"/>
        <v>0.99039548022598856</v>
      </c>
      <c r="J19" s="18">
        <f t="shared" si="2"/>
        <v>3.4632034632035014E-3</v>
      </c>
      <c r="K19" s="13">
        <f t="shared" si="3"/>
        <v>4.008220962629633E-3</v>
      </c>
      <c r="L19" s="13">
        <f t="shared" si="9"/>
        <v>3.3399165619228824E-3</v>
      </c>
      <c r="M19" s="13">
        <f t="shared" si="10"/>
        <v>7.5262820222238794E-3</v>
      </c>
      <c r="N19" s="13">
        <f t="shared" si="4"/>
        <v>7.6849939276593176E-3</v>
      </c>
      <c r="O19" s="13">
        <f t="shared" si="11"/>
        <v>1.6773131395125587E-4</v>
      </c>
      <c r="P19" s="19">
        <f t="shared" si="0"/>
        <v>2.5333937761315145E-17</v>
      </c>
      <c r="R19" s="18">
        <f t="shared" si="5"/>
        <v>3.3270558694286079E-3</v>
      </c>
      <c r="S19" s="13">
        <f t="shared" si="12"/>
        <v>3.7544966212757942E-3</v>
      </c>
      <c r="T19" s="13">
        <f t="shared" si="6"/>
        <v>2.9928398957855037E-3</v>
      </c>
      <c r="U19" s="13">
        <f t="shared" si="13"/>
        <v>3.281106021242305E-3</v>
      </c>
      <c r="V19" s="13">
        <f t="shared" si="7"/>
        <v>3.2873597243555084E-3</v>
      </c>
      <c r="W19" s="13">
        <f t="shared" si="14"/>
        <v>1.6773131395125587E-4</v>
      </c>
      <c r="X19" s="19">
        <f t="shared" si="1"/>
        <v>2.8270949829971218E-19</v>
      </c>
    </row>
    <row r="20" spans="1:24" x14ac:dyDescent="0.35">
      <c r="A20">
        <f t="shared" si="8"/>
        <v>17</v>
      </c>
      <c r="B20">
        <v>2.2799999999999998</v>
      </c>
      <c r="C20">
        <f t="shared" si="15"/>
        <v>0.98961038961038961</v>
      </c>
      <c r="D20">
        <v>31.66</v>
      </c>
      <c r="E20">
        <f t="shared" si="16"/>
        <v>0.99322033898305084</v>
      </c>
      <c r="J20" s="18">
        <f t="shared" si="2"/>
        <v>3.4632034632036124E-3</v>
      </c>
      <c r="K20" s="13">
        <f t="shared" si="3"/>
        <v>3.6403341505170691E-3</v>
      </c>
      <c r="L20" s="13">
        <f t="shared" si="9"/>
        <v>3.0333687772214979E-3</v>
      </c>
      <c r="M20" s="13">
        <f t="shared" si="10"/>
        <v>6.6994363167267841E-3</v>
      </c>
      <c r="N20" s="13">
        <f t="shared" si="4"/>
        <v>6.8407119558845228E-3</v>
      </c>
      <c r="O20" s="13">
        <f t="shared" si="11"/>
        <v>1.0173418450532208E-4</v>
      </c>
      <c r="P20" s="19">
        <f t="shared" si="0"/>
        <v>9.6865056146204958E-19</v>
      </c>
      <c r="R20" s="18">
        <f t="shared" si="5"/>
        <v>2.8248587570622874E-3</v>
      </c>
      <c r="S20" s="13">
        <f t="shared" si="12"/>
        <v>3.1269910629316772E-3</v>
      </c>
      <c r="T20" s="13">
        <f t="shared" si="6"/>
        <v>2.4926333809634793E-3</v>
      </c>
      <c r="U20" s="13">
        <f t="shared" si="13"/>
        <v>2.7347107268715378E-3</v>
      </c>
      <c r="V20" s="13">
        <f t="shared" si="7"/>
        <v>2.7399230147024172E-3</v>
      </c>
      <c r="W20" s="13">
        <f t="shared" si="14"/>
        <v>1.0173418450532208E-4</v>
      </c>
      <c r="X20" s="19">
        <f t="shared" si="1"/>
        <v>8.0783841420100666E-21</v>
      </c>
    </row>
    <row r="21" spans="1:24" x14ac:dyDescent="0.35">
      <c r="A21">
        <f t="shared" si="8"/>
        <v>18</v>
      </c>
      <c r="B21">
        <v>2.2999999999999998</v>
      </c>
      <c r="C21">
        <f t="shared" si="15"/>
        <v>0.99307359307359311</v>
      </c>
      <c r="D21">
        <v>31.72</v>
      </c>
      <c r="E21">
        <f t="shared" si="16"/>
        <v>0.99535467671060895</v>
      </c>
      <c r="J21" s="18">
        <f t="shared" si="2"/>
        <v>3.4632034632035014E-3</v>
      </c>
      <c r="K21" s="13">
        <f t="shared" si="3"/>
        <v>3.5207709365804108E-3</v>
      </c>
      <c r="L21" s="13">
        <f t="shared" si="9"/>
        <v>2.9337407471934857E-3</v>
      </c>
      <c r="M21" s="13">
        <f t="shared" si="10"/>
        <v>5.9818914270142057E-3</v>
      </c>
      <c r="N21" s="13">
        <f t="shared" si="4"/>
        <v>6.108035701662155E-3</v>
      </c>
      <c r="O21" s="13">
        <f t="shared" si="11"/>
        <v>6.1704902043339781E-5</v>
      </c>
      <c r="P21" s="19">
        <f t="shared" si="0"/>
        <v>3.4979048052796244E-20</v>
      </c>
      <c r="R21" s="18">
        <f t="shared" si="5"/>
        <v>2.134337727558111E-3</v>
      </c>
      <c r="S21" s="13">
        <f t="shared" si="12"/>
        <v>2.45695006155452E-3</v>
      </c>
      <c r="T21" s="13">
        <f t="shared" si="6"/>
        <v>1.9585203844648415E-3</v>
      </c>
      <c r="U21" s="13">
        <f t="shared" si="13"/>
        <v>2.286362099808125E-3</v>
      </c>
      <c r="V21" s="13">
        <f t="shared" si="7"/>
        <v>2.2907198467656789E-3</v>
      </c>
      <c r="W21" s="13">
        <f t="shared" si="14"/>
        <v>6.1704902043339781E-5</v>
      </c>
      <c r="X21" s="19">
        <f t="shared" si="1"/>
        <v>2.1801431869351614E-22</v>
      </c>
    </row>
    <row r="22" spans="1:24" x14ac:dyDescent="0.35">
      <c r="A22">
        <f t="shared" si="8"/>
        <v>19</v>
      </c>
      <c r="B22">
        <v>2.2999999999999998</v>
      </c>
      <c r="C22">
        <f t="shared" si="15"/>
        <v>0.9956709956709956</v>
      </c>
      <c r="D22">
        <v>31.82</v>
      </c>
      <c r="E22">
        <f t="shared" si="16"/>
        <v>0.99736346516007535</v>
      </c>
      <c r="J22" s="18">
        <f t="shared" si="2"/>
        <v>2.5974025974024872E-3</v>
      </c>
      <c r="K22" s="13">
        <f t="shared" si="3"/>
        <v>2.8974973076353124E-3</v>
      </c>
      <c r="L22" s="13">
        <f t="shared" si="9"/>
        <v>2.4143876637851788E-3</v>
      </c>
      <c r="M22" s="13">
        <f t="shared" si="10"/>
        <v>5.3560360364628438E-3</v>
      </c>
      <c r="N22" s="13">
        <f t="shared" si="4"/>
        <v>5.4689824663757521E-3</v>
      </c>
      <c r="O22" s="13">
        <f t="shared" si="11"/>
        <v>3.7425914943850299E-5</v>
      </c>
      <c r="P22" s="19">
        <f t="shared" si="0"/>
        <v>1.1966516439114506E-21</v>
      </c>
      <c r="R22" s="18">
        <f t="shared" si="5"/>
        <v>2.0087884494663921E-3</v>
      </c>
      <c r="S22" s="13">
        <f t="shared" si="12"/>
        <v>2.1544409733950335E-3</v>
      </c>
      <c r="T22" s="13">
        <f t="shared" si="6"/>
        <v>1.7173798643879423E-3</v>
      </c>
      <c r="U22" s="13">
        <f t="shared" si="13"/>
        <v>1.9168288254266367E-3</v>
      </c>
      <c r="V22" s="13">
        <f t="shared" si="7"/>
        <v>1.920482251532176E-3</v>
      </c>
      <c r="W22" s="13">
        <f t="shared" si="14"/>
        <v>3.7425914943850299E-5</v>
      </c>
      <c r="X22" s="19">
        <f t="shared" si="1"/>
        <v>5.5739675928771838E-24</v>
      </c>
    </row>
    <row r="23" spans="1:24" x14ac:dyDescent="0.35">
      <c r="A23">
        <f t="shared" si="8"/>
        <v>20</v>
      </c>
      <c r="B23">
        <v>2.31</v>
      </c>
      <c r="C23">
        <f t="shared" si="15"/>
        <v>0.9982683982683983</v>
      </c>
      <c r="D23">
        <v>31.82</v>
      </c>
      <c r="E23">
        <f t="shared" si="16"/>
        <v>0.99861895794099176</v>
      </c>
      <c r="J23" s="18">
        <f t="shared" si="2"/>
        <v>2.5974025974027093E-3</v>
      </c>
      <c r="K23" s="13">
        <f t="shared" si="3"/>
        <v>2.6949333782283051E-3</v>
      </c>
      <c r="L23" s="13">
        <f t="shared" si="9"/>
        <v>2.2455979116776039E-3</v>
      </c>
      <c r="M23" s="13">
        <f t="shared" si="10"/>
        <v>4.8076799660630764E-3</v>
      </c>
      <c r="N23" s="13">
        <f t="shared" si="4"/>
        <v>4.9090628329134722E-3</v>
      </c>
      <c r="O23" s="13">
        <f t="shared" si="11"/>
        <v>2.269996488124243E-5</v>
      </c>
      <c r="P23" s="19">
        <f t="shared" si="0"/>
        <v>3.8891178427122139E-23</v>
      </c>
      <c r="R23" s="18">
        <f t="shared" si="5"/>
        <v>1.2554927809164118E-3</v>
      </c>
      <c r="S23" s="13">
        <f t="shared" si="12"/>
        <v>1.5476509434719638E-3</v>
      </c>
      <c r="T23" s="13">
        <f t="shared" si="6"/>
        <v>1.2336864180740796E-3</v>
      </c>
      <c r="U23" s="13">
        <f t="shared" si="13"/>
        <v>1.6110489889895304E-3</v>
      </c>
      <c r="V23" s="13">
        <f t="shared" si="7"/>
        <v>1.6141196066449001E-3</v>
      </c>
      <c r="W23" s="13">
        <f t="shared" si="14"/>
        <v>2.269996488124243E-5</v>
      </c>
      <c r="X23" s="19">
        <f t="shared" si="1"/>
        <v>1.3538403884203513E-25</v>
      </c>
    </row>
    <row r="24" spans="1:24" x14ac:dyDescent="0.35">
      <c r="A24">
        <f t="shared" si="8"/>
        <v>21</v>
      </c>
      <c r="B24">
        <v>2.31</v>
      </c>
      <c r="C24">
        <f t="shared" si="15"/>
        <v>0.99913419913419921</v>
      </c>
      <c r="D24">
        <v>31.86</v>
      </c>
      <c r="E24">
        <f t="shared" si="16"/>
        <v>0.99949780288763346</v>
      </c>
      <c r="J24" s="18">
        <f t="shared" si="2"/>
        <v>8.658008658009031E-4</v>
      </c>
      <c r="K24" s="13">
        <f t="shared" si="3"/>
        <v>1.4602689323398087E-3</v>
      </c>
      <c r="L24" s="13">
        <f t="shared" si="9"/>
        <v>1.2167932949443616E-3</v>
      </c>
      <c r="M24" s="13">
        <f t="shared" si="10"/>
        <v>4.3252729876501559E-3</v>
      </c>
      <c r="N24" s="13">
        <f t="shared" si="4"/>
        <v>4.4164830054745407E-3</v>
      </c>
      <c r="O24" s="13">
        <f t="shared" si="11"/>
        <v>1.3768224674873576E-5</v>
      </c>
      <c r="P24" s="19">
        <f t="shared" si="0"/>
        <v>1.2037745703633044E-24</v>
      </c>
      <c r="R24" s="18">
        <f t="shared" si="5"/>
        <v>8.7884494664169921E-4</v>
      </c>
      <c r="S24" s="13">
        <f t="shared" si="12"/>
        <v>1.0962068956115352E-3</v>
      </c>
      <c r="T24" s="13">
        <f t="shared" si="6"/>
        <v>8.738246593777882E-4</v>
      </c>
      <c r="U24" s="13">
        <f t="shared" si="13"/>
        <v>1.3571256994749303E-3</v>
      </c>
      <c r="V24" s="13">
        <f t="shared" si="7"/>
        <v>1.3597123459157549E-3</v>
      </c>
      <c r="W24" s="13">
        <f t="shared" si="14"/>
        <v>1.3768224674873576E-5</v>
      </c>
      <c r="X24" s="19">
        <f t="shared" si="1"/>
        <v>3.1317075088921421E-27</v>
      </c>
    </row>
    <row r="25" spans="1:24" x14ac:dyDescent="0.35">
      <c r="A25">
        <f t="shared" si="8"/>
        <v>22</v>
      </c>
      <c r="B25">
        <v>2.31</v>
      </c>
      <c r="C25">
        <f t="shared" si="15"/>
        <v>1</v>
      </c>
      <c r="D25">
        <v>31.86</v>
      </c>
      <c r="E25">
        <f t="shared" si="16"/>
        <v>0.99974890144381656</v>
      </c>
      <c r="J25" s="18">
        <f t="shared" si="2"/>
        <v>8.6580086580079207E-4</v>
      </c>
      <c r="K25" s="13">
        <f t="shared" si="3"/>
        <v>1.0590029874259724E-3</v>
      </c>
      <c r="L25" s="13">
        <f t="shared" si="9"/>
        <v>8.8243179450599532E-4</v>
      </c>
      <c r="M25" s="13">
        <f t="shared" si="10"/>
        <v>3.899327626040261E-3</v>
      </c>
      <c r="N25" s="13">
        <f t="shared" si="4"/>
        <v>3.9815554399354183E-3</v>
      </c>
      <c r="O25" s="13">
        <f t="shared" si="11"/>
        <v>8.3508503951228313E-6</v>
      </c>
      <c r="P25" s="19">
        <f t="shared" si="0"/>
        <v>3.5566066851643087E-26</v>
      </c>
      <c r="R25" s="18">
        <f t="shared" si="5"/>
        <v>2.5109855618310473E-4</v>
      </c>
      <c r="S25" s="13">
        <f t="shared" si="12"/>
        <v>5.2575876649734463E-4</v>
      </c>
      <c r="T25" s="13">
        <f t="shared" si="6"/>
        <v>4.1910060672728527E-4</v>
      </c>
      <c r="U25" s="13">
        <f t="shared" si="13"/>
        <v>1.1455911067524249E-3</v>
      </c>
      <c r="V25" s="13">
        <f t="shared" si="7"/>
        <v>1.147774573737147E-3</v>
      </c>
      <c r="W25" s="13">
        <f t="shared" si="14"/>
        <v>8.3508503951228313E-6</v>
      </c>
      <c r="X25" s="19">
        <f t="shared" si="1"/>
        <v>6.9149896609234128E-29</v>
      </c>
    </row>
    <row r="26" spans="1:24" x14ac:dyDescent="0.35">
      <c r="A26">
        <f t="shared" si="8"/>
        <v>23</v>
      </c>
      <c r="B26">
        <v>2.31</v>
      </c>
      <c r="C26">
        <f t="shared" si="15"/>
        <v>1</v>
      </c>
      <c r="D26">
        <v>31.86</v>
      </c>
      <c r="E26">
        <f t="shared" si="16"/>
        <v>1.0000000000000002</v>
      </c>
      <c r="J26" s="18">
        <f t="shared" si="2"/>
        <v>0</v>
      </c>
      <c r="K26" s="13">
        <f t="shared" si="3"/>
        <v>3.4417597091344101E-4</v>
      </c>
      <c r="L26" s="13">
        <f t="shared" si="9"/>
        <v>2.8679033321444848E-4</v>
      </c>
      <c r="M26" s="13">
        <f t="shared" si="10"/>
        <v>3.521986442228656E-3</v>
      </c>
      <c r="N26" s="13">
        <f t="shared" si="4"/>
        <v>3.5962570020500006E-3</v>
      </c>
      <c r="O26" s="13">
        <f t="shared" si="11"/>
        <v>5.0650467993153544E-6</v>
      </c>
      <c r="P26" s="19">
        <f t="shared" si="0"/>
        <v>1.0051279762420874E-27</v>
      </c>
      <c r="R26" s="18">
        <f t="shared" si="5"/>
        <v>2.5109855618365984E-4</v>
      </c>
      <c r="S26" s="13">
        <f t="shared" si="12"/>
        <v>3.4036312453560741E-4</v>
      </c>
      <c r="T26" s="13">
        <f t="shared" si="6"/>
        <v>2.7131528961617051E-4</v>
      </c>
      <c r="U26" s="13">
        <f t="shared" si="13"/>
        <v>9.6885981205447258E-4</v>
      </c>
      <c r="V26" s="13">
        <f t="shared" si="7"/>
        <v>9.7070643376790582E-4</v>
      </c>
      <c r="W26" s="13">
        <f t="shared" si="14"/>
        <v>5.0650467993153544E-6</v>
      </c>
      <c r="X26" s="19">
        <f t="shared" si="1"/>
        <v>1.4604837238192835E-30</v>
      </c>
    </row>
    <row r="27" spans="1:24" x14ac:dyDescent="0.35">
      <c r="A27">
        <f t="shared" si="8"/>
        <v>24</v>
      </c>
      <c r="B27">
        <v>2.31</v>
      </c>
      <c r="C27">
        <f t="shared" si="15"/>
        <v>1</v>
      </c>
      <c r="D27">
        <v>31.86</v>
      </c>
      <c r="E27">
        <f t="shared" si="16"/>
        <v>1.0000000000000002</v>
      </c>
      <c r="J27" s="18">
        <f t="shared" si="2"/>
        <v>0</v>
      </c>
      <c r="K27" s="13">
        <f t="shared" si="3"/>
        <v>1.1185719054686832E-4</v>
      </c>
      <c r="L27" s="13">
        <f t="shared" si="9"/>
        <v>9.3206858294695748E-5</v>
      </c>
      <c r="M27" s="13">
        <f t="shared" si="10"/>
        <v>3.1866933329284882E-3</v>
      </c>
      <c r="N27" s="13">
        <f t="shared" si="4"/>
        <v>3.2538933354548409E-3</v>
      </c>
      <c r="O27" s="13">
        <f t="shared" si="11"/>
        <v>3.0721061766641045E-6</v>
      </c>
      <c r="P27" s="19">
        <f t="shared" si="0"/>
        <v>2.7222216023223198E-29</v>
      </c>
      <c r="R27" s="18">
        <f t="shared" si="5"/>
        <v>0</v>
      </c>
      <c r="S27" s="13">
        <f t="shared" si="12"/>
        <v>1.1061801547407239E-4</v>
      </c>
      <c r="T27" s="13">
        <f t="shared" si="6"/>
        <v>8.8177469125255399E-5</v>
      </c>
      <c r="U27" s="13">
        <f t="shared" si="13"/>
        <v>8.2081803277254907E-4</v>
      </c>
      <c r="V27" s="13">
        <f t="shared" si="7"/>
        <v>8.2238249068816976E-4</v>
      </c>
      <c r="W27" s="13">
        <f t="shared" si="14"/>
        <v>3.0721061766641045E-6</v>
      </c>
      <c r="X27" s="19">
        <f t="shared" si="1"/>
        <v>2.9560957836445908E-32</v>
      </c>
    </row>
    <row r="28" spans="1:24" x14ac:dyDescent="0.35">
      <c r="A28">
        <f t="shared" si="8"/>
        <v>25</v>
      </c>
      <c r="B28">
        <v>2.31</v>
      </c>
      <c r="C28">
        <f t="shared" si="15"/>
        <v>1</v>
      </c>
      <c r="D28">
        <v>31.86</v>
      </c>
      <c r="E28">
        <f t="shared" si="16"/>
        <v>1.0000000000000002</v>
      </c>
      <c r="J28" s="18">
        <f t="shared" si="2"/>
        <v>0</v>
      </c>
      <c r="K28" s="13">
        <f t="shared" si="3"/>
        <v>3.6353586927732201E-5</v>
      </c>
      <c r="L28" s="13">
        <f t="shared" si="9"/>
        <v>3.0292228945776116E-5</v>
      </c>
      <c r="M28" s="13">
        <f t="shared" si="10"/>
        <v>2.8879408329664422E-3</v>
      </c>
      <c r="N28" s="13">
        <f t="shared" si="4"/>
        <v>2.9488408352559494E-3</v>
      </c>
      <c r="O28" s="13">
        <f t="shared" si="11"/>
        <v>1.8633265860393359E-6</v>
      </c>
      <c r="P28" s="19">
        <f t="shared" si="0"/>
        <v>7.0777761660380331E-31</v>
      </c>
      <c r="R28" s="18">
        <f t="shared" si="5"/>
        <v>0</v>
      </c>
      <c r="S28" s="13">
        <f t="shared" si="12"/>
        <v>3.5950855029073524E-5</v>
      </c>
      <c r="T28" s="13">
        <f t="shared" si="6"/>
        <v>2.8657677465708E-5</v>
      </c>
      <c r="U28" s="13">
        <f t="shared" si="13"/>
        <v>6.9651145569401413E-4</v>
      </c>
      <c r="V28" s="13">
        <f t="shared" si="7"/>
        <v>6.9783898849260569E-4</v>
      </c>
      <c r="W28" s="13">
        <f t="shared" si="14"/>
        <v>1.8633265860393359E-6</v>
      </c>
      <c r="X28" s="19">
        <f t="shared" si="1"/>
        <v>5.7439614382420224E-34</v>
      </c>
    </row>
    <row r="29" spans="1:24" x14ac:dyDescent="0.35">
      <c r="A29">
        <f t="shared" si="8"/>
        <v>26</v>
      </c>
      <c r="B29">
        <v>2.31</v>
      </c>
      <c r="C29">
        <f t="shared" si="15"/>
        <v>1</v>
      </c>
      <c r="D29">
        <v>31.86</v>
      </c>
      <c r="E29">
        <f t="shared" si="16"/>
        <v>1.0000000000000002</v>
      </c>
      <c r="J29" s="18">
        <f t="shared" si="2"/>
        <v>0</v>
      </c>
      <c r="K29" s="13">
        <f t="shared" si="3"/>
        <v>1.1814915751512964E-5</v>
      </c>
      <c r="L29" s="13">
        <f t="shared" si="9"/>
        <v>9.8449744073772369E-6</v>
      </c>
      <c r="M29" s="13">
        <f t="shared" si="10"/>
        <v>2.6210737078460247E-3</v>
      </c>
      <c r="N29" s="13">
        <f t="shared" si="4"/>
        <v>2.6763460988128533E-3</v>
      </c>
      <c r="O29" s="13">
        <f t="shared" si="11"/>
        <v>1.1301647034905273E-6</v>
      </c>
      <c r="P29" s="19">
        <f t="shared" si="0"/>
        <v>1.7694440415095077E-32</v>
      </c>
      <c r="R29" s="18">
        <f t="shared" si="5"/>
        <v>0</v>
      </c>
      <c r="S29" s="13">
        <f t="shared" si="12"/>
        <v>1.1684027884448894E-5</v>
      </c>
      <c r="T29" s="13">
        <f t="shared" si="6"/>
        <v>9.3137451763550989E-6</v>
      </c>
      <c r="U29" s="13">
        <f t="shared" si="13"/>
        <v>5.9190575373700564E-4</v>
      </c>
      <c r="V29" s="13">
        <f t="shared" si="7"/>
        <v>5.9303391077640132E-4</v>
      </c>
      <c r="W29" s="13">
        <f t="shared" si="14"/>
        <v>1.1301647034905273E-6</v>
      </c>
      <c r="X29" s="19">
        <f t="shared" si="1"/>
        <v>1.0731765886611276E-35</v>
      </c>
    </row>
    <row r="30" spans="1:24" x14ac:dyDescent="0.35">
      <c r="A30">
        <f t="shared" si="8"/>
        <v>27</v>
      </c>
      <c r="B30">
        <v>2.31</v>
      </c>
      <c r="C30">
        <f t="shared" si="15"/>
        <v>1</v>
      </c>
      <c r="D30">
        <v>31.86</v>
      </c>
      <c r="E30">
        <f t="shared" si="16"/>
        <v>1.0000000000000002</v>
      </c>
      <c r="J30" s="18">
        <f t="shared" si="2"/>
        <v>0</v>
      </c>
      <c r="K30" s="13">
        <f t="shared" si="3"/>
        <v>3.8398476192417128E-6</v>
      </c>
      <c r="L30" s="13">
        <f t="shared" si="9"/>
        <v>3.1996166823976015E-6</v>
      </c>
      <c r="M30" s="13">
        <f t="shared" si="10"/>
        <v>2.3821347564432749E-3</v>
      </c>
      <c r="N30" s="13">
        <f t="shared" si="4"/>
        <v>2.432368476769288E-3</v>
      </c>
      <c r="O30" s="13">
        <f t="shared" si="11"/>
        <v>6.8547954319204212E-7</v>
      </c>
      <c r="P30" s="19">
        <f t="shared" si="0"/>
        <v>4.2597726925228908E-34</v>
      </c>
      <c r="R30" s="18">
        <f t="shared" si="5"/>
        <v>0</v>
      </c>
      <c r="S30" s="13">
        <f t="shared" si="12"/>
        <v>3.7973090624458901E-6</v>
      </c>
      <c r="T30" s="13">
        <f t="shared" si="6"/>
        <v>3.0269671823154069E-6</v>
      </c>
      <c r="U30" s="13">
        <f t="shared" si="13"/>
        <v>5.0370122668458935E-4</v>
      </c>
      <c r="V30" s="13">
        <f t="shared" si="7"/>
        <v>5.0466126817945369E-4</v>
      </c>
      <c r="W30" s="13">
        <f t="shared" si="14"/>
        <v>6.8547954319204212E-7</v>
      </c>
      <c r="X30" s="19">
        <f t="shared" si="1"/>
        <v>1.9308140398860478E-37</v>
      </c>
    </row>
    <row r="31" spans="1:24" x14ac:dyDescent="0.35">
      <c r="A31">
        <f t="shared" si="8"/>
        <v>28</v>
      </c>
      <c r="B31">
        <v>2.31</v>
      </c>
      <c r="C31">
        <f t="shared" si="15"/>
        <v>1</v>
      </c>
      <c r="D31">
        <v>31.86</v>
      </c>
      <c r="E31">
        <f t="shared" si="16"/>
        <v>1.0000000000000002</v>
      </c>
      <c r="J31" s="18">
        <f t="shared" si="2"/>
        <v>0</v>
      </c>
      <c r="K31" s="13">
        <f t="shared" si="3"/>
        <v>1.2479504762535564E-6</v>
      </c>
      <c r="L31" s="13">
        <f t="shared" si="9"/>
        <v>1.0398754217792202E-6</v>
      </c>
      <c r="M31" s="13">
        <f t="shared" si="10"/>
        <v>2.1677426283633803E-3</v>
      </c>
      <c r="N31" s="13">
        <f t="shared" si="4"/>
        <v>2.2134553138600521E-3</v>
      </c>
      <c r="O31" s="13">
        <f t="shared" si="11"/>
        <v>4.1576435955178383E-7</v>
      </c>
      <c r="P31" s="19">
        <f t="shared" si="0"/>
        <v>9.8887580362138541E-36</v>
      </c>
      <c r="R31" s="18">
        <f t="shared" si="5"/>
        <v>0</v>
      </c>
      <c r="S31" s="13">
        <f t="shared" si="12"/>
        <v>1.234125445294914E-6</v>
      </c>
      <c r="T31" s="13">
        <f t="shared" si="6"/>
        <v>9.837643342525071E-7</v>
      </c>
      <c r="U31" s="13">
        <f t="shared" si="13"/>
        <v>4.2918818315090346E-4</v>
      </c>
      <c r="V31" s="13">
        <f t="shared" si="7"/>
        <v>4.3000620471428613E-4</v>
      </c>
      <c r="W31" s="13">
        <f t="shared" si="14"/>
        <v>4.1576435955178383E-7</v>
      </c>
      <c r="X31" s="19">
        <f t="shared" si="1"/>
        <v>3.3497734733195514E-39</v>
      </c>
    </row>
    <row r="32" spans="1:24" x14ac:dyDescent="0.35">
      <c r="A32">
        <f t="shared" si="8"/>
        <v>29</v>
      </c>
      <c r="B32">
        <v>2.31</v>
      </c>
      <c r="C32">
        <f t="shared" si="15"/>
        <v>1</v>
      </c>
      <c r="D32">
        <v>31.86</v>
      </c>
      <c r="E32">
        <f t="shared" si="16"/>
        <v>1</v>
      </c>
      <c r="J32" s="18">
        <f t="shared" si="2"/>
        <v>0</v>
      </c>
      <c r="K32" s="13">
        <f t="shared" si="3"/>
        <v>4.055839047824058E-7</v>
      </c>
      <c r="L32" s="13">
        <f t="shared" si="9"/>
        <v>3.3795951207824654E-7</v>
      </c>
      <c r="M32" s="13">
        <f t="shared" si="10"/>
        <v>1.97499417965807E-3</v>
      </c>
      <c r="N32" s="13">
        <f t="shared" si="4"/>
        <v>2.016642245535996E-3</v>
      </c>
      <c r="O32" s="13">
        <f t="shared" si="11"/>
        <v>2.5217383128394401E-7</v>
      </c>
      <c r="P32" s="19">
        <f t="shared" si="0"/>
        <v>2.2164457667375883E-37</v>
      </c>
      <c r="R32" s="18">
        <f t="shared" si="5"/>
        <v>0</v>
      </c>
      <c r="S32" s="13">
        <f t="shared" si="12"/>
        <v>4.0109076972084699E-7</v>
      </c>
      <c r="T32" s="13">
        <f t="shared" si="6"/>
        <v>3.1972340863206475E-7</v>
      </c>
      <c r="U32" s="13">
        <f t="shared" si="13"/>
        <v>3.6613328590964984E-4</v>
      </c>
      <c r="V32" s="13">
        <f t="shared" si="7"/>
        <v>3.6683112647167886E-4</v>
      </c>
      <c r="W32" s="13">
        <f t="shared" si="14"/>
        <v>2.5217383128394401E-7</v>
      </c>
      <c r="X32" s="19">
        <f t="shared" si="1"/>
        <v>5.6111317163816708E-41</v>
      </c>
    </row>
    <row r="33" spans="1:24" ht="15" thickBot="1" x14ac:dyDescent="0.4">
      <c r="A33">
        <f t="shared" si="8"/>
        <v>30</v>
      </c>
      <c r="B33">
        <v>2.31</v>
      </c>
      <c r="C33">
        <f t="shared" si="15"/>
        <v>1</v>
      </c>
      <c r="D33">
        <v>31.86</v>
      </c>
      <c r="E33">
        <f t="shared" si="16"/>
        <v>1</v>
      </c>
      <c r="J33" s="20">
        <f t="shared" si="2"/>
        <v>0</v>
      </c>
      <c r="K33" s="21">
        <f t="shared" si="3"/>
        <v>1.3181476905428187E-7</v>
      </c>
      <c r="L33" s="21">
        <f t="shared" si="9"/>
        <v>1.0983684142543012E-7</v>
      </c>
      <c r="M33" s="21">
        <f t="shared" si="10"/>
        <v>1.8013858203171592E-3</v>
      </c>
      <c r="N33" s="21">
        <f t="shared" si="4"/>
        <v>1.8393728868558161E-3</v>
      </c>
      <c r="O33" s="21">
        <f t="shared" si="11"/>
        <v>1.5295116025091289E-7</v>
      </c>
      <c r="P33" s="22">
        <f t="shared" si="0"/>
        <v>4.8022991612647719E-39</v>
      </c>
      <c r="R33" s="20">
        <f t="shared" si="5"/>
        <v>0</v>
      </c>
      <c r="S33" s="21">
        <f t="shared" si="12"/>
        <v>1.3035450015927525E-7</v>
      </c>
      <c r="T33" s="21">
        <f t="shared" si="6"/>
        <v>1.0391010780542102E-7</v>
      </c>
      <c r="U33" s="21">
        <f t="shared" si="13"/>
        <v>3.1268963691799946E-4</v>
      </c>
      <c r="V33" s="21">
        <f t="shared" si="7"/>
        <v>3.1328561526895813E-4</v>
      </c>
      <c r="W33" s="21">
        <f t="shared" si="14"/>
        <v>1.5295116025091289E-7</v>
      </c>
      <c r="X33" s="22">
        <f t="shared" si="1"/>
        <v>9.0857803001837366E-43</v>
      </c>
    </row>
    <row r="34" spans="1:24" x14ac:dyDescent="0.35">
      <c r="K34">
        <f>SUM(K3:K33)</f>
        <v>1.2000961366298293</v>
      </c>
      <c r="M34">
        <f>SUM(M3:M33)</f>
        <v>0.97934781641606605</v>
      </c>
      <c r="S34">
        <f>SUM(S3:S33)</f>
        <v>1.2544929739017614</v>
      </c>
      <c r="U34">
        <f>SUM(U3:U33)</f>
        <v>0.99809765172126719</v>
      </c>
    </row>
    <row r="36" spans="1:24" x14ac:dyDescent="0.35">
      <c r="K36" s="9" t="s">
        <v>39</v>
      </c>
      <c r="L36">
        <f>SUMPRODUCT(L3:L33,$A3:$A33)</f>
        <v>2.9004779659841788</v>
      </c>
      <c r="M36" s="9">
        <f>SUMPRODUCT(N3:N33,$A3:$A33)</f>
        <v>3.925699330761748</v>
      </c>
      <c r="N36" s="9">
        <f>SUMPRODUCT(N3:N33,$A3:$A33)</f>
        <v>3.925699330761748</v>
      </c>
      <c r="S36" s="9" t="s">
        <v>39</v>
      </c>
      <c r="T36">
        <f>SUMPRODUCT(T3:T33,$A3:$A33)</f>
        <v>2.1886060607492457</v>
      </c>
      <c r="U36" s="9">
        <f>SUMPRODUCT(U3:U33,$A3:$A33)</f>
        <v>2.4365844618251162</v>
      </c>
      <c r="V36" s="9">
        <f>SUMPRODUCT(V3:V33,$A3:$A33)</f>
        <v>2.44122852871471</v>
      </c>
    </row>
    <row r="37" spans="1:24" x14ac:dyDescent="0.35">
      <c r="K37" t="s">
        <v>42</v>
      </c>
      <c r="M37">
        <f>H8</f>
        <v>0.9425</v>
      </c>
      <c r="S37" t="s">
        <v>42</v>
      </c>
      <c r="U37">
        <f>H10</f>
        <v>0.88249999999999995</v>
      </c>
    </row>
  </sheetData>
  <mergeCells count="2">
    <mergeCell ref="J1:P1"/>
    <mergeCell ref="R1:X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A7B3-3A18-4806-8017-0F99CBD4A9CA}">
  <dimension ref="A1:D9"/>
  <sheetViews>
    <sheetView workbookViewId="0">
      <selection activeCell="D8" sqref="D8"/>
    </sheetView>
  </sheetViews>
  <sheetFormatPr defaultRowHeight="14.5" x14ac:dyDescent="0.35"/>
  <cols>
    <col min="1" max="1" width="21.90625" customWidth="1"/>
  </cols>
  <sheetData>
    <row r="1" spans="1:4" x14ac:dyDescent="0.35">
      <c r="A1" s="2"/>
      <c r="B1" s="2" t="s">
        <v>12</v>
      </c>
      <c r="C1" s="2" t="s">
        <v>13</v>
      </c>
      <c r="D1" s="2" t="s">
        <v>11</v>
      </c>
    </row>
    <row r="2" spans="1:4" x14ac:dyDescent="0.35">
      <c r="A2" s="1" t="s">
        <v>1</v>
      </c>
      <c r="B2" s="3" t="e">
        <f>young!#REF!</f>
        <v>#REF!</v>
      </c>
      <c r="C2" s="3" t="e">
        <f>old!#REF!</f>
        <v>#REF!</v>
      </c>
      <c r="D2" s="3" t="e">
        <f t="shared" ref="D2:D8" si="0">(B2*$B$9+C2*$C$9)/($B$9+C$9)</f>
        <v>#REF!</v>
      </c>
    </row>
    <row r="3" spans="1:4" x14ac:dyDescent="0.35">
      <c r="A3" s="1" t="s">
        <v>2</v>
      </c>
      <c r="B3" s="4" t="e">
        <f>young!#REF!</f>
        <v>#REF!</v>
      </c>
      <c r="C3" s="4">
        <f>old!J3</f>
        <v>0.95</v>
      </c>
      <c r="D3" s="4" t="e">
        <f t="shared" si="0"/>
        <v>#REF!</v>
      </c>
    </row>
    <row r="4" spans="1:4" x14ac:dyDescent="0.35">
      <c r="A4" s="1" t="s">
        <v>4</v>
      </c>
      <c r="B4" s="4" t="e">
        <f>young!#REF!</f>
        <v>#REF!</v>
      </c>
      <c r="C4" s="4">
        <f>old!J4</f>
        <v>1.1499999999999999</v>
      </c>
      <c r="D4" s="4" t="e">
        <f t="shared" si="0"/>
        <v>#REF!</v>
      </c>
    </row>
    <row r="5" spans="1:4" x14ac:dyDescent="0.35">
      <c r="A5" s="1" t="s">
        <v>3</v>
      </c>
      <c r="B5" s="3" t="e">
        <f>young!#REF!</f>
        <v>#REF!</v>
      </c>
      <c r="C5" s="3">
        <f>old!J5</f>
        <v>17</v>
      </c>
      <c r="D5" s="3" t="e">
        <f t="shared" si="0"/>
        <v>#REF!</v>
      </c>
    </row>
    <row r="6" spans="1:4" x14ac:dyDescent="0.35">
      <c r="A6" s="1" t="s">
        <v>5</v>
      </c>
      <c r="B6" s="3" t="e">
        <f>young!#REF!</f>
        <v>#REF!</v>
      </c>
      <c r="C6" s="3">
        <f>old!J6</f>
        <v>0.9</v>
      </c>
      <c r="D6" s="3" t="e">
        <f t="shared" si="0"/>
        <v>#REF!</v>
      </c>
    </row>
    <row r="7" spans="1:4" x14ac:dyDescent="0.35">
      <c r="A7" s="1" t="s">
        <v>16</v>
      </c>
      <c r="B7" s="4" t="e">
        <f>#REF!/100</f>
        <v>#REF!</v>
      </c>
      <c r="C7" s="4" t="e">
        <f>#REF!/100</f>
        <v>#REF!</v>
      </c>
      <c r="D7" s="4" t="e">
        <f t="shared" si="0"/>
        <v>#REF!</v>
      </c>
    </row>
    <row r="8" spans="1:4" x14ac:dyDescent="0.35">
      <c r="A8" s="1" t="s">
        <v>17</v>
      </c>
      <c r="B8" t="e">
        <f>#REF!</f>
        <v>#REF!</v>
      </c>
      <c r="C8" t="e">
        <f>#REF!</f>
        <v>#REF!</v>
      </c>
      <c r="D8" s="3" t="e">
        <f t="shared" si="0"/>
        <v>#REF!</v>
      </c>
    </row>
    <row r="9" spans="1:4" x14ac:dyDescent="0.35">
      <c r="A9" s="1" t="s">
        <v>10</v>
      </c>
      <c r="B9">
        <f>1-C9</f>
        <v>0.89900000000000002</v>
      </c>
      <c r="C9">
        <v>0.10100000000000001</v>
      </c>
      <c r="D9">
        <f>B9+C9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8B102-7DD5-444F-9204-BAAA9F174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young</vt:lpstr>
      <vt:lpstr>old</vt:lpstr>
      <vt:lpstr>admission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Mucka</dc:creator>
  <cp:lastModifiedBy>Zuzana Múčka</cp:lastModifiedBy>
  <dcterms:created xsi:type="dcterms:W3CDTF">2020-12-12T07:40:07Z</dcterms:created>
  <dcterms:modified xsi:type="dcterms:W3CDTF">2021-01-28T13:28:02Z</dcterms:modified>
</cp:coreProperties>
</file>