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a.mucka\Documents\GitHub\corona\SEIR_2_wave\data\calibration\"/>
    </mc:Choice>
  </mc:AlternateContent>
  <xr:revisionPtr revIDLastSave="0" documentId="13_ncr:1_{6768E83D-874E-44F3-A1E2-6E7AD0A81214}" xr6:coauthVersionLast="45" xr6:coauthVersionMax="45" xr10:uidLastSave="{00000000-0000-0000-0000-000000000000}"/>
  <bookViews>
    <workbookView xWindow="-108" yWindow="-108" windowWidth="23256" windowHeight="12576" xr2:uid="{9DE2AF73-A7CF-4380-A829-23151371B406}"/>
  </bookViews>
  <sheets>
    <sheet name="young" sheetId="2" r:id="rId1"/>
    <sheet name="old" sheetId="1" r:id="rId2"/>
    <sheet name="admission" sheetId="4" r:id="rId3"/>
    <sheet name="summary" sheetId="3" r:id="rId4"/>
  </sheets>
  <externalReferences>
    <externalReference r:id="rId5"/>
  </externalReferences>
  <definedNames>
    <definedName name="ExternalData_1" localSheetId="2" hidden="1">admission!$A$1:$G$33</definedName>
    <definedName name="ExternalData_1" localSheetId="1" hidden="1">old!$A$1:$D$57</definedName>
    <definedName name="ExternalData_1" localSheetId="0" hidden="1">young!$A$1:$D$41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" i="2" l="1"/>
  <c r="U41" i="2" l="1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R44" i="2"/>
  <c r="T4" i="2"/>
  <c r="T39" i="2"/>
  <c r="T41" i="2"/>
  <c r="T40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O14" i="2"/>
  <c r="P14" i="2" s="1"/>
  <c r="O41" i="2"/>
  <c r="P41" i="2" s="1"/>
  <c r="O40" i="2"/>
  <c r="P40" i="2" s="1"/>
  <c r="O39" i="2"/>
  <c r="P39" i="2" s="1"/>
  <c r="O38" i="2"/>
  <c r="P38" i="2" s="1"/>
  <c r="O37" i="2"/>
  <c r="P37" i="2" s="1"/>
  <c r="O34" i="2"/>
  <c r="O33" i="2"/>
  <c r="P33" i="2" s="1"/>
  <c r="O32" i="2"/>
  <c r="P32" i="2" s="1"/>
  <c r="O31" i="2"/>
  <c r="O30" i="2"/>
  <c r="P30" i="2" s="1"/>
  <c r="O29" i="2"/>
  <c r="P29" i="2" s="1"/>
  <c r="O28" i="2"/>
  <c r="P28" i="2" s="1"/>
  <c r="P27" i="2"/>
  <c r="O26" i="2"/>
  <c r="P26" i="2" s="1"/>
  <c r="O25" i="2"/>
  <c r="P25" i="2" s="1"/>
  <c r="O23" i="2"/>
  <c r="P23" i="2" s="1"/>
  <c r="P21" i="2"/>
  <c r="O20" i="2"/>
  <c r="P20" i="2" s="1"/>
  <c r="O19" i="2"/>
  <c r="O17" i="2"/>
  <c r="P17" i="2" s="1"/>
  <c r="O16" i="2"/>
  <c r="P16" i="2" s="1"/>
  <c r="O15" i="2"/>
  <c r="P15" i="2" s="1"/>
  <c r="O13" i="2"/>
  <c r="P13" i="2" s="1"/>
  <c r="O9" i="2"/>
  <c r="O8" i="2"/>
  <c r="P8" i="2" s="1"/>
  <c r="P5" i="2"/>
  <c r="O4" i="2"/>
  <c r="P4" i="2" s="1"/>
  <c r="Z41" i="2"/>
  <c r="Z40" i="2"/>
  <c r="Z39" i="2"/>
  <c r="Z38" i="2"/>
  <c r="Z37" i="2"/>
  <c r="Z36" i="2"/>
  <c r="Z35" i="2"/>
  <c r="Z34" i="2"/>
  <c r="Z33" i="2"/>
  <c r="Z32" i="2"/>
  <c r="Z31" i="2"/>
  <c r="Z30" i="2"/>
  <c r="Z29" i="2"/>
  <c r="Z28" i="2"/>
  <c r="Z27" i="2"/>
  <c r="Z26" i="2"/>
  <c r="Z25" i="2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W4" i="1"/>
  <c r="V8" i="2"/>
  <c r="V5" i="2"/>
  <c r="P35" i="2"/>
  <c r="P9" i="2"/>
  <c r="P3" i="2"/>
  <c r="Q4" i="2" s="1"/>
  <c r="V40" i="2"/>
  <c r="V39" i="2"/>
  <c r="V33" i="2"/>
  <c r="V31" i="2"/>
  <c r="V30" i="2"/>
  <c r="V23" i="2"/>
  <c r="V22" i="2"/>
  <c r="V16" i="2"/>
  <c r="V15" i="2"/>
  <c r="V14" i="2"/>
  <c r="V13" i="2"/>
  <c r="V12" i="2"/>
  <c r="V11" i="2"/>
  <c r="V10" i="2"/>
  <c r="V9" i="2"/>
  <c r="V7" i="2"/>
  <c r="V6" i="2"/>
  <c r="V4" i="2"/>
  <c r="V3" i="2"/>
  <c r="X4" i="2" s="1"/>
  <c r="X5" i="2" s="1"/>
  <c r="X6" i="2" s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S56" i="1"/>
  <c r="S55" i="1"/>
  <c r="S54" i="1"/>
  <c r="S53" i="1"/>
  <c r="S52" i="1"/>
  <c r="S51" i="1"/>
  <c r="S50" i="1"/>
  <c r="S49" i="1"/>
  <c r="S48" i="1"/>
  <c r="S47" i="1"/>
  <c r="S46" i="1"/>
  <c r="S45" i="1"/>
  <c r="S43" i="1"/>
  <c r="S42" i="1"/>
  <c r="S34" i="1"/>
  <c r="S32" i="1"/>
  <c r="S31" i="1"/>
  <c r="S29" i="1"/>
  <c r="S26" i="1"/>
  <c r="S25" i="1"/>
  <c r="S24" i="1"/>
  <c r="S23" i="1"/>
  <c r="S22" i="1"/>
  <c r="S21" i="1"/>
  <c r="S20" i="1"/>
  <c r="S19" i="1"/>
  <c r="S16" i="1"/>
  <c r="S15" i="1"/>
  <c r="S14" i="1"/>
  <c r="S13" i="1"/>
  <c r="S12" i="1"/>
  <c r="S11" i="1"/>
  <c r="S10" i="1"/>
  <c r="S9" i="1"/>
  <c r="S5" i="1"/>
  <c r="S3" i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P4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6" i="1"/>
  <c r="N35" i="1"/>
  <c r="N33" i="1"/>
  <c r="N10" i="1"/>
  <c r="N9" i="1"/>
  <c r="N5" i="1"/>
  <c r="N58" i="1"/>
  <c r="Y33" i="4"/>
  <c r="Y32" i="4"/>
  <c r="Y31" i="4"/>
  <c r="Y30" i="4"/>
  <c r="Y29" i="4"/>
  <c r="Y28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36" i="4" s="1"/>
  <c r="Y4" i="4"/>
  <c r="X36" i="4"/>
  <c r="X6" i="4"/>
  <c r="X7" i="4" s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5" i="4"/>
  <c r="T6" i="4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5" i="4"/>
  <c r="M4" i="4"/>
  <c r="T4" i="4"/>
  <c r="P10" i="2"/>
  <c r="P34" i="2"/>
  <c r="P31" i="2"/>
  <c r="P24" i="2"/>
  <c r="P22" i="2"/>
  <c r="P19" i="2"/>
  <c r="P18" i="2"/>
  <c r="P12" i="2"/>
  <c r="P11" i="2"/>
  <c r="P7" i="2"/>
  <c r="P6" i="2"/>
  <c r="E5" i="2"/>
  <c r="V33" i="4"/>
  <c r="W33" i="4" s="1"/>
  <c r="V32" i="4"/>
  <c r="W32" i="4" s="1"/>
  <c r="W31" i="4"/>
  <c r="V31" i="4"/>
  <c r="V30" i="4"/>
  <c r="W30" i="4" s="1"/>
  <c r="V29" i="4"/>
  <c r="W29" i="4" s="1"/>
  <c r="V28" i="4"/>
  <c r="W28" i="4" s="1"/>
  <c r="V27" i="4"/>
  <c r="W27" i="4" s="1"/>
  <c r="W26" i="4"/>
  <c r="V26" i="4"/>
  <c r="V25" i="4"/>
  <c r="W25" i="4" s="1"/>
  <c r="W24" i="4"/>
  <c r="W23" i="4"/>
  <c r="V22" i="4"/>
  <c r="W22" i="4" s="1"/>
  <c r="V21" i="4"/>
  <c r="W21" i="4" s="1"/>
  <c r="V20" i="4"/>
  <c r="W20" i="4" s="1"/>
  <c r="V19" i="4"/>
  <c r="W19" i="4" s="1"/>
  <c r="V18" i="4"/>
  <c r="W18" i="4" s="1"/>
  <c r="V17" i="4"/>
  <c r="W17" i="4" s="1"/>
  <c r="V16" i="4"/>
  <c r="W16" i="4" s="1"/>
  <c r="V15" i="4"/>
  <c r="W15" i="4" s="1"/>
  <c r="V14" i="4"/>
  <c r="W14" i="4" s="1"/>
  <c r="W13" i="4"/>
  <c r="V13" i="4"/>
  <c r="V12" i="4"/>
  <c r="W12" i="4" s="1"/>
  <c r="V11" i="4"/>
  <c r="W11" i="4" s="1"/>
  <c r="V10" i="4"/>
  <c r="W10" i="4" s="1"/>
  <c r="V9" i="4"/>
  <c r="W9" i="4" s="1"/>
  <c r="W8" i="4"/>
  <c r="V8" i="4"/>
  <c r="V7" i="4"/>
  <c r="W7" i="4" s="1"/>
  <c r="V6" i="4"/>
  <c r="W6" i="4" s="1"/>
  <c r="V5" i="4"/>
  <c r="W5" i="4" s="1"/>
  <c r="V4" i="4"/>
  <c r="W4" i="4" s="1"/>
  <c r="V3" i="4"/>
  <c r="W3" i="4" s="1"/>
  <c r="X4" i="4" s="1"/>
  <c r="R3" i="4"/>
  <c r="P5" i="1" l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O56" i="1"/>
  <c r="O29" i="1"/>
  <c r="O27" i="1"/>
  <c r="O34" i="1"/>
  <c r="O32" i="1"/>
  <c r="O31" i="1"/>
  <c r="O28" i="1"/>
  <c r="O26" i="1"/>
  <c r="O37" i="1"/>
  <c r="O30" i="1"/>
  <c r="O25" i="1"/>
  <c r="O33" i="1"/>
  <c r="S58" i="1"/>
  <c r="T50" i="1" s="1"/>
  <c r="O35" i="1"/>
  <c r="O36" i="1"/>
  <c r="Q5" i="2"/>
  <c r="Q6" i="2" s="1"/>
  <c r="V42" i="2"/>
  <c r="W37" i="2" s="1"/>
  <c r="Z44" i="2"/>
  <c r="Z45" i="2" s="1"/>
  <c r="W26" i="2"/>
  <c r="W19" i="2"/>
  <c r="W31" i="2"/>
  <c r="W10" i="2"/>
  <c r="W22" i="2"/>
  <c r="W34" i="2"/>
  <c r="W4" i="2"/>
  <c r="W13" i="2"/>
  <c r="X7" i="2"/>
  <c r="W60" i="1"/>
  <c r="W61" i="1" s="1"/>
  <c r="T42" i="1"/>
  <c r="T54" i="1"/>
  <c r="T41" i="1"/>
  <c r="T13" i="1"/>
  <c r="T25" i="1"/>
  <c r="T28" i="1"/>
  <c r="T27" i="1"/>
  <c r="T30" i="1"/>
  <c r="T44" i="1"/>
  <c r="T3" i="1"/>
  <c r="T17" i="1"/>
  <c r="T31" i="1"/>
  <c r="T45" i="1"/>
  <c r="T4" i="1"/>
  <c r="T33" i="1"/>
  <c r="T48" i="1"/>
  <c r="T15" i="1"/>
  <c r="T29" i="1"/>
  <c r="T43" i="1"/>
  <c r="T57" i="1"/>
  <c r="T6" i="1"/>
  <c r="T36" i="1"/>
  <c r="T51" i="1"/>
  <c r="T8" i="1"/>
  <c r="T23" i="1"/>
  <c r="T37" i="1"/>
  <c r="T52" i="1"/>
  <c r="T9" i="1"/>
  <c r="T34" i="1"/>
  <c r="T46" i="1"/>
  <c r="T14" i="1"/>
  <c r="T26" i="1"/>
  <c r="T38" i="1"/>
  <c r="O21" i="1"/>
  <c r="O57" i="1"/>
  <c r="O11" i="1"/>
  <c r="O23" i="1"/>
  <c r="O47" i="1"/>
  <c r="O10" i="1"/>
  <c r="O22" i="1"/>
  <c r="O45" i="1"/>
  <c r="O9" i="1"/>
  <c r="O46" i="1"/>
  <c r="O13" i="1"/>
  <c r="O49" i="1"/>
  <c r="O38" i="1"/>
  <c r="O39" i="1"/>
  <c r="O16" i="1"/>
  <c r="O40" i="1"/>
  <c r="O17" i="1"/>
  <c r="O53" i="1"/>
  <c r="O6" i="1"/>
  <c r="O18" i="1"/>
  <c r="O42" i="1"/>
  <c r="O54" i="1"/>
  <c r="O24" i="1"/>
  <c r="O48" i="1"/>
  <c r="O50" i="1"/>
  <c r="O15" i="1"/>
  <c r="O51" i="1"/>
  <c r="O4" i="1"/>
  <c r="O5" i="1"/>
  <c r="O41" i="1"/>
  <c r="O7" i="1"/>
  <c r="O19" i="1"/>
  <c r="O43" i="1"/>
  <c r="O55" i="1"/>
  <c r="O12" i="1"/>
  <c r="O14" i="1"/>
  <c r="O3" i="1"/>
  <c r="O52" i="1"/>
  <c r="O8" i="1"/>
  <c r="O20" i="1"/>
  <c r="O44" i="1"/>
  <c r="Y34" i="4"/>
  <c r="Y35" i="4" s="1"/>
  <c r="V34" i="4"/>
  <c r="O42" i="2"/>
  <c r="P36" i="2"/>
  <c r="P42" i="2" s="1"/>
  <c r="T21" i="1" l="1"/>
  <c r="T19" i="1"/>
  <c r="T16" i="1"/>
  <c r="T55" i="1"/>
  <c r="T10" i="1"/>
  <c r="T7" i="1"/>
  <c r="T5" i="1"/>
  <c r="T12" i="1"/>
  <c r="T22" i="1"/>
  <c r="T53" i="1"/>
  <c r="T49" i="1"/>
  <c r="T47" i="1"/>
  <c r="T11" i="1"/>
  <c r="T39" i="1"/>
  <c r="T56" i="1"/>
  <c r="T35" i="1"/>
  <c r="T32" i="1"/>
  <c r="T24" i="1"/>
  <c r="T20" i="1"/>
  <c r="T18" i="1"/>
  <c r="T58" i="1" s="1"/>
  <c r="T40" i="1"/>
  <c r="P58" i="1"/>
  <c r="Q48" i="1" s="1"/>
  <c r="O58" i="1"/>
  <c r="W39" i="2"/>
  <c r="W25" i="2"/>
  <c r="W7" i="2"/>
  <c r="W29" i="2"/>
  <c r="W24" i="2"/>
  <c r="W33" i="2"/>
  <c r="W18" i="2"/>
  <c r="W36" i="2"/>
  <c r="W12" i="2"/>
  <c r="W5" i="2"/>
  <c r="W35" i="2"/>
  <c r="W27" i="2"/>
  <c r="W17" i="2"/>
  <c r="W14" i="2"/>
  <c r="W15" i="2"/>
  <c r="W30" i="2"/>
  <c r="W6" i="2"/>
  <c r="W41" i="2"/>
  <c r="W32" i="2"/>
  <c r="W11" i="2"/>
  <c r="W20" i="2"/>
  <c r="W3" i="2"/>
  <c r="W28" i="2"/>
  <c r="W21" i="2"/>
  <c r="W9" i="2"/>
  <c r="W23" i="2"/>
  <c r="W16" i="2"/>
  <c r="W40" i="2"/>
  <c r="W8" i="2"/>
  <c r="W38" i="2"/>
  <c r="X8" i="2"/>
  <c r="Q7" i="2"/>
  <c r="W42" i="2" l="1"/>
  <c r="X9" i="2"/>
  <c r="U58" i="1"/>
  <c r="Q44" i="1"/>
  <c r="Q7" i="1"/>
  <c r="Q4" i="1"/>
  <c r="Q19" i="1"/>
  <c r="Q51" i="1"/>
  <c r="Q55" i="1"/>
  <c r="Q12" i="1"/>
  <c r="Q18" i="1"/>
  <c r="Q23" i="1"/>
  <c r="Q39" i="1"/>
  <c r="Q35" i="1"/>
  <c r="Q24" i="1"/>
  <c r="Q46" i="1"/>
  <c r="Q32" i="1"/>
  <c r="Q33" i="1"/>
  <c r="Q37" i="1"/>
  <c r="Q30" i="1"/>
  <c r="Q25" i="1"/>
  <c r="Q22" i="1"/>
  <c r="Q16" i="1"/>
  <c r="Q31" i="1"/>
  <c r="Q13" i="1"/>
  <c r="Q38" i="1"/>
  <c r="Q28" i="1"/>
  <c r="Q56" i="1"/>
  <c r="Q42" i="1"/>
  <c r="Q14" i="1"/>
  <c r="Q54" i="1"/>
  <c r="Q49" i="1"/>
  <c r="Q15" i="1"/>
  <c r="Q36" i="1"/>
  <c r="Q21" i="1"/>
  <c r="Q45" i="1"/>
  <c r="Q47" i="1"/>
  <c r="Q27" i="1"/>
  <c r="Q41" i="1"/>
  <c r="Q10" i="1"/>
  <c r="Q50" i="1"/>
  <c r="Q8" i="1"/>
  <c r="Q20" i="1"/>
  <c r="Q52" i="1"/>
  <c r="Q57" i="1"/>
  <c r="Q9" i="1"/>
  <c r="Q11" i="1"/>
  <c r="Q40" i="1"/>
  <c r="Q43" i="1"/>
  <c r="Q53" i="1"/>
  <c r="Q26" i="1"/>
  <c r="Q29" i="1"/>
  <c r="Q34" i="1"/>
  <c r="Q6" i="1"/>
  <c r="Q17" i="1"/>
  <c r="Q5" i="1"/>
  <c r="Q8" i="2"/>
  <c r="Q59" i="1" l="1"/>
  <c r="Q60" i="1" s="1"/>
  <c r="X10" i="2"/>
  <c r="V46" i="1"/>
  <c r="V39" i="1"/>
  <c r="V45" i="1"/>
  <c r="V51" i="1"/>
  <c r="V47" i="1"/>
  <c r="V55" i="1"/>
  <c r="V38" i="1"/>
  <c r="V50" i="1"/>
  <c r="V18" i="1"/>
  <c r="V37" i="1"/>
  <c r="V34" i="1"/>
  <c r="V19" i="1"/>
  <c r="V52" i="1"/>
  <c r="V10" i="1"/>
  <c r="V40" i="1"/>
  <c r="V33" i="1"/>
  <c r="V29" i="1"/>
  <c r="V25" i="1"/>
  <c r="V22" i="1"/>
  <c r="V7" i="1"/>
  <c r="V13" i="1"/>
  <c r="V54" i="1"/>
  <c r="V48" i="1"/>
  <c r="V42" i="1"/>
  <c r="V28" i="1"/>
  <c r="V36" i="1"/>
  <c r="V21" i="1"/>
  <c r="V30" i="1"/>
  <c r="V12" i="1"/>
  <c r="V44" i="1"/>
  <c r="V5" i="1"/>
  <c r="V20" i="1"/>
  <c r="V26" i="1"/>
  <c r="V56" i="1"/>
  <c r="V16" i="1"/>
  <c r="V24" i="1"/>
  <c r="V9" i="1"/>
  <c r="V6" i="1"/>
  <c r="V4" i="1"/>
  <c r="V53" i="1"/>
  <c r="V15" i="1"/>
  <c r="V35" i="1"/>
  <c r="V11" i="1"/>
  <c r="V27" i="1"/>
  <c r="V41" i="1"/>
  <c r="V32" i="1"/>
  <c r="V49" i="1"/>
  <c r="V17" i="1"/>
  <c r="V8" i="1"/>
  <c r="V31" i="1"/>
  <c r="V14" i="1"/>
  <c r="V23" i="1"/>
  <c r="V43" i="1"/>
  <c r="V57" i="1"/>
  <c r="Q58" i="1"/>
  <c r="Q9" i="2"/>
  <c r="R33" i="4"/>
  <c r="S33" i="4" s="1"/>
  <c r="R32" i="4"/>
  <c r="S32" i="4" s="1"/>
  <c r="R31" i="4"/>
  <c r="S31" i="4" s="1"/>
  <c r="R30" i="4"/>
  <c r="R29" i="4"/>
  <c r="S29" i="4" s="1"/>
  <c r="R27" i="4"/>
  <c r="S27" i="4" s="1"/>
  <c r="R26" i="4"/>
  <c r="S26" i="4" s="1"/>
  <c r="R25" i="4"/>
  <c r="S25" i="4" s="1"/>
  <c r="R24" i="4"/>
  <c r="S23" i="4"/>
  <c r="R22" i="4"/>
  <c r="S22" i="4" s="1"/>
  <c r="S21" i="4"/>
  <c r="S20" i="4"/>
  <c r="R19" i="4"/>
  <c r="S19" i="4" s="1"/>
  <c r="R13" i="4"/>
  <c r="S13" i="4" s="1"/>
  <c r="R12" i="4"/>
  <c r="S12" i="4" s="1"/>
  <c r="R11" i="4"/>
  <c r="S11" i="4" s="1"/>
  <c r="R10" i="4"/>
  <c r="S10" i="4" s="1"/>
  <c r="R9" i="4"/>
  <c r="S9" i="4" s="1"/>
  <c r="R8" i="4"/>
  <c r="S8" i="4" s="1"/>
  <c r="R7" i="4"/>
  <c r="S7" i="4" s="1"/>
  <c r="R6" i="4"/>
  <c r="R5" i="4"/>
  <c r="R4" i="4"/>
  <c r="S3" i="4"/>
  <c r="S30" i="4"/>
  <c r="S28" i="4"/>
  <c r="S24" i="4"/>
  <c r="S18" i="4"/>
  <c r="S17" i="4"/>
  <c r="S16" i="4"/>
  <c r="S15" i="4"/>
  <c r="S14" i="4"/>
  <c r="S6" i="4"/>
  <c r="S5" i="4"/>
  <c r="S4" i="4"/>
  <c r="H2" i="4"/>
  <c r="R55" i="1" l="1"/>
  <c r="R43" i="1"/>
  <c r="R31" i="1"/>
  <c r="R19" i="1"/>
  <c r="R7" i="1"/>
  <c r="R54" i="1"/>
  <c r="R42" i="1"/>
  <c r="R30" i="1"/>
  <c r="R18" i="1"/>
  <c r="R6" i="1"/>
  <c r="R27" i="1"/>
  <c r="R26" i="1"/>
  <c r="R25" i="1"/>
  <c r="R48" i="1"/>
  <c r="R24" i="1"/>
  <c r="R8" i="1"/>
  <c r="R53" i="1"/>
  <c r="R41" i="1"/>
  <c r="R29" i="1"/>
  <c r="R17" i="1"/>
  <c r="R5" i="1"/>
  <c r="R52" i="1"/>
  <c r="R40" i="1"/>
  <c r="R28" i="1"/>
  <c r="R16" i="1"/>
  <c r="R4" i="1"/>
  <c r="R38" i="1"/>
  <c r="R14" i="1"/>
  <c r="R37" i="1"/>
  <c r="R12" i="1"/>
  <c r="R11" i="1"/>
  <c r="R46" i="1"/>
  <c r="R22" i="1"/>
  <c r="R45" i="1"/>
  <c r="R20" i="1"/>
  <c r="R51" i="1"/>
  <c r="R39" i="1"/>
  <c r="R15" i="1"/>
  <c r="R49" i="1"/>
  <c r="R13" i="1"/>
  <c r="R36" i="1"/>
  <c r="R35" i="1"/>
  <c r="R34" i="1"/>
  <c r="R21" i="1"/>
  <c r="R56" i="1"/>
  <c r="R50" i="1"/>
  <c r="R47" i="1"/>
  <c r="R10" i="1"/>
  <c r="R33" i="1"/>
  <c r="R44" i="1"/>
  <c r="R23" i="1"/>
  <c r="R57" i="1"/>
  <c r="R9" i="1"/>
  <c r="R32" i="1"/>
  <c r="X11" i="2"/>
  <c r="V60" i="1"/>
  <c r="V61" i="1" s="1"/>
  <c r="V62" i="1" s="1"/>
  <c r="V58" i="1"/>
  <c r="Q10" i="2"/>
  <c r="S34" i="4"/>
  <c r="S35" i="4" s="1"/>
  <c r="S36" i="4"/>
  <c r="R34" i="4"/>
  <c r="B42" i="2"/>
  <c r="E4" i="2"/>
  <c r="E41" i="2"/>
  <c r="I35" i="4"/>
  <c r="H35" i="4"/>
  <c r="H34" i="4" a="1"/>
  <c r="H34" i="4" s="1"/>
  <c r="R58" i="1" l="1"/>
  <c r="X12" i="2"/>
  <c r="V63" i="1"/>
  <c r="Q11" i="2"/>
  <c r="N1" i="4"/>
  <c r="M1" i="4"/>
  <c r="M3" i="4"/>
  <c r="X13" i="2" l="1"/>
  <c r="Q12" i="2"/>
  <c r="O1" i="4"/>
  <c r="B43" i="2"/>
  <c r="B44" i="2" s="1"/>
  <c r="B9" i="3"/>
  <c r="C8" i="3"/>
  <c r="C7" i="3"/>
  <c r="B7" i="3"/>
  <c r="N2" i="4"/>
  <c r="M2" i="4"/>
  <c r="O2" i="4" s="1"/>
  <c r="I5" i="4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H5" i="4"/>
  <c r="H6" i="4" s="1"/>
  <c r="I4" i="4"/>
  <c r="H4" i="4"/>
  <c r="C42" i="2"/>
  <c r="C43" i="2" s="1"/>
  <c r="X14" i="2" l="1"/>
  <c r="Q13" i="2"/>
  <c r="J7" i="2"/>
  <c r="C44" i="2"/>
  <c r="D7" i="3"/>
  <c r="H7" i="4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I34" i="4" a="1"/>
  <c r="I34" i="4" s="1"/>
  <c r="B8" i="3" s="1"/>
  <c r="D8" i="3" s="1"/>
  <c r="X15" i="2" l="1"/>
  <c r="Q14" i="2"/>
  <c r="D9" i="3"/>
  <c r="B59" i="1"/>
  <c r="J2" i="1" s="1"/>
  <c r="B58" i="1"/>
  <c r="J4" i="1" s="1"/>
  <c r="C59" i="1"/>
  <c r="J6" i="1" s="1"/>
  <c r="C58" i="1"/>
  <c r="J3" i="1" s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" i="1"/>
  <c r="E4" i="1"/>
  <c r="E3" i="1"/>
  <c r="J3" i="2"/>
  <c r="J5" i="2"/>
  <c r="J4" i="2"/>
  <c r="K4" i="2" s="1"/>
  <c r="X16" i="2" l="1"/>
  <c r="J5" i="1"/>
  <c r="Q15" i="2"/>
  <c r="K3" i="2"/>
  <c r="J6" i="2"/>
  <c r="E6" i="2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B3" i="3"/>
  <c r="X17" i="2" l="1"/>
  <c r="Q16" i="2"/>
  <c r="E18" i="2"/>
  <c r="X18" i="2" l="1"/>
  <c r="Q17" i="2"/>
  <c r="E19" i="2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C5" i="3"/>
  <c r="C2" i="3"/>
  <c r="C4" i="3"/>
  <c r="C3" i="3"/>
  <c r="D3" i="3" s="1"/>
  <c r="X19" i="2" l="1"/>
  <c r="Q18" i="2"/>
  <c r="C6" i="3"/>
  <c r="X20" i="2" l="1"/>
  <c r="Q19" i="2"/>
  <c r="B4" i="3"/>
  <c r="D4" i="3" s="1"/>
  <c r="X21" i="2" l="1"/>
  <c r="Q20" i="2"/>
  <c r="B2" i="3"/>
  <c r="D2" i="3" s="1"/>
  <c r="X22" i="2" l="1"/>
  <c r="Q21" i="2"/>
  <c r="B5" i="3"/>
  <c r="D5" i="3" s="1"/>
  <c r="B6" i="3"/>
  <c r="D6" i="3" s="1"/>
  <c r="X23" i="2" l="1"/>
  <c r="Q22" i="2"/>
  <c r="X24" i="2" l="1"/>
  <c r="Q23" i="2"/>
  <c r="X25" i="2" l="1"/>
  <c r="Q24" i="2"/>
  <c r="X26" i="2" l="1"/>
  <c r="Q25" i="2"/>
  <c r="X27" i="2" l="1"/>
  <c r="Q26" i="2"/>
  <c r="X28" i="2" l="1"/>
  <c r="Q27" i="2"/>
  <c r="X29" i="2" l="1"/>
  <c r="Q28" i="2"/>
  <c r="X30" i="2" l="1"/>
  <c r="Q29" i="2"/>
  <c r="X31" i="2" l="1"/>
  <c r="Q30" i="2"/>
  <c r="X32" i="2" l="1"/>
  <c r="Q31" i="2"/>
  <c r="X33" i="2" l="1"/>
  <c r="Q32" i="2"/>
  <c r="X34" i="2" l="1"/>
  <c r="Q33" i="2"/>
  <c r="X35" i="2" l="1"/>
  <c r="Q34" i="2"/>
  <c r="T34" i="4"/>
  <c r="T35" i="4" s="1"/>
  <c r="T36" i="4"/>
  <c r="X36" i="2" l="1"/>
  <c r="Q35" i="2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X37" i="2" l="1"/>
  <c r="Q36" i="2"/>
  <c r="X34" i="4"/>
  <c r="X35" i="4" s="1"/>
  <c r="U34" i="4"/>
  <c r="U35" i="4" s="1"/>
  <c r="U36" i="4"/>
  <c r="W34" i="4"/>
  <c r="W35" i="4" s="1"/>
  <c r="X38" i="2" l="1"/>
  <c r="Q37" i="2"/>
  <c r="X39" i="2" l="1"/>
  <c r="Q38" i="2"/>
  <c r="X40" i="2" l="1"/>
  <c r="Q39" i="2"/>
  <c r="X41" i="2" l="1"/>
  <c r="Q40" i="2"/>
  <c r="X42" i="2" l="1"/>
  <c r="Q41" i="2"/>
  <c r="Y5" i="2" l="1"/>
  <c r="Y4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Q42" i="2"/>
  <c r="Y42" i="2" l="1"/>
  <c r="Y44" i="2"/>
  <c r="Y45" i="2" s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3" i="2" l="1"/>
  <c r="R42" i="2"/>
  <c r="S37" i="2" l="1"/>
  <c r="S38" i="2"/>
  <c r="S28" i="2"/>
  <c r="S17" i="2"/>
  <c r="S6" i="2"/>
  <c r="S29" i="2"/>
  <c r="S18" i="2"/>
  <c r="S40" i="2"/>
  <c r="S27" i="2"/>
  <c r="S26" i="2"/>
  <c r="S39" i="2"/>
  <c r="S16" i="2"/>
  <c r="S15" i="2"/>
  <c r="S41" i="2"/>
  <c r="S14" i="2"/>
  <c r="S5" i="2"/>
  <c r="S19" i="2"/>
  <c r="S11" i="2"/>
  <c r="S23" i="2"/>
  <c r="S31" i="2"/>
  <c r="S33" i="2"/>
  <c r="S8" i="2"/>
  <c r="S35" i="2"/>
  <c r="S12" i="2"/>
  <c r="S13" i="2"/>
  <c r="S21" i="2"/>
  <c r="S20" i="2"/>
  <c r="S32" i="2"/>
  <c r="S24" i="2"/>
  <c r="S36" i="2"/>
  <c r="S9" i="2"/>
  <c r="S25" i="2"/>
  <c r="S10" i="2"/>
  <c r="S7" i="2"/>
  <c r="S30" i="2"/>
  <c r="S34" i="2"/>
  <c r="S22" i="2"/>
  <c r="R45" i="2" l="1"/>
  <c r="R4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F019C-D67C-4C61-86E1-DDE917C7D7C7}" keepAlive="1" name="Query - P_hospital" description="Connection to the 'P_hospital' query in the workbook." type="5" refreshedVersion="6" background="1" saveData="1">
    <dbPr connection="Provider=Microsoft.Mashup.OleDb.1;Data Source=$Workbook$;Location=P_hospital;Extended Properties=&quot;&quot;" command="SELECT * FROM [P_hospital]"/>
  </connection>
  <connection id="2" xr16:uid="{E6754546-3E45-4ECB-A958-B266361B0095}" keepAlive="1" name="Query - P_smrt_vyliecenie_hosp_O" description="Connection to the 'P_smrt_vyliecenie_hosp_O' query in the workbook." type="5" refreshedVersion="6" background="1" saveData="1">
    <dbPr connection="Provider=Microsoft.Mashup.OleDb.1;Data Source=$Workbook$;Location=P_smrt_vyliecenie_hosp_O;Extended Properties=&quot;&quot;" command="SELECT * FROM [P_smrt_vyliecenie_hosp_O]"/>
  </connection>
  <connection id="3" xr16:uid="{E4161295-A62C-4615-A100-D285FC1ECF55}" keepAlive="1" name="Query - P_smrt_vyliecenie_hosp_Y" description="Connection to the 'P_smrt_vyliecenie_hosp_Y' query in the workbook." type="5" refreshedVersion="6" background="1" saveData="1">
    <dbPr connection="Provider=Microsoft.Mashup.OleDb.1;Data Source=$Workbook$;Location=P_smrt_vyliecenie_hosp_Y;Extended Properties=&quot;&quot;" command="SELECT * FROM [P_smrt_vyliecenie_hosp_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<sst xmlns="http://schemas.openxmlformats.org/spreadsheetml/2006/main" count="105" uniqueCount="48">
  <si>
    <t>day</t>
  </si>
  <si>
    <t>avg days to recovery</t>
  </si>
  <si>
    <t>probability of death</t>
  </si>
  <si>
    <t>avg days to terminate</t>
  </si>
  <si>
    <t>survival rate</t>
  </si>
  <si>
    <t>days to death</t>
  </si>
  <si>
    <t>P_death</t>
  </si>
  <si>
    <t>P_rec</t>
  </si>
  <si>
    <t>P_cont</t>
  </si>
  <si>
    <t>OLD</t>
  </si>
  <si>
    <t>sample size</t>
  </si>
  <si>
    <t>TOTAL</t>
  </si>
  <si>
    <t>Young</t>
  </si>
  <si>
    <t>Old</t>
  </si>
  <si>
    <t>P_cont_cum</t>
  </si>
  <si>
    <t>YOUNG</t>
  </si>
  <si>
    <t>P_y</t>
  </si>
  <si>
    <t>P_y_low</t>
  </si>
  <si>
    <t>P_y_up</t>
  </si>
  <si>
    <t>P_o</t>
  </si>
  <si>
    <t>P_o_low</t>
  </si>
  <si>
    <t>oo</t>
  </si>
  <si>
    <t>yy</t>
  </si>
  <si>
    <t>hospitalization rate</t>
  </si>
  <si>
    <t>time to hospital</t>
  </si>
  <si>
    <t>P_o_up</t>
  </si>
  <si>
    <t>raw</t>
  </si>
  <si>
    <t>norm</t>
  </si>
  <si>
    <t>P(H|Y)</t>
  </si>
  <si>
    <t>smooth</t>
  </si>
  <si>
    <t>P(H|O)</t>
  </si>
  <si>
    <t>Death</t>
  </si>
  <si>
    <t>damping</t>
  </si>
  <si>
    <t>final</t>
  </si>
  <si>
    <t>Recovery</t>
  </si>
  <si>
    <t>damping - death</t>
  </si>
  <si>
    <t>damping - recovery</t>
  </si>
  <si>
    <t>a</t>
  </si>
  <si>
    <t>b</t>
  </si>
  <si>
    <t>mean</t>
  </si>
  <si>
    <t>variance</t>
  </si>
  <si>
    <t>distribution</t>
  </si>
  <si>
    <t>distribution_exp</t>
  </si>
  <si>
    <t>mu</t>
  </si>
  <si>
    <t>sigma</t>
  </si>
  <si>
    <t>T</t>
  </si>
  <si>
    <t>lambda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</si>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</sst>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2" borderId="0" xfId="0" applyFont="1" applyFill="1"/>
    <xf numFmtId="2" fontId="0" fillId="0" borderId="0" xfId="0" applyNumberFormat="1"/>
    <xf numFmtId="10" fontId="0" fillId="0" borderId="0" xfId="1" applyNumberFormat="1" applyFont="1"/>
    <xf numFmtId="9" fontId="0" fillId="0" borderId="0" xfId="1" applyFont="1"/>
    <xf numFmtId="10" fontId="0" fillId="0" borderId="0" xfId="0" applyNumberFormat="1"/>
    <xf numFmtId="165" fontId="0" fillId="0" borderId="0" xfId="1" applyNumberFormat="1" applyFont="1"/>
    <xf numFmtId="165" fontId="5" fillId="4" borderId="0" xfId="1" applyNumberFormat="1" applyFont="1" applyFill="1"/>
    <xf numFmtId="0" fontId="5" fillId="4" borderId="0" xfId="0" applyFont="1" applyFill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7" fillId="0" borderId="0" xfId="0" applyFont="1"/>
    <xf numFmtId="0" fontId="7" fillId="0" borderId="0" xfId="0" applyFont="1" applyFill="1"/>
    <xf numFmtId="0" fontId="5" fillId="2" borderId="0" xfId="0" applyFont="1" applyFill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0" xfId="0" applyBorder="1"/>
    <xf numFmtId="0" fontId="0" fillId="0" borderId="7" xfId="0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7" fillId="0" borderId="0" xfId="0" applyFont="1" applyFill="1" applyBorder="1"/>
    <xf numFmtId="0" fontId="6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death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young!$P$3:$P$41</c:f>
              <c:numCache>
                <c:formatCode>General</c:formatCode>
                <c:ptCount val="39"/>
                <c:pt idx="0">
                  <c:v>0.17241379310344826</c:v>
                </c:pt>
                <c:pt idx="1">
                  <c:v>0.10344827586206896</c:v>
                </c:pt>
                <c:pt idx="2">
                  <c:v>0.10344827586206896</c:v>
                </c:pt>
                <c:pt idx="3">
                  <c:v>0.10344827586206896</c:v>
                </c:pt>
                <c:pt idx="4">
                  <c:v>6.8965517241379309E-2</c:v>
                </c:pt>
                <c:pt idx="5">
                  <c:v>0.10344827586206899</c:v>
                </c:pt>
                <c:pt idx="6">
                  <c:v>0.10344827586206899</c:v>
                </c:pt>
                <c:pt idx="7">
                  <c:v>6.8965517241379309E-2</c:v>
                </c:pt>
                <c:pt idx="8">
                  <c:v>3.4482758620689655E-2</c:v>
                </c:pt>
                <c:pt idx="9">
                  <c:v>6.8965517241379309E-2</c:v>
                </c:pt>
                <c:pt idx="10">
                  <c:v>0</c:v>
                </c:pt>
                <c:pt idx="11">
                  <c:v>3.4482758620689564E-2</c:v>
                </c:pt>
                <c:pt idx="12">
                  <c:v>0</c:v>
                </c:pt>
                <c:pt idx="13">
                  <c:v>3.4482758620689682E-2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AC-4475-9965-1BC5AD3167A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young!$Q$4:$Q$41</c:f>
              <c:numCache>
                <c:formatCode>General</c:formatCode>
                <c:ptCount val="38"/>
                <c:pt idx="0">
                  <c:v>0.17241379310344826</c:v>
                </c:pt>
                <c:pt idx="1">
                  <c:v>0.12413793103448274</c:v>
                </c:pt>
                <c:pt idx="2">
                  <c:v>0.10965517241379309</c:v>
                </c:pt>
                <c:pt idx="3">
                  <c:v>0.10531034482758619</c:v>
                </c:pt>
                <c:pt idx="4">
                  <c:v>7.9868965517241375E-2</c:v>
                </c:pt>
                <c:pt idx="5">
                  <c:v>9.6374482758620705E-2</c:v>
                </c:pt>
                <c:pt idx="6">
                  <c:v>0.10132613793103451</c:v>
                </c:pt>
                <c:pt idx="7">
                  <c:v>7.8673703448275872E-2</c:v>
                </c:pt>
                <c:pt idx="8">
                  <c:v>4.7740042068965524E-2</c:v>
                </c:pt>
                <c:pt idx="9">
                  <c:v>6.2597874689655178E-2</c:v>
                </c:pt>
                <c:pt idx="10">
                  <c:v>1.8779362406896552E-2</c:v>
                </c:pt>
                <c:pt idx="11">
                  <c:v>2.9771739756551657E-2</c:v>
                </c:pt>
                <c:pt idx="12">
                  <c:v>8.931521926965497E-3</c:v>
                </c:pt>
                <c:pt idx="13">
                  <c:v>2.6817387612572425E-2</c:v>
                </c:pt>
                <c:pt idx="14">
                  <c:v>8.0452162837717275E-3</c:v>
                </c:pt>
                <c:pt idx="15">
                  <c:v>2.413564885131518E-3</c:v>
                </c:pt>
                <c:pt idx="16">
                  <c:v>7.2406946553945533E-4</c:v>
                </c:pt>
                <c:pt idx="17">
                  <c:v>2.172208396618366E-4</c:v>
                </c:pt>
                <c:pt idx="18">
                  <c:v>6.5166251898550974E-5</c:v>
                </c:pt>
                <c:pt idx="19">
                  <c:v>1.9549875569565292E-5</c:v>
                </c:pt>
                <c:pt idx="20">
                  <c:v>5.864962670869587E-6</c:v>
                </c:pt>
                <c:pt idx="21">
                  <c:v>1.759488801260876E-6</c:v>
                </c:pt>
                <c:pt idx="22">
                  <c:v>5.2784664037826273E-7</c:v>
                </c:pt>
                <c:pt idx="23">
                  <c:v>1.5835399211347882E-7</c:v>
                </c:pt>
                <c:pt idx="24">
                  <c:v>4.7506197634043643E-8</c:v>
                </c:pt>
                <c:pt idx="25">
                  <c:v>1.4251859290213092E-8</c:v>
                </c:pt>
                <c:pt idx="26">
                  <c:v>4.2755577870639277E-9</c:v>
                </c:pt>
                <c:pt idx="27">
                  <c:v>1.2826673361191784E-9</c:v>
                </c:pt>
                <c:pt idx="28">
                  <c:v>3.8480020083575348E-10</c:v>
                </c:pt>
                <c:pt idx="29">
                  <c:v>1.1544006025072604E-10</c:v>
                </c:pt>
                <c:pt idx="30">
                  <c:v>3.463201807521781E-11</c:v>
                </c:pt>
                <c:pt idx="31">
                  <c:v>1.0389605422565342E-11</c:v>
                </c:pt>
                <c:pt idx="32">
                  <c:v>3.1168816267696027E-12</c:v>
                </c:pt>
                <c:pt idx="33">
                  <c:v>9.3506448803088074E-13</c:v>
                </c:pt>
                <c:pt idx="34">
                  <c:v>2.8051934640926422E-13</c:v>
                </c:pt>
                <c:pt idx="35">
                  <c:v>8.4155803922779267E-14</c:v>
                </c:pt>
                <c:pt idx="36">
                  <c:v>2.524674117683378E-14</c:v>
                </c:pt>
                <c:pt idx="37">
                  <c:v>7.5740223530501334E-15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AC-4475-9965-1BC5AD3167A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young!$S$4:$S$41</c:f>
              <c:numCache>
                <c:formatCode>General</c:formatCode>
                <c:ptCount val="38"/>
                <c:pt idx="0">
                  <c:v>0.15438954637802327</c:v>
                </c:pt>
                <c:pt idx="1">
                  <c:v>0.12819340470305954</c:v>
                </c:pt>
                <c:pt idx="2">
                  <c:v>0.10644210955270773</c:v>
                </c:pt>
                <c:pt idx="3">
                  <c:v>8.8381478846549649E-2</c:v>
                </c:pt>
                <c:pt idx="4">
                  <c:v>7.3385296814651446E-2</c:v>
                </c:pt>
                <c:pt idx="5">
                  <c:v>6.0933601234765197E-2</c:v>
                </c:pt>
                <c:pt idx="6">
                  <c:v>5.0594654795973991E-2</c:v>
                </c:pt>
                <c:pt idx="7">
                  <c:v>4.2009975482349929E-2</c:v>
                </c:pt>
                <c:pt idx="8">
                  <c:v>3.4881906935514399E-2</c:v>
                </c:pt>
                <c:pt idx="9">
                  <c:v>2.8963297823610779E-2</c:v>
                </c:pt>
                <c:pt idx="10">
                  <c:v>2.4048932369723556E-2</c:v>
                </c:pt>
                <c:pt idx="11">
                  <c:v>1.9968414910682838E-2</c:v>
                </c:pt>
                <c:pt idx="12">
                  <c:v>1.6580261772750137E-2</c:v>
                </c:pt>
                <c:pt idx="13">
                  <c:v>1.3766995611947594E-2</c:v>
                </c:pt>
                <c:pt idx="14">
                  <c:v>1.1431072125222977E-2</c:v>
                </c:pt>
                <c:pt idx="15">
                  <c:v>9.4914978994145409E-3</c:v>
                </c:pt>
                <c:pt idx="16">
                  <c:v>7.8810221287824635E-3</c:v>
                </c:pt>
                <c:pt idx="17">
                  <c:v>6.543804829603342E-3</c:v>
                </c:pt>
                <c:pt idx="18">
                  <c:v>5.4334807018941202E-3</c:v>
                </c:pt>
                <c:pt idx="19">
                  <c:v>4.5115515065942717E-3</c:v>
                </c:pt>
                <c:pt idx="20">
                  <c:v>3.7460512171429185E-3</c:v>
                </c:pt>
                <c:pt idx="21">
                  <c:v>3.1104376622868839E-3</c:v>
                </c:pt>
                <c:pt idx="22">
                  <c:v>2.5826722300800768E-3</c:v>
                </c:pt>
                <c:pt idx="23">
                  <c:v>2.1444557236754507E-3</c:v>
                </c:pt>
                <c:pt idx="24">
                  <c:v>1.7805938737575772E-3</c:v>
                </c:pt>
                <c:pt idx="25">
                  <c:v>1.4784705080452614E-3</c:v>
                </c:pt>
                <c:pt idx="26">
                  <c:v>1.227610111084328E-3</c:v>
                </c:pt>
                <c:pt idx="27">
                  <c:v>1.0193146069778359E-3</c:v>
                </c:pt>
                <c:pt idx="28">
                  <c:v>8.4636177123096994E-4</c:v>
                </c:pt>
                <c:pt idx="29">
                  <c:v>7.027548147524982E-4</c:v>
                </c:pt>
                <c:pt idx="30">
                  <c:v>5.8351445734550341E-4</c:v>
                </c:pt>
                <c:pt idx="31">
                  <c:v>4.8450628125704586E-4</c:v>
                </c:pt>
                <c:pt idx="32">
                  <c:v>4.0229737862096615E-4</c:v>
                </c:pt>
                <c:pt idx="33">
                  <c:v>3.340373223343997E-4</c:v>
                </c:pt>
                <c:pt idx="34">
                  <c:v>2.7735933327436397E-4</c:v>
                </c:pt>
                <c:pt idx="35">
                  <c:v>2.3029821702794055E-4</c:v>
                </c:pt>
                <c:pt idx="36">
                  <c:v>1.9122222475846505E-4</c:v>
                </c:pt>
                <c:pt idx="37">
                  <c:v>1.587764756213488E-4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AC-4475-9965-1BC5AD3167A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young!$U$4:$U$41</c:f>
              <c:numCache>
                <c:formatCode>General</c:formatCode>
                <c:ptCount val="38"/>
                <c:pt idx="0">
                  <c:v>0.21022410381342865</c:v>
                </c:pt>
                <c:pt idx="1">
                  <c:v>0.13374806099528441</c:v>
                </c:pt>
                <c:pt idx="2">
                  <c:v>8.4351198778552322E-2</c:v>
                </c:pt>
                <c:pt idx="3">
                  <c:v>5.7938713000641462E-2</c:v>
                </c:pt>
                <c:pt idx="4">
                  <c:v>4.2581732141264171E-2</c:v>
                </c:pt>
                <c:pt idx="5">
                  <c:v>3.2875252689629993E-2</c:v>
                </c:pt>
                <c:pt idx="6">
                  <c:v>2.6324221651604768E-2</c:v>
                </c:pt>
                <c:pt idx="7">
                  <c:v>2.1672963297373775E-2</c:v>
                </c:pt>
                <c:pt idx="8">
                  <c:v>1.8236655674892448E-2</c:v>
                </c:pt>
                <c:pt idx="9">
                  <c:v>1.5615945589171147E-2</c:v>
                </c:pt>
                <c:pt idx="10">
                  <c:v>1.3564784578564887E-2</c:v>
                </c:pt>
                <c:pt idx="11">
                  <c:v>1.1924529370202216E-2</c:v>
                </c:pt>
                <c:pt idx="12">
                  <c:v>1.0588933110796301E-2</c:v>
                </c:pt>
                <c:pt idx="13">
                  <c:v>9.4845178302159217E-3</c:v>
                </c:pt>
                <c:pt idx="14">
                  <c:v>8.5590529763903498E-3</c:v>
                </c:pt>
                <c:pt idx="15">
                  <c:v>7.7745199589335972E-3</c:v>
                </c:pt>
                <c:pt idx="16">
                  <c:v>7.1026665840350656E-3</c:v>
                </c:pt>
                <c:pt idx="17">
                  <c:v>6.5221128383528429E-3</c:v>
                </c:pt>
                <c:pt idx="18">
                  <c:v>6.0164164789872727E-3</c:v>
                </c:pt>
                <c:pt idx="19">
                  <c:v>5.5727496623140214E-3</c:v>
                </c:pt>
                <c:pt idx="20">
                  <c:v>5.1809745909660787E-3</c:v>
                </c:pt>
                <c:pt idx="21">
                  <c:v>4.8329857196935978E-3</c:v>
                </c:pt>
                <c:pt idx="22">
                  <c:v>4.5222337134581004E-3</c:v>
                </c:pt>
                <c:pt idx="23">
                  <c:v>4.2433756469347573E-3</c:v>
                </c:pt>
                <c:pt idx="24">
                  <c:v>3.9920143750823587E-3</c:v>
                </c:pt>
                <c:pt idx="25">
                  <c:v>3.7645018634102287E-3</c:v>
                </c:pt>
                <c:pt idx="26">
                  <c:v>3.5577890435563161E-3</c:v>
                </c:pt>
                <c:pt idx="27">
                  <c:v>3.3693099519646985E-3</c:v>
                </c:pt>
                <c:pt idx="28">
                  <c:v>3.1968914334116316E-3</c:v>
                </c:pt>
                <c:pt idx="29">
                  <c:v>3.0386821194156154E-3</c:v>
                </c:pt>
                <c:pt idx="30">
                  <c:v>2.8930960884861446E-3</c:v>
                </c:pt>
                <c:pt idx="31">
                  <c:v>2.7587678165270453E-3</c:v>
                </c:pt>
                <c:pt idx="32">
                  <c:v>2.6345158865899911E-3</c:v>
                </c:pt>
                <c:pt idx="33">
                  <c:v>2.5193135510692263E-3</c:v>
                </c:pt>
                <c:pt idx="34">
                  <c:v>2.4122646963716668E-3</c:v>
                </c:pt>
                <c:pt idx="35">
                  <c:v>2.3125840980852269E-3</c:v>
                </c:pt>
                <c:pt idx="36">
                  <c:v>2.219581106998568E-3</c:v>
                </c:pt>
                <c:pt idx="37">
                  <c:v>2.1326460963560175E-3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AC-4475-9965-1BC5AD316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34032"/>
        <c:axId val="1113041576"/>
      </c:lineChart>
      <c:catAx>
        <c:axId val="1113034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1576"/>
        <c:crosses val="autoZero"/>
        <c:auto val="1"/>
        <c:lblAlgn val="ctr"/>
        <c:lblOffset val="100"/>
        <c:noMultiLvlLbl val="0"/>
      </c:catAx>
      <c:valAx>
        <c:axId val="111304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3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young!$W$3:$W$41</c:f>
              <c:numCache>
                <c:formatCode>General</c:formatCode>
                <c:ptCount val="39"/>
                <c:pt idx="0">
                  <c:v>0</c:v>
                </c:pt>
                <c:pt idx="1">
                  <c:v>2.9866117404737384E-2</c:v>
                </c:pt>
                <c:pt idx="2">
                  <c:v>8.1359423274974252E-2</c:v>
                </c:pt>
                <c:pt idx="3">
                  <c:v>8.9598352214212154E-2</c:v>
                </c:pt>
                <c:pt idx="4">
                  <c:v>8.4449021627188481E-2</c:v>
                </c:pt>
                <c:pt idx="5">
                  <c:v>0.10092687950566423</c:v>
                </c:pt>
                <c:pt idx="6">
                  <c:v>9.2687950566426383E-2</c:v>
                </c:pt>
                <c:pt idx="7">
                  <c:v>7.929969104016478E-2</c:v>
                </c:pt>
                <c:pt idx="8">
                  <c:v>7.518022657054578E-2</c:v>
                </c:pt>
                <c:pt idx="9">
                  <c:v>6.4881565396498503E-2</c:v>
                </c:pt>
                <c:pt idx="10">
                  <c:v>5.664263645726049E-2</c:v>
                </c:pt>
                <c:pt idx="11">
                  <c:v>4.6343975283213219E-2</c:v>
                </c:pt>
                <c:pt idx="12">
                  <c:v>3.7075180226570463E-2</c:v>
                </c:pt>
                <c:pt idx="13">
                  <c:v>2.7806385169927932E-2</c:v>
                </c:pt>
                <c:pt idx="14">
                  <c:v>2.4716786817713696E-2</c:v>
                </c:pt>
                <c:pt idx="15">
                  <c:v>2.0597322348094745E-2</c:v>
                </c:pt>
                <c:pt idx="16">
                  <c:v>2.0597322348094745E-2</c:v>
                </c:pt>
                <c:pt idx="17">
                  <c:v>1.2358393408856848E-2</c:v>
                </c:pt>
                <c:pt idx="18">
                  <c:v>1.132852729145211E-2</c:v>
                </c:pt>
                <c:pt idx="19">
                  <c:v>1.2358393408856859E-2</c:v>
                </c:pt>
                <c:pt idx="20">
                  <c:v>1.1328527291452121E-2</c:v>
                </c:pt>
                <c:pt idx="21">
                  <c:v>8.2389289392378988E-3</c:v>
                </c:pt>
                <c:pt idx="22">
                  <c:v>5.1493305870236863E-3</c:v>
                </c:pt>
                <c:pt idx="23">
                  <c:v>3.089598352214212E-3</c:v>
                </c:pt>
                <c:pt idx="24">
                  <c:v>2.0597322348094747E-3</c:v>
                </c:pt>
                <c:pt idx="25">
                  <c:v>1.0298661174047373E-3</c:v>
                </c:pt>
                <c:pt idx="26">
                  <c:v>1.0298661174047373E-3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8-47E3-BF7B-B84B9C915080}"/>
            </c:ext>
          </c:extLst>
        </c:ser>
        <c:ser>
          <c:idx val="1"/>
          <c:order val="1"/>
          <c:tx>
            <c:strRef>
              <c:f>young!$Y$4:$Y$41</c:f>
              <c:strCache>
                <c:ptCount val="38"/>
                <c:pt idx="0">
                  <c:v>0</c:v>
                </c:pt>
                <c:pt idx="1">
                  <c:v>0.020906282</c:v>
                </c:pt>
                <c:pt idx="2">
                  <c:v>0.063223481</c:v>
                </c:pt>
                <c:pt idx="3">
                  <c:v>0.081685891</c:v>
                </c:pt>
                <c:pt idx="4">
                  <c:v>0.083620082</c:v>
                </c:pt>
                <c:pt idx="5">
                  <c:v>0.09573484</c:v>
                </c:pt>
                <c:pt idx="6">
                  <c:v>0.093602018</c:v>
                </c:pt>
                <c:pt idx="7">
                  <c:v>0.083590389</c:v>
                </c:pt>
                <c:pt idx="8">
                  <c:v>0.077703275</c:v>
                </c:pt>
                <c:pt idx="9">
                  <c:v>0.068728078</c:v>
                </c:pt>
                <c:pt idx="10">
                  <c:v>0.060268269</c:v>
                </c:pt>
                <c:pt idx="11">
                  <c:v>0.050521263</c:v>
                </c:pt>
                <c:pt idx="12">
                  <c:v>0.041109005</c:v>
                </c:pt>
                <c:pt idx="13">
                  <c:v>0.031797171</c:v>
                </c:pt>
                <c:pt idx="14">
                  <c:v>0.026840902</c:v>
                </c:pt>
                <c:pt idx="15">
                  <c:v>0.022470396</c:v>
                </c:pt>
                <c:pt idx="16">
                  <c:v>0.021159245</c:v>
                </c:pt>
                <c:pt idx="17">
                  <c:v>0.014998649</c:v>
                </c:pt>
                <c:pt idx="18">
                  <c:v>0.012429564</c:v>
                </c:pt>
                <c:pt idx="19">
                  <c:v>0.012379745</c:v>
                </c:pt>
                <c:pt idx="20">
                  <c:v>0.011643892</c:v>
                </c:pt>
                <c:pt idx="21">
                  <c:v>0.009260418</c:v>
                </c:pt>
                <c:pt idx="22">
                  <c:v>0.006382657</c:v>
                </c:pt>
                <c:pt idx="23">
                  <c:v>0.004077516</c:v>
                </c:pt>
                <c:pt idx="24">
                  <c:v>0.002665067</c:v>
                </c:pt>
                <c:pt idx="25">
                  <c:v>0.001520426</c:v>
                </c:pt>
                <c:pt idx="26">
                  <c:v>0.001177034</c:v>
                </c:pt>
                <c:pt idx="27">
                  <c:v>0.00035311</c:v>
                </c:pt>
                <c:pt idx="28">
                  <c:v>0.000105933</c:v>
                </c:pt>
                <c:pt idx="29">
                  <c:v>3.17799E-05</c:v>
                </c:pt>
                <c:pt idx="30">
                  <c:v>9.53398E-06</c:v>
                </c:pt>
                <c:pt idx="31">
                  <c:v>2.86019E-06</c:v>
                </c:pt>
                <c:pt idx="32">
                  <c:v>8.58058E-07</c:v>
                </c:pt>
                <c:pt idx="33">
                  <c:v>2.57417E-07</c:v>
                </c:pt>
                <c:pt idx="34">
                  <c:v>7.72252E-08</c:v>
                </c:pt>
                <c:pt idx="35">
                  <c:v>2.31676E-08</c:v>
                </c:pt>
                <c:pt idx="36">
                  <c:v>6.95027E-09</c:v>
                </c:pt>
                <c:pt idx="37">
                  <c:v>2.08508E-09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young!$Y$4:$Y$41</c:f>
              <c:numCache>
                <c:formatCode>General</c:formatCode>
                <c:ptCount val="38"/>
                <c:pt idx="0">
                  <c:v>0</c:v>
                </c:pt>
                <c:pt idx="1">
                  <c:v>2.0906282201998142E-2</c:v>
                </c:pt>
                <c:pt idx="2">
                  <c:v>6.3223481003973694E-2</c:v>
                </c:pt>
                <c:pt idx="3">
                  <c:v>8.1685890907186545E-2</c:v>
                </c:pt>
                <c:pt idx="4">
                  <c:v>8.3620082464012799E-2</c:v>
                </c:pt>
                <c:pt idx="5">
                  <c:v>9.5734840456300999E-2</c:v>
                </c:pt>
                <c:pt idx="6">
                  <c:v>9.3602017591367312E-2</c:v>
                </c:pt>
                <c:pt idx="7">
                  <c:v>8.3590389055129402E-2</c:v>
                </c:pt>
                <c:pt idx="8">
                  <c:v>7.770327536294791E-2</c:v>
                </c:pt>
                <c:pt idx="9">
                  <c:v>6.8728078427018321E-2</c:v>
                </c:pt>
                <c:pt idx="10">
                  <c:v>6.0268269083619166E-2</c:v>
                </c:pt>
                <c:pt idx="11">
                  <c:v>5.0521263452324279E-2</c:v>
                </c:pt>
                <c:pt idx="12">
                  <c:v>4.1109005217488025E-2</c:v>
                </c:pt>
                <c:pt idx="13">
                  <c:v>3.1797171201589522E-2</c:v>
                </c:pt>
                <c:pt idx="14">
                  <c:v>2.6840902148337391E-2</c:v>
                </c:pt>
                <c:pt idx="15">
                  <c:v>2.2470396301051659E-2</c:v>
                </c:pt>
                <c:pt idx="16">
                  <c:v>2.1159244546865939E-2</c:v>
                </c:pt>
                <c:pt idx="17">
                  <c:v>1.4998648757990047E-2</c:v>
                </c:pt>
                <c:pt idx="18">
                  <c:v>1.2429563738499759E-2</c:v>
                </c:pt>
                <c:pt idx="19">
                  <c:v>1.23797445154802E-2</c:v>
                </c:pt>
                <c:pt idx="20">
                  <c:v>1.164389246574681E-2</c:v>
                </c:pt>
                <c:pt idx="21">
                  <c:v>9.2604180023442215E-3</c:v>
                </c:pt>
                <c:pt idx="22">
                  <c:v>6.3826568148408766E-3</c:v>
                </c:pt>
                <c:pt idx="23">
                  <c:v>4.0775158929348297E-3</c:v>
                </c:pt>
                <c:pt idx="24">
                  <c:v>2.6650673335354932E-3</c:v>
                </c:pt>
                <c:pt idx="25">
                  <c:v>1.5204264828881703E-3</c:v>
                </c:pt>
                <c:pt idx="26">
                  <c:v>1.1770342276939732E-3</c:v>
                </c:pt>
                <c:pt idx="27">
                  <c:v>3.5311026830819197E-4</c:v>
                </c:pt>
                <c:pt idx="28">
                  <c:v>1.0593308049245759E-4</c:v>
                </c:pt>
                <c:pt idx="29">
                  <c:v>3.1779924147737274E-5</c:v>
                </c:pt>
                <c:pt idx="30">
                  <c:v>9.5339772443211811E-6</c:v>
                </c:pt>
                <c:pt idx="31">
                  <c:v>2.8601931732963542E-6</c:v>
                </c:pt>
                <c:pt idx="32">
                  <c:v>8.5805795198890623E-7</c:v>
                </c:pt>
                <c:pt idx="33">
                  <c:v>2.5741738559667185E-7</c:v>
                </c:pt>
                <c:pt idx="34">
                  <c:v>7.7225215679001546E-8</c:v>
                </c:pt>
                <c:pt idx="35">
                  <c:v>2.3167564703700467E-8</c:v>
                </c:pt>
                <c:pt idx="36">
                  <c:v>6.9502694111101391E-9</c:v>
                </c:pt>
                <c:pt idx="37">
                  <c:v>2.0850808233330415E-9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78-47E3-BF7B-B84B9C91508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young!$Z$4:$Z$41</c:f>
              <c:numCache>
                <c:formatCode>General</c:formatCode>
                <c:ptCount val="38"/>
                <c:pt idx="0">
                  <c:v>7.295969112446064E-3</c:v>
                </c:pt>
                <c:pt idx="1">
                  <c:v>2.7450881579956114E-2</c:v>
                </c:pt>
                <c:pt idx="2">
                  <c:v>5.1042237170788381E-2</c:v>
                </c:pt>
                <c:pt idx="3">
                  <c:v>7.1117982193140472E-2</c:v>
                </c:pt>
                <c:pt idx="4">
                  <c:v>8.4597743298882394E-2</c:v>
                </c:pt>
                <c:pt idx="5">
                  <c:v>9.1054759391257595E-2</c:v>
                </c:pt>
                <c:pt idx="6">
                  <c:v>9.1468615579058013E-2</c:v>
                </c:pt>
                <c:pt idx="7">
                  <c:v>8.7357902151938102E-2</c:v>
                </c:pt>
                <c:pt idx="8">
                  <c:v>8.0274146432761775E-2</c:v>
                </c:pt>
                <c:pt idx="9">
                  <c:v>7.1553580156827709E-2</c:v>
                </c:pt>
                <c:pt idx="10">
                  <c:v>6.2229063785590059E-2</c:v>
                </c:pt>
                <c:pt idx="11">
                  <c:v>5.3030419371533605E-2</c:v>
                </c:pt>
                <c:pt idx="12">
                  <c:v>4.442649406955345E-2</c:v>
                </c:pt>
                <c:pt idx="13">
                  <c:v>3.6681267711462788E-2</c:v>
                </c:pt>
                <c:pt idx="14">
                  <c:v>2.9909148842758918E-2</c:v>
                </c:pt>
                <c:pt idx="15">
                  <c:v>2.4122607308540784E-2</c:v>
                </c:pt>
                <c:pt idx="16">
                  <c:v>1.9269922458672019E-2</c:v>
                </c:pt>
                <c:pt idx="17">
                  <c:v>1.5263269319455602E-2</c:v>
                </c:pt>
                <c:pt idx="18">
                  <c:v>1.1998475592757048E-2</c:v>
                </c:pt>
                <c:pt idx="19">
                  <c:v>9.368133254915853E-3</c:v>
                </c:pt>
                <c:pt idx="20">
                  <c:v>7.2697029028670384E-3</c:v>
                </c:pt>
                <c:pt idx="21">
                  <c:v>5.610024767881857E-3</c:v>
                </c:pt>
                <c:pt idx="22">
                  <c:v>4.3073704969482712E-3</c:v>
                </c:pt>
                <c:pt idx="23">
                  <c:v>3.2918981753086028E-3</c:v>
                </c:pt>
                <c:pt idx="24">
                  <c:v>2.5051382173504285E-3</c:v>
                </c:pt>
                <c:pt idx="25">
                  <c:v>1.8989485314146353E-3</c:v>
                </c:pt>
                <c:pt idx="26">
                  <c:v>1.4342324150108064E-3</c:v>
                </c:pt>
                <c:pt idx="27">
                  <c:v>1.0796060472532598E-3</c:v>
                </c:pt>
                <c:pt idx="28">
                  <c:v>8.1012688835727271E-4</c:v>
                </c:pt>
                <c:pt idx="29">
                  <c:v>6.0614265395830314E-4</c:v>
                </c:pt>
                <c:pt idx="30">
                  <c:v>4.5228662207398991E-4</c:v>
                </c:pt>
                <c:pt idx="31">
                  <c:v>3.3662383187180563E-4</c:v>
                </c:pt>
                <c:pt idx="32">
                  <c:v>2.4994035674618146E-4</c:v>
                </c:pt>
                <c:pt idx="33">
                  <c:v>1.8516137603634452E-4</c:v>
                </c:pt>
                <c:pt idx="34">
                  <c:v>1.3688112996819099E-4</c:v>
                </c:pt>
                <c:pt idx="35">
                  <c:v>1.0098754626521647E-4</c:v>
                </c:pt>
                <c:pt idx="36">
                  <c:v>7.4365369021758812E-5</c:v>
                </c:pt>
                <c:pt idx="37">
                  <c:v>5.4663337632188214E-5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78-47E3-BF7B-B84B9C915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2996640"/>
        <c:axId val="1112997296"/>
      </c:lineChart>
      <c:catAx>
        <c:axId val="1112996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997296"/>
        <c:crosses val="autoZero"/>
        <c:auto val="1"/>
        <c:lblAlgn val="ctr"/>
        <c:lblOffset val="100"/>
        <c:noMultiLvlLbl val="0"/>
      </c:catAx>
      <c:valAx>
        <c:axId val="111299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99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to death - 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old!$O$3:$O$57</c:f>
              <c:numCache>
                <c:formatCode>General</c:formatCode>
                <c:ptCount val="55"/>
                <c:pt idx="0">
                  <c:v>8.4507042253521084E-2</c:v>
                </c:pt>
                <c:pt idx="1">
                  <c:v>7.9812206572769925E-2</c:v>
                </c:pt>
                <c:pt idx="2">
                  <c:v>8.4507042253521084E-2</c:v>
                </c:pt>
                <c:pt idx="3">
                  <c:v>7.5117370892018753E-2</c:v>
                </c:pt>
                <c:pt idx="4">
                  <c:v>7.0422535211267581E-2</c:v>
                </c:pt>
                <c:pt idx="5">
                  <c:v>5.6338028169014065E-2</c:v>
                </c:pt>
                <c:pt idx="6">
                  <c:v>7.0422535211267581E-2</c:v>
                </c:pt>
                <c:pt idx="7">
                  <c:v>6.5727699530516395E-2</c:v>
                </c:pt>
                <c:pt idx="8">
                  <c:v>5.6338028169014065E-2</c:v>
                </c:pt>
                <c:pt idx="9">
                  <c:v>5.1643192488262886E-2</c:v>
                </c:pt>
                <c:pt idx="10">
                  <c:v>4.2253521126760542E-2</c:v>
                </c:pt>
                <c:pt idx="11">
                  <c:v>3.2863849765258205E-2</c:v>
                </c:pt>
                <c:pt idx="12">
                  <c:v>3.7558685446009377E-2</c:v>
                </c:pt>
                <c:pt idx="13">
                  <c:v>2.8169014084507032E-2</c:v>
                </c:pt>
                <c:pt idx="14">
                  <c:v>2.347417840375586E-2</c:v>
                </c:pt>
                <c:pt idx="15">
                  <c:v>2.347417840375586E-2</c:v>
                </c:pt>
                <c:pt idx="16">
                  <c:v>2.347417840375586E-2</c:v>
                </c:pt>
                <c:pt idx="17">
                  <c:v>1.8779342723004688E-2</c:v>
                </c:pt>
                <c:pt idx="18">
                  <c:v>1.8779342723004688E-2</c:v>
                </c:pt>
                <c:pt idx="19">
                  <c:v>1.4084507042253516E-2</c:v>
                </c:pt>
                <c:pt idx="20">
                  <c:v>1.4084507042253516E-2</c:v>
                </c:pt>
                <c:pt idx="21">
                  <c:v>9.3896713615023442E-3</c:v>
                </c:pt>
                <c:pt idx="22">
                  <c:v>9.3896713615023442E-3</c:v>
                </c:pt>
                <c:pt idx="23">
                  <c:v>4.6948356807511721E-3</c:v>
                </c:pt>
                <c:pt idx="24">
                  <c:v>4.6948356807511721E-3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CD-4F20-A503-D8BD504BBC0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old!$Q$4:$Q$57</c:f>
              <c:numCache>
                <c:formatCode>General</c:formatCode>
                <c:ptCount val="54"/>
                <c:pt idx="0">
                  <c:v>7.7922077922915514E-2</c:v>
                </c:pt>
                <c:pt idx="1">
                  <c:v>7.5757575758390094E-2</c:v>
                </c:pt>
                <c:pt idx="2">
                  <c:v>7.6839826840652811E-2</c:v>
                </c:pt>
                <c:pt idx="3">
                  <c:v>7.3051948052733309E-2</c:v>
                </c:pt>
                <c:pt idx="4">
                  <c:v>6.8993506494248111E-2</c:v>
                </c:pt>
                <c:pt idx="5">
                  <c:v>6.0470779221429231E-2</c:v>
                </c:pt>
                <c:pt idx="6">
                  <c:v>6.2702922078596082E-2</c:v>
                </c:pt>
                <c:pt idx="7">
                  <c:v>6.1654491342654077E-2</c:v>
                </c:pt>
                <c:pt idx="8">
                  <c:v>5.6801271645632215E-2</c:v>
                </c:pt>
                <c:pt idx="9">
                  <c:v>5.221015963259585E-2</c:v>
                </c:pt>
                <c:pt idx="10">
                  <c:v>4.5585599297026803E-2</c:v>
                </c:pt>
                <c:pt idx="11">
                  <c:v>3.794431480019142E-2</c:v>
                </c:pt>
                <c:pt idx="12">
                  <c:v>3.6288174716299158E-2</c:v>
                </c:pt>
                <c:pt idx="13">
                  <c:v>3.1131100345302167E-2</c:v>
                </c:pt>
                <c:pt idx="14">
                  <c:v>2.638806099527824E-2</c:v>
                </c:pt>
                <c:pt idx="15">
                  <c:v>2.4016541320266274E-2</c:v>
                </c:pt>
                <c:pt idx="16">
                  <c:v>2.2830781482760291E-2</c:v>
                </c:pt>
                <c:pt idx="17">
                  <c:v>2.007339939948187E-2</c:v>
                </c:pt>
                <c:pt idx="18">
                  <c:v>1.8694708357842663E-2</c:v>
                </c:pt>
                <c:pt idx="19">
                  <c:v>1.5840860672497625E-2</c:v>
                </c:pt>
                <c:pt idx="20">
                  <c:v>1.4413936829825107E-2</c:v>
                </c:pt>
                <c:pt idx="21">
                  <c:v>1.1535972743963415E-2</c:v>
                </c:pt>
                <c:pt idx="22">
                  <c:v>1.0096990701032571E-2</c:v>
                </c:pt>
                <c:pt idx="23">
                  <c:v>7.2129975150417164E-3</c:v>
                </c:pt>
                <c:pt idx="24">
                  <c:v>5.7710009220462884E-3</c:v>
                </c:pt>
                <c:pt idx="25">
                  <c:v>2.8855004610231442E-3</c:v>
                </c:pt>
                <c:pt idx="26">
                  <c:v>1.4427502305115721E-3</c:v>
                </c:pt>
                <c:pt idx="27">
                  <c:v>7.2137511525578605E-4</c:v>
                </c:pt>
                <c:pt idx="28">
                  <c:v>3.6068755762789302E-4</c:v>
                </c:pt>
                <c:pt idx="29">
                  <c:v>1.8034377881394651E-4</c:v>
                </c:pt>
                <c:pt idx="30">
                  <c:v>9.0171889406973256E-5</c:v>
                </c:pt>
                <c:pt idx="31">
                  <c:v>4.5085944703486628E-5</c:v>
                </c:pt>
                <c:pt idx="32">
                  <c:v>2.2542972351743314E-5</c:v>
                </c:pt>
                <c:pt idx="33">
                  <c:v>1.1271486175871657E-5</c:v>
                </c:pt>
                <c:pt idx="34">
                  <c:v>5.6357430879358285E-6</c:v>
                </c:pt>
                <c:pt idx="35">
                  <c:v>2.8178715439679142E-6</c:v>
                </c:pt>
                <c:pt idx="36">
                  <c:v>1.4089357719839571E-6</c:v>
                </c:pt>
                <c:pt idx="37">
                  <c:v>7.0446788599197856E-7</c:v>
                </c:pt>
                <c:pt idx="38">
                  <c:v>3.5223394299598928E-7</c:v>
                </c:pt>
                <c:pt idx="39">
                  <c:v>1.7611697149799464E-7</c:v>
                </c:pt>
                <c:pt idx="40">
                  <c:v>8.805848574899732E-8</c:v>
                </c:pt>
                <c:pt idx="41">
                  <c:v>4.402924287449866E-8</c:v>
                </c:pt>
                <c:pt idx="42">
                  <c:v>2.201462143724933E-8</c:v>
                </c:pt>
                <c:pt idx="43">
                  <c:v>1.1007310718624665E-8</c:v>
                </c:pt>
                <c:pt idx="44">
                  <c:v>5.5036553593123325E-9</c:v>
                </c:pt>
                <c:pt idx="45">
                  <c:v>2.7518276796561663E-9</c:v>
                </c:pt>
                <c:pt idx="46">
                  <c:v>1.3759138398280831E-9</c:v>
                </c:pt>
                <c:pt idx="47">
                  <c:v>6.8795691991404156E-10</c:v>
                </c:pt>
                <c:pt idx="48">
                  <c:v>3.4397845995702078E-10</c:v>
                </c:pt>
                <c:pt idx="49">
                  <c:v>1.7198922997851039E-10</c:v>
                </c:pt>
                <c:pt idx="50">
                  <c:v>8.5994614989255195E-11</c:v>
                </c:pt>
                <c:pt idx="51">
                  <c:v>4.2997307494627598E-11</c:v>
                </c:pt>
                <c:pt idx="52">
                  <c:v>2.1498653747313799E-11</c:v>
                </c:pt>
                <c:pt idx="53">
                  <c:v>1.0749326873656899E-11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CD-4F20-A503-D8BD504BBC0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old!$R$4:$R$57</c:f>
              <c:numCache>
                <c:formatCode>General</c:formatCode>
                <c:ptCount val="54"/>
                <c:pt idx="0">
                  <c:v>0.10190971421338953</c:v>
                </c:pt>
                <c:pt idx="1">
                  <c:v>9.0907630639022657E-2</c:v>
                </c:pt>
                <c:pt idx="2">
                  <c:v>8.1093322380401414E-2</c:v>
                </c:pt>
                <c:pt idx="3">
                  <c:v>7.2338558253754195E-2</c:v>
                </c:pt>
                <c:pt idx="4">
                  <c:v>6.4528950801705801E-2</c:v>
                </c:pt>
                <c:pt idx="5">
                  <c:v>5.7562461736688907E-2</c:v>
                </c:pt>
                <c:pt idx="6">
                  <c:v>5.1348068735377381E-2</c:v>
                </c:pt>
                <c:pt idx="7">
                  <c:v>4.5804576164825833E-2</c:v>
                </c:pt>
                <c:pt idx="8">
                  <c:v>4.085955420157461E-2</c:v>
                </c:pt>
                <c:pt idx="9">
                  <c:v>3.6448392482527882E-2</c:v>
                </c:pt>
                <c:pt idx="10">
                  <c:v>3.2513455922854859E-2</c:v>
                </c:pt>
                <c:pt idx="11">
                  <c:v>2.9003331671051746E-2</c:v>
                </c:pt>
                <c:pt idx="12">
                  <c:v>2.5872157362076324E-2</c:v>
                </c:pt>
                <c:pt idx="13">
                  <c:v>2.307902189168624E-2</c:v>
                </c:pt>
                <c:pt idx="14">
                  <c:v>2.0587430882655494E-2</c:v>
                </c:pt>
                <c:pt idx="15">
                  <c:v>1.8364829858790413E-2</c:v>
                </c:pt>
                <c:pt idx="16">
                  <c:v>1.638217889666169E-2</c:v>
                </c:pt>
                <c:pt idx="17">
                  <c:v>1.4613573197563179E-2</c:v>
                </c:pt>
                <c:pt idx="18">
                  <c:v>1.3035904622190085E-2</c:v>
                </c:pt>
                <c:pt idx="19">
                  <c:v>1.1628559765737068E-2</c:v>
                </c:pt>
                <c:pt idx="20">
                  <c:v>1.0373150628544634E-2</c:v>
                </c:pt>
                <c:pt idx="21">
                  <c:v>9.2532743633068106E-3</c:v>
                </c:pt>
                <c:pt idx="22">
                  <c:v>8.2542989597601275E-3</c:v>
                </c:pt>
                <c:pt idx="23">
                  <c:v>7.3631720666659821E-3</c:v>
                </c:pt>
                <c:pt idx="24">
                  <c:v>6.5682504532045324E-3</c:v>
                </c:pt>
                <c:pt idx="25">
                  <c:v>5.8591478815673073E-3</c:v>
                </c:pt>
                <c:pt idx="26">
                  <c:v>5.226599403091556E-3</c:v>
                </c:pt>
                <c:pt idx="27">
                  <c:v>4.6623403048652347E-3</c:v>
                </c:pt>
                <c:pt idx="28">
                  <c:v>4.1589981251505675E-3</c:v>
                </c:pt>
                <c:pt idx="29">
                  <c:v>3.7099963267280007E-3</c:v>
                </c:pt>
                <c:pt idx="30">
                  <c:v>3.3094683695816685E-3</c:v>
                </c:pt>
                <c:pt idx="31">
                  <c:v>2.9521810602225252E-3</c:v>
                </c:pt>
                <c:pt idx="32">
                  <c:v>2.6334661761515049E-3</c:v>
                </c:pt>
                <c:pt idx="33">
                  <c:v>2.3491594720857958E-3</c:v>
                </c:pt>
                <c:pt idx="34">
                  <c:v>2.0955462710195547E-3</c:v>
                </c:pt>
                <c:pt idx="35">
                  <c:v>1.8693129292261103E-3</c:v>
                </c:pt>
                <c:pt idx="36">
                  <c:v>1.6675035410560468E-3</c:v>
                </c:pt>
                <c:pt idx="37">
                  <c:v>1.4874813178474093E-3</c:v>
                </c:pt>
                <c:pt idx="38">
                  <c:v>1.3268941363349677E-3</c:v>
                </c:pt>
                <c:pt idx="39">
                  <c:v>1.1836438064230764E-3</c:v>
                </c:pt>
                <c:pt idx="40">
                  <c:v>1.0558586567828727E-3</c:v>
                </c:pt>
                <c:pt idx="41">
                  <c:v>9.4186908008442663E-4</c:v>
                </c:pt>
                <c:pt idx="42">
                  <c:v>8.4018571834422213E-4</c:v>
                </c:pt>
                <c:pt idx="43">
                  <c:v>7.49480003363441E-4</c:v>
                </c:pt>
                <c:pt idx="44">
                  <c:v>6.6856679800349574E-4</c:v>
                </c:pt>
                <c:pt idx="45">
                  <c:v>5.9638891149427307E-4</c:v>
                </c:pt>
                <c:pt idx="46">
                  <c:v>5.3200328645614924E-4</c:v>
                </c:pt>
                <c:pt idx="47">
                  <c:v>4.7456867715901747E-4</c:v>
                </c:pt>
                <c:pt idx="48">
                  <c:v>4.2333465802569468E-4</c:v>
                </c:pt>
                <c:pt idx="49">
                  <c:v>3.7763181876768052E-4</c:v>
                </c:pt>
                <c:pt idx="50">
                  <c:v>3.3686301804547914E-4</c:v>
                </c:pt>
                <c:pt idx="51">
                  <c:v>3.0049558137610163E-4</c:v>
                </c:pt>
                <c:pt idx="52">
                  <c:v>2.6805434134764638E-4</c:v>
                </c:pt>
                <c:pt idx="53">
                  <c:v>2.3911542920622479E-4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65-48DB-A8B1-81662FAB0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21240"/>
        <c:axId val="1113022880"/>
      </c:lineChart>
      <c:catAx>
        <c:axId val="1113021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22880"/>
        <c:crosses val="autoZero"/>
        <c:auto val="1"/>
        <c:lblAlgn val="ctr"/>
        <c:lblOffset val="100"/>
        <c:noMultiLvlLbl val="0"/>
      </c:catAx>
      <c:valAx>
        <c:axId val="111302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21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old!$T$3:$T$57</c:f>
              <c:numCache>
                <c:formatCode>General</c:formatCode>
                <c:ptCount val="55"/>
                <c:pt idx="0">
                  <c:v>0</c:v>
                </c:pt>
                <c:pt idx="1">
                  <c:v>1.2820512820512818E-2</c:v>
                </c:pt>
                <c:pt idx="2">
                  <c:v>3.5897435897435888E-2</c:v>
                </c:pt>
                <c:pt idx="3">
                  <c:v>4.1025641025641019E-2</c:v>
                </c:pt>
                <c:pt idx="4">
                  <c:v>5.6410256410256397E-2</c:v>
                </c:pt>
                <c:pt idx="5">
                  <c:v>6.1538461538461528E-2</c:v>
                </c:pt>
                <c:pt idx="6">
                  <c:v>5.1282051282051246E-2</c:v>
                </c:pt>
                <c:pt idx="7">
                  <c:v>5.2564102564102565E-2</c:v>
                </c:pt>
                <c:pt idx="8">
                  <c:v>7.0512820512820498E-2</c:v>
                </c:pt>
                <c:pt idx="9">
                  <c:v>7.0512820512820498E-2</c:v>
                </c:pt>
                <c:pt idx="10">
                  <c:v>5.1282051282051322E-2</c:v>
                </c:pt>
                <c:pt idx="11">
                  <c:v>6.4102564102564083E-2</c:v>
                </c:pt>
                <c:pt idx="12">
                  <c:v>5.7692307692307661E-2</c:v>
                </c:pt>
                <c:pt idx="13">
                  <c:v>4.7435897435897469E-2</c:v>
                </c:pt>
                <c:pt idx="14">
                  <c:v>4.2307692307692303E-2</c:v>
                </c:pt>
                <c:pt idx="15">
                  <c:v>5.1282051282051273E-2</c:v>
                </c:pt>
                <c:pt idx="16">
                  <c:v>3.9743589743589769E-2</c:v>
                </c:pt>
                <c:pt idx="17">
                  <c:v>1.9230769230769246E-2</c:v>
                </c:pt>
                <c:pt idx="18">
                  <c:v>2.3076923076923092E-2</c:v>
                </c:pt>
                <c:pt idx="19">
                  <c:v>2.1794871794871811E-2</c:v>
                </c:pt>
                <c:pt idx="20">
                  <c:v>2.0512820512820384E-2</c:v>
                </c:pt>
                <c:pt idx="21">
                  <c:v>1.0256410256410263E-2</c:v>
                </c:pt>
                <c:pt idx="22">
                  <c:v>8.9743589743589806E-3</c:v>
                </c:pt>
                <c:pt idx="23">
                  <c:v>1.6666666666666677E-2</c:v>
                </c:pt>
                <c:pt idx="24">
                  <c:v>1.1538461538461536E-2</c:v>
                </c:pt>
                <c:pt idx="25">
                  <c:v>1.0256410256410255E-2</c:v>
                </c:pt>
                <c:pt idx="26">
                  <c:v>8.9743589743589806E-3</c:v>
                </c:pt>
                <c:pt idx="27">
                  <c:v>6.4102564102564092E-3</c:v>
                </c:pt>
                <c:pt idx="28">
                  <c:v>3.846153846153849E-3</c:v>
                </c:pt>
                <c:pt idx="29">
                  <c:v>7.6923076923076979E-3</c:v>
                </c:pt>
                <c:pt idx="30">
                  <c:v>6.4102564102564092E-3</c:v>
                </c:pt>
                <c:pt idx="31">
                  <c:v>3.846153846153849E-3</c:v>
                </c:pt>
                <c:pt idx="32">
                  <c:v>3.8461538461538455E-3</c:v>
                </c:pt>
                <c:pt idx="33">
                  <c:v>5.1282051282051273E-3</c:v>
                </c:pt>
                <c:pt idx="34">
                  <c:v>2.5641025641025637E-3</c:v>
                </c:pt>
                <c:pt idx="35">
                  <c:v>1.2820512820512818E-3</c:v>
                </c:pt>
                <c:pt idx="36">
                  <c:v>1.2820512820512818E-3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E-47BD-9146-92A3BAFA267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old!$V$4:$V$57</c:f>
              <c:numCache>
                <c:formatCode>General</c:formatCode>
                <c:ptCount val="54"/>
                <c:pt idx="0">
                  <c:v>0</c:v>
                </c:pt>
                <c:pt idx="1">
                  <c:v>6.4102565025348944E-3</c:v>
                </c:pt>
                <c:pt idx="2">
                  <c:v>2.1153846458365148E-2</c:v>
                </c:pt>
                <c:pt idx="3">
                  <c:v>3.108974403729424E-2</c:v>
                </c:pt>
                <c:pt idx="4">
                  <c:v>4.375000062980066E-2</c:v>
                </c:pt>
                <c:pt idx="5">
                  <c:v>5.2644231527067827E-2</c:v>
                </c:pt>
                <c:pt idx="6">
                  <c:v>5.1963141773673477E-2</c:v>
                </c:pt>
                <c:pt idx="7">
                  <c:v>5.2263622547229813E-2</c:v>
                </c:pt>
                <c:pt idx="8">
                  <c:v>6.1388222037556825E-2</c:v>
                </c:pt>
                <c:pt idx="9">
                  <c:v>6.5950521782720331E-2</c:v>
                </c:pt>
                <c:pt idx="10">
                  <c:v>5.861628690149976E-2</c:v>
                </c:pt>
                <c:pt idx="11">
                  <c:v>6.1359425963424349E-2</c:v>
                </c:pt>
                <c:pt idx="12">
                  <c:v>5.9525867243119188E-2</c:v>
                </c:pt>
                <c:pt idx="13">
                  <c:v>5.3480882680938729E-2</c:v>
                </c:pt>
                <c:pt idx="14">
                  <c:v>4.789428779883452E-2</c:v>
                </c:pt>
                <c:pt idx="15">
                  <c:v>4.9588169909556841E-2</c:v>
                </c:pt>
                <c:pt idx="16">
                  <c:v>4.4665880112636613E-2</c:v>
                </c:pt>
                <c:pt idx="17">
                  <c:v>3.1948324810120658E-2</c:v>
                </c:pt>
                <c:pt idx="18">
                  <c:v>2.751262410962315E-2</c:v>
                </c:pt>
                <c:pt idx="19">
                  <c:v>2.4653748109120903E-2</c:v>
                </c:pt>
                <c:pt idx="20">
                  <c:v>2.258328445861622E-2</c:v>
                </c:pt>
                <c:pt idx="21">
                  <c:v>1.6419847431336031E-2</c:v>
                </c:pt>
                <c:pt idx="22">
                  <c:v>1.2697103267442446E-2</c:v>
                </c:pt>
                <c:pt idx="23">
                  <c:v>1.4681885087016594E-2</c:v>
                </c:pt>
                <c:pt idx="24">
                  <c:v>1.3110173395789701E-2</c:v>
                </c:pt>
                <c:pt idx="25">
                  <c:v>1.1683291899922767E-2</c:v>
                </c:pt>
                <c:pt idx="26">
                  <c:v>1.0328825501735812E-2</c:v>
                </c:pt>
                <c:pt idx="27">
                  <c:v>8.3695410021353538E-3</c:v>
                </c:pt>
                <c:pt idx="28">
                  <c:v>6.1078474518281474E-3</c:v>
                </c:pt>
                <c:pt idx="29">
                  <c:v>6.9000776274350138E-3</c:v>
                </c:pt>
                <c:pt idx="30">
                  <c:v>6.6551670649849541E-3</c:v>
                </c:pt>
                <c:pt idx="31">
                  <c:v>5.2506604832529471E-3</c:v>
                </c:pt>
                <c:pt idx="32">
                  <c:v>4.5484071923869423E-3</c:v>
                </c:pt>
                <c:pt idx="33">
                  <c:v>4.8383061972074289E-3</c:v>
                </c:pt>
                <c:pt idx="34">
                  <c:v>3.7012043991106933E-3</c:v>
                </c:pt>
                <c:pt idx="35">
                  <c:v>2.4916278498088363E-3</c:v>
                </c:pt>
                <c:pt idx="36">
                  <c:v>1.8868395751579076E-3</c:v>
                </c:pt>
                <c:pt idx="37">
                  <c:v>9.434197875789538E-4</c:v>
                </c:pt>
                <c:pt idx="38">
                  <c:v>4.717098937894769E-4</c:v>
                </c:pt>
                <c:pt idx="39">
                  <c:v>2.3585494689473845E-4</c:v>
                </c:pt>
                <c:pt idx="40">
                  <c:v>1.1792747344736922E-4</c:v>
                </c:pt>
                <c:pt idx="41">
                  <c:v>5.8963736723684612E-5</c:v>
                </c:pt>
                <c:pt idx="42">
                  <c:v>2.9481868361842306E-5</c:v>
                </c:pt>
                <c:pt idx="43">
                  <c:v>1.4740934180921153E-5</c:v>
                </c:pt>
                <c:pt idx="44">
                  <c:v>7.3704670904605765E-6</c:v>
                </c:pt>
                <c:pt idx="45">
                  <c:v>3.6852335452302883E-6</c:v>
                </c:pt>
                <c:pt idx="46">
                  <c:v>1.8426167726151441E-6</c:v>
                </c:pt>
                <c:pt idx="47">
                  <c:v>9.2130838630757207E-7</c:v>
                </c:pt>
                <c:pt idx="48">
                  <c:v>4.6065419315378603E-7</c:v>
                </c:pt>
                <c:pt idx="49">
                  <c:v>2.3032709657689302E-7</c:v>
                </c:pt>
                <c:pt idx="50">
                  <c:v>1.1516354828844651E-7</c:v>
                </c:pt>
                <c:pt idx="51">
                  <c:v>5.7581774144223254E-8</c:v>
                </c:pt>
                <c:pt idx="52">
                  <c:v>2.8790887072111627E-8</c:v>
                </c:pt>
                <c:pt idx="53">
                  <c:v>1.4395443536055814E-8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9E-47BD-9146-92A3BAFA267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old!$W$4:$W$57</c:f>
              <c:numCache>
                <c:formatCode>General</c:formatCode>
                <c:ptCount val="54"/>
                <c:pt idx="0">
                  <c:v>1.3263549077736014E-3</c:v>
                </c:pt>
                <c:pt idx="1">
                  <c:v>5.0240556932217096E-3</c:v>
                </c:pt>
                <c:pt idx="2">
                  <c:v>1.1672561565225082E-2</c:v>
                </c:pt>
                <c:pt idx="3">
                  <c:v>2.0747162020006666E-2</c:v>
                </c:pt>
                <c:pt idx="4">
                  <c:v>3.1129836582298519E-2</c:v>
                </c:pt>
                <c:pt idx="5">
                  <c:v>4.1554875842604991E-2</c:v>
                </c:pt>
                <c:pt idx="6">
                  <c:v>5.0921893033842938E-2</c:v>
                </c:pt>
                <c:pt idx="7">
                  <c:v>5.8452552374256922E-2</c:v>
                </c:pt>
                <c:pt idx="8">
                  <c:v>6.3725468466626509E-2</c:v>
                </c:pt>
                <c:pt idx="9">
                  <c:v>6.6635958870419371E-2</c:v>
                </c:pt>
                <c:pt idx="10">
                  <c:v>6.7320471714343258E-2</c:v>
                </c:pt>
                <c:pt idx="11">
                  <c:v>6.6073279410671509E-2</c:v>
                </c:pt>
                <c:pt idx="12">
                  <c:v>6.3271520301686104E-2</c:v>
                </c:pt>
                <c:pt idx="13">
                  <c:v>5.9315967449638164E-2</c:v>
                </c:pt>
                <c:pt idx="14">
                  <c:v>5.4589207866391487E-2</c:v>
                </c:pt>
                <c:pt idx="15">
                  <c:v>4.9429686878060909E-2</c:v>
                </c:pt>
                <c:pt idx="16">
                  <c:v>4.411859800837329E-2</c:v>
                </c:pt>
                <c:pt idx="17">
                  <c:v>3.8876237095582716E-2</c:v>
                </c:pt>
                <c:pt idx="18">
                  <c:v>3.3864699904820335E-2</c:v>
                </c:pt>
                <c:pt idx="19">
                  <c:v>2.9194348891569848E-2</c:v>
                </c:pt>
                <c:pt idx="20">
                  <c:v>2.4932097543893247E-2</c:v>
                </c:pt>
                <c:pt idx="21">
                  <c:v>2.111014336193091E-2</c:v>
                </c:pt>
                <c:pt idx="22">
                  <c:v>1.7734268830336172E-2</c:v>
                </c:pt>
                <c:pt idx="23">
                  <c:v>1.4791207910647239E-2</c:v>
                </c:pt>
                <c:pt idx="24">
                  <c:v>1.225484918818521E-2</c:v>
                </c:pt>
                <c:pt idx="25">
                  <c:v>1.0091231504551825E-2</c:v>
                </c:pt>
                <c:pt idx="26">
                  <c:v>8.262402536570566E-3</c:v>
                </c:pt>
                <c:pt idx="27">
                  <c:v>6.7292735344292118E-3</c:v>
                </c:pt>
                <c:pt idx="28">
                  <c:v>5.4536299887266949E-3</c:v>
                </c:pt>
                <c:pt idx="29">
                  <c:v>4.3994609043124487E-3</c:v>
                </c:pt>
                <c:pt idx="30">
                  <c:v>3.5337580805223966E-3</c:v>
                </c:pt>
                <c:pt idx="31">
                  <c:v>2.826918098662091E-3</c:v>
                </c:pt>
                <c:pt idx="32">
                  <c:v>2.2528581777013453E-3</c:v>
                </c:pt>
                <c:pt idx="33">
                  <c:v>1.7889355824576882E-3</c:v>
                </c:pt>
                <c:pt idx="34">
                  <c:v>1.4157405381865714E-3</c:v>
                </c:pt>
                <c:pt idx="35">
                  <c:v>1.1168154561835243E-3</c:v>
                </c:pt>
                <c:pt idx="36">
                  <c:v>8.7833898254502103E-4</c:v>
                </c:pt>
                <c:pt idx="37">
                  <c:v>6.8880187801871183E-4</c:v>
                </c:pt>
                <c:pt idx="38">
                  <c:v>5.3869275996572361E-4</c:v>
                </c:pt>
                <c:pt idx="39">
                  <c:v>4.2020493764240749E-4</c:v>
                </c:pt>
                <c:pt idx="40">
                  <c:v>3.2697057597093229E-4</c:v>
                </c:pt>
                <c:pt idx="41">
                  <c:v>2.5382487389747385E-4</c:v>
                </c:pt>
                <c:pt idx="42">
                  <c:v>1.9660052223226392E-4</c:v>
                </c:pt>
                <c:pt idx="43">
                  <c:v>1.5195114015640156E-4</c:v>
                </c:pt>
                <c:pt idx="44">
                  <c:v>1.172014551161123E-4</c:v>
                </c:pt>
                <c:pt idx="45">
                  <c:v>9.0221508440181845E-5</c:v>
                </c:pt>
                <c:pt idx="46">
                  <c:v>6.9321999339497434E-5</c:v>
                </c:pt>
                <c:pt idx="47">
                  <c:v>5.3167917265449917E-5</c:v>
                </c:pt>
                <c:pt idx="48">
                  <c:v>4.0707778735111994E-5</c:v>
                </c:pt>
                <c:pt idx="49">
                  <c:v>3.1116023394627088E-5</c:v>
                </c:pt>
                <c:pt idx="50">
                  <c:v>2.3746395998179498E-5</c:v>
                </c:pt>
                <c:pt idx="51">
                  <c:v>1.8094419714434381E-5</c:v>
                </c:pt>
                <c:pt idx="52">
                  <c:v>1.3767334853359659E-5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9E-47BD-9146-92A3BAFA2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47808"/>
        <c:axId val="1113049120"/>
      </c:lineChart>
      <c:catAx>
        <c:axId val="111304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9120"/>
        <c:crosses val="autoZero"/>
        <c:auto val="1"/>
        <c:lblAlgn val="ctr"/>
        <c:lblOffset val="100"/>
        <c:noMultiLvlLbl val="0"/>
      </c:catAx>
      <c:valAx>
        <c:axId val="11130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hospital admission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admission!$Q$3:$Q$33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admission!$S$3:$S$33</c:f>
              <c:numCache>
                <c:formatCode>General</c:formatCode>
                <c:ptCount val="31"/>
                <c:pt idx="0">
                  <c:v>0.41379310344827586</c:v>
                </c:pt>
                <c:pt idx="1">
                  <c:v>0.15948275862068972</c:v>
                </c:pt>
                <c:pt idx="2">
                  <c:v>7.3275862068965483E-2</c:v>
                </c:pt>
                <c:pt idx="3">
                  <c:v>5.1724137931034531E-2</c:v>
                </c:pt>
                <c:pt idx="4">
                  <c:v>5.1724137931034433E-2</c:v>
                </c:pt>
                <c:pt idx="5">
                  <c:v>5.1724137931034531E-2</c:v>
                </c:pt>
                <c:pt idx="6">
                  <c:v>4.3103448275862016E-2</c:v>
                </c:pt>
                <c:pt idx="7">
                  <c:v>3.4482758620689689E-2</c:v>
                </c:pt>
                <c:pt idx="8">
                  <c:v>2.5862068965517265E-2</c:v>
                </c:pt>
                <c:pt idx="9">
                  <c:v>2.1551724137930963E-2</c:v>
                </c:pt>
                <c:pt idx="10">
                  <c:v>1.7241379310344845E-2</c:v>
                </c:pt>
                <c:pt idx="11">
                  <c:v>1.2931034482758621E-2</c:v>
                </c:pt>
                <c:pt idx="12">
                  <c:v>1.0775862068965518E-2</c:v>
                </c:pt>
                <c:pt idx="13">
                  <c:v>8.6206896551724154E-3</c:v>
                </c:pt>
                <c:pt idx="14">
                  <c:v>8.6206896551724154E-3</c:v>
                </c:pt>
                <c:pt idx="15">
                  <c:v>6.4655172413793103E-3</c:v>
                </c:pt>
                <c:pt idx="16">
                  <c:v>4.3103448275861149E-3</c:v>
                </c:pt>
                <c:pt idx="17">
                  <c:v>2.1551724137931039E-3</c:v>
                </c:pt>
                <c:pt idx="18">
                  <c:v>2.1551724137931039E-3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49-4314-BCEE-B6AD8D944DB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admission!$Q$3:$Q$33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admission!$U$4:$U$33</c:f>
              <c:numCache>
                <c:formatCode>General</c:formatCode>
                <c:ptCount val="30"/>
                <c:pt idx="0">
                  <c:v>0.3383947975961008</c:v>
                </c:pt>
                <c:pt idx="1">
                  <c:v>0.20321312584807513</c:v>
                </c:pt>
                <c:pt idx="2">
                  <c:v>0.11007524522846079</c:v>
                </c:pt>
                <c:pt idx="3">
                  <c:v>6.6020913134644491E-2</c:v>
                </c:pt>
                <c:pt idx="4">
                  <c:v>5.0601896901808739E-2</c:v>
                </c:pt>
                <c:pt idx="5">
                  <c:v>4.5205241220316272E-2</c:v>
                </c:pt>
                <c:pt idx="6">
                  <c:v>3.8733982181013323E-2</c:v>
                </c:pt>
                <c:pt idx="7">
                  <c:v>3.1886611966476804E-2</c:v>
                </c:pt>
                <c:pt idx="8">
                  <c:v>2.490760284060849E-2</c:v>
                </c:pt>
                <c:pt idx="9">
                  <c:v>2.0173734871164264E-2</c:v>
                </c:pt>
                <c:pt idx="10">
                  <c:v>1.6225666306468562E-2</c:v>
                </c:pt>
                <c:pt idx="11">
                  <c:v>1.2552627533434795E-2</c:v>
                </c:pt>
                <c:pt idx="12">
                  <c:v>1.0121456575177844E-2</c:v>
                </c:pt>
                <c:pt idx="13">
                  <c:v>8.124939352092778E-3</c:v>
                </c:pt>
                <c:pt idx="14">
                  <c:v>7.4261583240130052E-3</c:v>
                </c:pt>
                <c:pt idx="15">
                  <c:v>6.0359775764899501E-3</c:v>
                </c:pt>
                <c:pt idx="16">
                  <c:v>4.4038069271616995E-3</c:v>
                </c:pt>
                <c:pt idx="17">
                  <c:v>2.6869398122017279E-3</c:v>
                </c:pt>
                <c:pt idx="18">
                  <c:v>2.0860363219657378E-3</c:v>
                </c:pt>
                <c:pt idx="19">
                  <c:v>7.3011271268800821E-4</c:v>
                </c:pt>
                <c:pt idx="20">
                  <c:v>2.5553944944080282E-4</c:v>
                </c:pt>
                <c:pt idx="21">
                  <c:v>8.9438807304280981E-5</c:v>
                </c:pt>
                <c:pt idx="22">
                  <c:v>3.1303582556498343E-5</c:v>
                </c:pt>
                <c:pt idx="23">
                  <c:v>1.0956253894774418E-5</c:v>
                </c:pt>
                <c:pt idx="24">
                  <c:v>3.8346888631710463E-6</c:v>
                </c:pt>
                <c:pt idx="25">
                  <c:v>1.3421411021098659E-6</c:v>
                </c:pt>
                <c:pt idx="26">
                  <c:v>4.6974938573845304E-7</c:v>
                </c:pt>
                <c:pt idx="27">
                  <c:v>1.6441228500845856E-7</c:v>
                </c:pt>
                <c:pt idx="28">
                  <c:v>5.754429975296049E-8</c:v>
                </c:pt>
                <c:pt idx="29">
                  <c:v>2.014050491353617E-8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49-4314-BCEE-B6AD8D944DB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admission!$Q$3:$Q$33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admission!$U$4</c:f>
              <c:numCache>
                <c:formatCode>General</c:formatCode>
                <c:ptCount val="1"/>
                <c:pt idx="0">
                  <c:v>0.3383947975961008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49-4314-BCEE-B6AD8D944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866408"/>
        <c:axId val="528860176"/>
      </c:lineChart>
      <c:catAx>
        <c:axId val="528866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60176"/>
        <c:crosses val="autoZero"/>
        <c:auto val="1"/>
        <c:lblAlgn val="ctr"/>
        <c:lblOffset val="100"/>
        <c:noMultiLvlLbl val="0"/>
      </c:catAx>
      <c:valAx>
        <c:axId val="52886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66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hospital admission - 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admission!$Q$3:$Q$33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admission!$W$3:$W$33</c:f>
              <c:numCache>
                <c:formatCode>General</c:formatCode>
                <c:ptCount val="31"/>
                <c:pt idx="0">
                  <c:v>0.52856246076585056</c:v>
                </c:pt>
                <c:pt idx="1">
                  <c:v>0.18298807281858134</c:v>
                </c:pt>
                <c:pt idx="2">
                  <c:v>4.9278091650972904E-2</c:v>
                </c:pt>
                <c:pt idx="3">
                  <c:v>4.3628374136848731E-2</c:v>
                </c:pt>
                <c:pt idx="4">
                  <c:v>3.4839924670433127E-2</c:v>
                </c:pt>
                <c:pt idx="5">
                  <c:v>3.0759573132454504E-2</c:v>
                </c:pt>
                <c:pt idx="6">
                  <c:v>2.2912743251726316E-2</c:v>
                </c:pt>
                <c:pt idx="7">
                  <c:v>2.0715630885122415E-2</c:v>
                </c:pt>
                <c:pt idx="8">
                  <c:v>1.6321406151914613E-2</c:v>
                </c:pt>
                <c:pt idx="9">
                  <c:v>1.2554927809165162E-2</c:v>
                </c:pt>
                <c:pt idx="10">
                  <c:v>1.5693659761456372E-2</c:v>
                </c:pt>
                <c:pt idx="11">
                  <c:v>8.4745762711864285E-3</c:v>
                </c:pt>
                <c:pt idx="12">
                  <c:v>5.6497175141242851E-3</c:v>
                </c:pt>
                <c:pt idx="13">
                  <c:v>6.5913370998117032E-3</c:v>
                </c:pt>
                <c:pt idx="14">
                  <c:v>5.6497175141242851E-3</c:v>
                </c:pt>
                <c:pt idx="15">
                  <c:v>3.4526051475203836E-3</c:v>
                </c:pt>
                <c:pt idx="16">
                  <c:v>1.8832391713747246E-3</c:v>
                </c:pt>
                <c:pt idx="17">
                  <c:v>3.7664783427495603E-3</c:v>
                </c:pt>
                <c:pt idx="18">
                  <c:v>1.8832391713747246E-3</c:v>
                </c:pt>
                <c:pt idx="19">
                  <c:v>3.1387319522913188E-3</c:v>
                </c:pt>
                <c:pt idx="20">
                  <c:v>1.2554927809165098E-3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6E-4921-A0C5-B011025A0DF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admission!$Q$3:$Q$33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admission!$X$4:$X$33</c:f>
              <c:numCache>
                <c:formatCode>General</c:formatCode>
                <c:ptCount val="30"/>
                <c:pt idx="0">
                  <c:v>0.52856246076585056</c:v>
                </c:pt>
                <c:pt idx="1">
                  <c:v>0.30393910860012557</c:v>
                </c:pt>
                <c:pt idx="2">
                  <c:v>0.13840944758317633</c:v>
                </c:pt>
                <c:pt idx="3">
                  <c:v>7.6801749843063399E-2</c:v>
                </c:pt>
                <c:pt idx="4">
                  <c:v>4.9526563480853728E-2</c:v>
                </c:pt>
                <c:pt idx="5">
                  <c:v>3.7328019754394232E-2</c:v>
                </c:pt>
                <c:pt idx="6">
                  <c:v>2.7958090027660087E-2</c:v>
                </c:pt>
                <c:pt idx="7">
                  <c:v>2.3250491585010601E-2</c:v>
                </c:pt>
                <c:pt idx="8">
                  <c:v>1.8746586053498208E-2</c:v>
                </c:pt>
                <c:pt idx="9">
                  <c:v>1.4722008194681727E-2</c:v>
                </c:pt>
                <c:pt idx="10">
                  <c:v>1.5353581713085245E-2</c:v>
                </c:pt>
                <c:pt idx="11">
                  <c:v>1.0882228175851015E-2</c:v>
                </c:pt>
                <c:pt idx="12">
                  <c:v>7.4810962457286401E-3</c:v>
                </c:pt>
                <c:pt idx="13">
                  <c:v>6.9027528008826309E-3</c:v>
                </c:pt>
                <c:pt idx="14">
                  <c:v>6.0882798644897058E-3</c:v>
                </c:pt>
                <c:pt idx="15">
                  <c:v>4.3750912984596461E-3</c:v>
                </c:pt>
                <c:pt idx="16">
                  <c:v>2.755387415854447E-3</c:v>
                </c:pt>
                <c:pt idx="17">
                  <c:v>3.412596518336271E-3</c:v>
                </c:pt>
                <c:pt idx="18">
                  <c:v>2.418514242811266E-3</c:v>
                </c:pt>
                <c:pt idx="19">
                  <c:v>2.8866557539733006E-3</c:v>
                </c:pt>
                <c:pt idx="20">
                  <c:v>1.8263998214863865E-3</c:v>
                </c:pt>
                <c:pt idx="21">
                  <c:v>6.3923993752023527E-4</c:v>
                </c:pt>
                <c:pt idx="22">
                  <c:v>2.2373397813208232E-4</c:v>
                </c:pt>
                <c:pt idx="23">
                  <c:v>7.8306892346228802E-5</c:v>
                </c:pt>
                <c:pt idx="24">
                  <c:v>2.7407412321180078E-5</c:v>
                </c:pt>
                <c:pt idx="25">
                  <c:v>9.5925943124130259E-6</c:v>
                </c:pt>
                <c:pt idx="26">
                  <c:v>3.357408009344559E-6</c:v>
                </c:pt>
                <c:pt idx="27">
                  <c:v>1.1750928032705955E-6</c:v>
                </c:pt>
                <c:pt idx="28">
                  <c:v>4.1128248114470839E-7</c:v>
                </c:pt>
                <c:pt idx="29">
                  <c:v>1.4394886840064792E-7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6E-4921-A0C5-B011025A0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43872"/>
        <c:axId val="1113044200"/>
      </c:lineChart>
      <c:catAx>
        <c:axId val="111304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4200"/>
        <c:crosses val="autoZero"/>
        <c:auto val="1"/>
        <c:lblAlgn val="ctr"/>
        <c:lblOffset val="100"/>
        <c:noMultiLvlLbl val="0"/>
      </c:catAx>
      <c:valAx>
        <c:axId val="111304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259080</xdr:colOff>
      <xdr:row>15</xdr:row>
      <xdr:rowOff>102870</xdr:rowOff>
    </xdr:from>
    <xdr:to>
      <xdr:col>13</xdr:col>
      <xdr:colOff>274320</xdr:colOff>
      <xdr:row>30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74EFF7-C566-4DE7-8B2C-3B02B6861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152400</xdr:colOff>
      <xdr:row>30</xdr:row>
      <xdr:rowOff>110490</xdr:rowOff>
    </xdr:from>
    <xdr:to>
      <xdr:col>13</xdr:col>
      <xdr:colOff>167640</xdr:colOff>
      <xdr:row>45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A6C037-18D7-4701-ADB5-B0F6E743F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236220</xdr:colOff>
      <xdr:row>23</xdr:row>
      <xdr:rowOff>87630</xdr:rowOff>
    </xdr:from>
    <xdr:to>
      <xdr:col>11</xdr:col>
      <xdr:colOff>99060</xdr:colOff>
      <xdr:row>38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9B417F-C152-4E49-8EC1-93C660B59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182880</xdr:colOff>
      <xdr:row>13</xdr:row>
      <xdr:rowOff>3810</xdr:rowOff>
    </xdr:from>
    <xdr:to>
      <xdr:col>11</xdr:col>
      <xdr:colOff>45720</xdr:colOff>
      <xdr:row>28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A0E2D4-9A7F-4F57-9831-C1A6DCCEA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1339</xdr:colOff>
      <xdr:row>32</xdr:row>
      <xdr:rowOff>131091</xdr:rowOff>
    </xdr:from>
    <xdr:to>
      <xdr:col>15</xdr:col>
      <xdr:colOff>307814</xdr:colOff>
      <xdr:row>47</xdr:row>
      <xdr:rowOff>131091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C5DF8D-F05F-4042-8DD8-412FB9CEA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14</xdr:row>
      <xdr:rowOff>41910</xdr:rowOff>
    </xdr:from>
    <xdr:to>
      <xdr:col>15</xdr:col>
      <xdr:colOff>228600</xdr:colOff>
      <xdr:row>29</xdr:row>
      <xdr:rowOff>41910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06AFAD-9906-4933-879C-80286CA5A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corona/SEIR_2_wave/data/calibration/hospital_admi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hospital_admission"/>
    </sheetNames>
    <sheetDataSet>
      <sheetData sheetId="0"/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66A687-6236-4DC0-B64A-54E934BCE32E}" autoFormatId="16" applyNumberFormats="0" applyBorderFormats="0" applyFontFormats="0" applyPatternFormats="0" applyAlignmentFormats="0" applyWidthHeightFormats="0">
  <queryTableRefresh nextId="15" unboundColumnsRight="1">
    <queryTableFields count="5">
      <queryTableField id="1" name="day" tableColumnId="1"/>
      <queryTableField id="2" name="P_y_rec" tableColumnId="2"/>
      <queryTableField id="3" name="P_y_death" tableColumnId="3"/>
      <queryTableField id="4" name="P_y_cont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1F0264-CECE-4A65-9948-7861D81A3DE6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1" name="day" tableColumnId="1"/>
      <queryTableField id="2" name="P_o_rec" tableColumnId="2"/>
      <queryTableField id="3" name="P_o_death" tableColumnId="3"/>
      <queryTableField id="4" name="P_o_cont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258385-BF72-4689-935F-636805C905E9}" autoFormatId="16" applyNumberFormats="0" applyBorderFormats="0" applyFontFormats="0" applyPatternFormats="0" applyAlignmentFormats="0" applyWidthHeightFormats="0">
  <queryTableRefresh nextId="17" unboundColumnsRight="2">
    <queryTableFields count="9">
      <queryTableField id="1" name="day" tableColumnId="1"/>
      <queryTableField id="2" name="P_y" tableColumnId="2"/>
      <queryTableField id="3" name="P_y_low" tableColumnId="3"/>
      <queryTableField id="4" name="P_y_up" tableColumnId="4"/>
      <queryTableField id="5" name="P_o" tableColumnId="5"/>
      <queryTableField id="6" name="P_o_low" tableColumnId="6"/>
      <queryTableField id="7" name="'P_o_up&quot;" tableColumnId="7"/>
      <queryTableField id="13" dataBound="0" tableColumnId="13"/>
      <queryTableField id="16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CF4ED-703A-4A9D-98D1-FDE57F382223}" name="P_smrt_vyliecenie_hosp_Y" displayName="P_smrt_vyliecenie_hosp_Y" ref="A1:E42" tableType="queryTable" totalsRowCount="1">
  <autoFilter ref="A1:E41" xr:uid="{1284F2EF-7F58-419E-AFA0-2D5A4BD2C07F}"/>
  <tableColumns count="5">
    <tableColumn id="1" xr3:uid="{2FA6D343-B320-4CA2-9F75-D1E088B8A589}" uniqueName="1" name="day" queryTableFieldId="1"/>
    <tableColumn id="2" xr3:uid="{EF8F45F1-66C8-4E98-80CD-6DE6CBD4745A}" uniqueName="2" name="P_rec" totalsRowFunction="custom" queryTableFieldId="2">
      <totalsRowFormula>SUMPRODUCT(P_smrt_vyliecenie_hosp_Y[P_rec],P_smrt_vyliecenie_hosp_Y[P_cont_cum])</totalsRowFormula>
    </tableColumn>
    <tableColumn id="3" xr3:uid="{62224779-418F-4A94-A271-503C8F9372A7}" uniqueName="3" name="P_death" totalsRowFunction="custom" queryTableFieldId="3" totalsRowDxfId="2">
      <totalsRowFormula>SUMPRODUCT(P_smrt_vyliecenie_hosp_Y[P_death],P_smrt_vyliecenie_hosp_Y[P_cont_cum])</totalsRowFormula>
    </tableColumn>
    <tableColumn id="4" xr3:uid="{D0DFCFF0-BA19-4278-A707-7FA8EFCD806D}" uniqueName="4" name="P_cont" queryTableFieldId="4"/>
    <tableColumn id="5" xr3:uid="{D5937E83-DDB3-493B-8881-804F0E20F7DC}" uniqueName="5" name="P_cont_cum" queryTableFieldId="5" dataDxfId="1" totalsRowDxfId="0">
      <calculatedColumnFormula>P_smrt_vyliecenie_hosp_Y[[#This Row],[P_rec]]-B1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1D527-17A3-499A-84B3-0E047BAC1C9C}" name="P_smrt_vyliecenie_hosp_O" displayName="P_smrt_vyliecenie_hosp_O" ref="A1:E58" tableType="queryTable" totalsRowCount="1">
  <autoFilter ref="A1:E57" xr:uid="{4DF7C20E-8217-4C6B-9B9A-5E6283F7B853}"/>
  <tableColumns count="5">
    <tableColumn id="1" xr3:uid="{FC0EF8F6-D5AD-4718-9521-B2A339360A8B}" uniqueName="1" name="day" queryTableFieldId="1"/>
    <tableColumn id="2" xr3:uid="{90BBF2C5-F62D-4692-8B9C-4699FB0A6076}" uniqueName="2" name="P_rec" totalsRowFunction="custom" queryTableFieldId="2">
      <totalsRowFormula>SUMPRODUCT(P_smrt_vyliecenie_hosp_O[P_rec],P_smrt_vyliecenie_hosp_O[P_cont_cum])</totalsRowFormula>
    </tableColumn>
    <tableColumn id="3" xr3:uid="{EFCEC3E2-B9B2-4D98-B827-FBBCE3349D24}" uniqueName="3" name="P_death" totalsRowFunction="custom" queryTableFieldId="3">
      <totalsRowFormula>SUMPRODUCT(P_smrt_vyliecenie_hosp_O[P_death],P_smrt_vyliecenie_hosp_O[P_cont_cum])</totalsRowFormula>
    </tableColumn>
    <tableColumn id="4" xr3:uid="{2AB68203-140A-47C1-982A-0ED2E45C3675}" uniqueName="4" name="P_cont" queryTableFieldId="4"/>
    <tableColumn id="5" xr3:uid="{F8C17FCF-1F8D-4D36-AF3D-F7D702ED25F3}" uniqueName="5" name="P_cont_cum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7AF0A2-E7D1-42AF-BE9A-8B5C4696DB8F}" name="P_hospital" displayName="P_hospital" ref="A1:I34" tableType="queryTable" totalsRowCount="1">
  <autoFilter ref="A1:I33" xr:uid="{7F626478-A363-42AF-A1F8-769F2950C345}"/>
  <tableColumns count="9">
    <tableColumn id="1" xr3:uid="{46566853-F765-47AD-9107-C0A8A70E585B}" uniqueName="1" name="day" queryTableFieldId="1"/>
    <tableColumn id="2" xr3:uid="{D2A9BB72-6100-4CEB-AE3F-20708680DB81}" uniqueName="2" name="P_y" queryTableFieldId="2"/>
    <tableColumn id="3" xr3:uid="{5FB7B05D-FFD5-4DBB-9C3D-C233DD8B5FA6}" uniqueName="3" name="P_y_low" queryTableFieldId="3"/>
    <tableColumn id="4" xr3:uid="{19B246E2-489D-45A6-91BA-B053234121E4}" uniqueName="4" name="P_y_up" queryTableFieldId="4"/>
    <tableColumn id="5" xr3:uid="{9BB82A4B-34D8-4EAF-8D37-D17E28292540}" uniqueName="5" name="P_o" queryTableFieldId="5"/>
    <tableColumn id="6" xr3:uid="{28000FA1-68DB-490E-A731-91C3C0A79088}" uniqueName="6" name="P_o_low" queryTableFieldId="6"/>
    <tableColumn id="7" xr3:uid="{230623DF-ED39-4340-B5A6-ECCD1950CC0D}" uniqueName="7" name="P_o_up" queryTableFieldId="7"/>
    <tableColumn id="13" xr3:uid="{119006DF-EEF5-4B97-873B-7B0C8CEEFA08}" uniqueName="13" name="oo" totalsRowFunction="custom" queryTableFieldId="13">
      <calculatedColumnFormula>(1-P_hospital[[#This Row],[P_o_low]])</calculatedColumnFormula>
      <totalsRowFormula array="1">SUMPRODUCT(P_hospital[day],P_hospital[P_o]/100,P_hospital[oo])</totalsRowFormula>
    </tableColumn>
    <tableColumn id="14" xr3:uid="{841FE8FE-F1BD-48A9-8A10-8C363E81065D}" uniqueName="14" name="yy" totalsRowFunction="custom" queryTableFieldId="16">
      <totalsRowFormula array="1">SUMPRODUCT(P_hospital[yy],P_hospital[day],P_hospital[P_y]/100)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85BC-5E8B-4698-A0EE-C4FD2EEB2564}">
  <dimension ref="A1:AC46"/>
  <sheetViews>
    <sheetView tabSelected="1" topLeftCell="J34" workbookViewId="0">
      <selection activeCell="U45" sqref="U45"/>
    </sheetView>
  </sheetViews>
  <sheetFormatPr defaultRowHeight="14.4" x14ac:dyDescent="0.3"/>
  <cols>
    <col min="1" max="1" width="6.33203125" bestFit="1" customWidth="1"/>
    <col min="2" max="2" width="9.88671875" bestFit="1" customWidth="1"/>
    <col min="3" max="3" width="12.21875" bestFit="1" customWidth="1"/>
    <col min="4" max="4" width="11.109375" bestFit="1" customWidth="1"/>
    <col min="5" max="5" width="12" bestFit="1" customWidth="1"/>
    <col min="9" max="9" width="22" customWidth="1"/>
    <col min="14" max="15" width="8.88671875" style="12"/>
  </cols>
  <sheetData>
    <row r="1" spans="1:29" x14ac:dyDescent="0.3">
      <c r="A1" t="s">
        <v>0</v>
      </c>
      <c r="B1" t="s">
        <v>7</v>
      </c>
      <c r="C1" t="s">
        <v>6</v>
      </c>
      <c r="D1" t="s">
        <v>8</v>
      </c>
      <c r="E1" t="s">
        <v>14</v>
      </c>
      <c r="I1" s="4" t="s">
        <v>15</v>
      </c>
      <c r="O1" s="33" t="s">
        <v>31</v>
      </c>
      <c r="P1" s="33"/>
      <c r="Q1" s="33"/>
      <c r="R1" s="33"/>
      <c r="S1" s="32"/>
      <c r="T1" s="32"/>
      <c r="U1" s="32"/>
      <c r="V1" s="33" t="s">
        <v>34</v>
      </c>
      <c r="W1" s="33"/>
      <c r="X1" s="33"/>
      <c r="Y1" s="33"/>
      <c r="Z1" s="33"/>
      <c r="AC1" t="s">
        <v>31</v>
      </c>
    </row>
    <row r="2" spans="1:29" x14ac:dyDescent="0.3">
      <c r="B2">
        <v>0</v>
      </c>
      <c r="C2">
        <v>0</v>
      </c>
      <c r="D2">
        <v>0</v>
      </c>
      <c r="E2" s="1">
        <v>0</v>
      </c>
      <c r="I2" s="4"/>
      <c r="O2" s="18" t="s">
        <v>26</v>
      </c>
      <c r="P2" s="18" t="s">
        <v>27</v>
      </c>
      <c r="Q2" s="18" t="s">
        <v>29</v>
      </c>
      <c r="R2" s="18" t="s">
        <v>33</v>
      </c>
      <c r="S2" s="18" t="s">
        <v>42</v>
      </c>
      <c r="T2" s="18"/>
      <c r="U2" s="18"/>
      <c r="V2" s="18" t="s">
        <v>26</v>
      </c>
      <c r="W2" s="18" t="s">
        <v>27</v>
      </c>
      <c r="X2" s="18" t="s">
        <v>29</v>
      </c>
      <c r="Y2" s="18" t="s">
        <v>33</v>
      </c>
      <c r="Z2" s="18" t="s">
        <v>41</v>
      </c>
      <c r="AC2" t="s">
        <v>26</v>
      </c>
    </row>
    <row r="3" spans="1:29" x14ac:dyDescent="0.3">
      <c r="A3">
        <v>0</v>
      </c>
      <c r="B3">
        <v>0</v>
      </c>
      <c r="C3">
        <v>4.0000000000000001E-3</v>
      </c>
      <c r="D3">
        <v>0.996</v>
      </c>
      <c r="E3">
        <v>1</v>
      </c>
      <c r="I3" s="3" t="s">
        <v>1</v>
      </c>
      <c r="J3">
        <f>B43</f>
        <v>4.5640142304033455</v>
      </c>
      <c r="K3">
        <f>(1-J4)/J3</f>
        <v>0.20781742671126546</v>
      </c>
      <c r="N3" s="13">
        <v>0</v>
      </c>
      <c r="O3" s="14">
        <v>5.0000000000000001E-3</v>
      </c>
      <c r="P3">
        <f>O3/$C$40</f>
        <v>0.17241379310344826</v>
      </c>
      <c r="V3">
        <f>P_smrt_vyliecenie_hosp_Y[[#This Row],[P_rec]]-B2</f>
        <v>0</v>
      </c>
      <c r="W3">
        <f>V3/$V$42</f>
        <v>0</v>
      </c>
      <c r="AC3">
        <v>4.0000000000000001E-3</v>
      </c>
    </row>
    <row r="4" spans="1:29" x14ac:dyDescent="0.3">
      <c r="A4">
        <v>1</v>
      </c>
      <c r="B4">
        <v>2.9000000000000001E-2</v>
      </c>
      <c r="C4">
        <v>7.0000000000000001E-3</v>
      </c>
      <c r="D4">
        <v>0.96399999999999997</v>
      </c>
      <c r="E4">
        <f>D3</f>
        <v>0.996</v>
      </c>
      <c r="I4" s="3" t="s">
        <v>2</v>
      </c>
      <c r="J4" s="2">
        <f>P_smrt_vyliecenie_hosp_Y[[#Totals],[P_death]]</f>
        <v>5.151830716398012E-2</v>
      </c>
      <c r="K4">
        <f>J4/J7</f>
        <v>1.5118780304545823E-2</v>
      </c>
      <c r="N4" s="13">
        <v>1</v>
      </c>
      <c r="O4" s="14">
        <f>(P_smrt_vyliecenie_hosp_Y[[#This Row],[P_death]]-C3)</f>
        <v>3.0000000000000001E-3</v>
      </c>
      <c r="P4">
        <f t="shared" ref="P4:P41" si="0">O4/$C$40</f>
        <v>0.10344827586206896</v>
      </c>
      <c r="Q4">
        <f>P3</f>
        <v>0.17241379310344826</v>
      </c>
      <c r="R4">
        <f>Q4/$Q$42</f>
        <v>0.16055045871559687</v>
      </c>
      <c r="S4">
        <f>_xlfn.EXPON.DIST(N4,$R$44,FALSE)</f>
        <v>0.15438954637802327</v>
      </c>
      <c r="T4">
        <f>(LN(N4)-$J$14)/$J$15</f>
        <v>-8</v>
      </c>
      <c r="U4">
        <f>$J$14*$J$15*N4^($J$14-1)/(1+N4^$J$14)^($J$15+1)</f>
        <v>0.21022410381342865</v>
      </c>
      <c r="V4">
        <f>P_smrt_vyliecenie_hosp_Y[[#This Row],[P_rec]]-B3</f>
        <v>2.9000000000000001E-2</v>
      </c>
      <c r="W4">
        <f t="shared" ref="W4:W41" si="1">V4/$V$42</f>
        <v>2.9866117404737384E-2</v>
      </c>
      <c r="X4">
        <f>V3</f>
        <v>0</v>
      </c>
      <c r="Y4">
        <f>X4/$X$42</f>
        <v>0</v>
      </c>
      <c r="Z4">
        <f>_xlfn.GAMMA.DIST(N4,$J$12,$J$13,FALSE)</f>
        <v>7.295969112446064E-3</v>
      </c>
      <c r="AC4">
        <v>3.5000000000000001E-3</v>
      </c>
    </row>
    <row r="5" spans="1:29" x14ac:dyDescent="0.3">
      <c r="A5">
        <v>2</v>
      </c>
      <c r="B5">
        <v>0.108</v>
      </c>
      <c r="C5">
        <v>8.9999999999999993E-3</v>
      </c>
      <c r="D5">
        <v>0.88300000000000001</v>
      </c>
      <c r="E5">
        <f>D4*E4</f>
        <v>0.960144</v>
      </c>
      <c r="I5" s="3" t="s">
        <v>4</v>
      </c>
      <c r="J5" s="2">
        <f>P_smrt_vyliecenie_hosp_Y[[#Totals],[P_rec]]</f>
        <v>0.94848169283601969</v>
      </c>
      <c r="N5" s="13">
        <v>2</v>
      </c>
      <c r="O5" s="14">
        <v>3.0000000000000001E-3</v>
      </c>
      <c r="P5">
        <f t="shared" si="0"/>
        <v>0.10344827586206896</v>
      </c>
      <c r="Q5">
        <f>Q4*$J$10+P4*(1-$J$10)</f>
        <v>0.12413793103448274</v>
      </c>
      <c r="R5">
        <f t="shared" ref="R5:R41" si="2">Q5/$Q$42</f>
        <v>0.11559633027522975</v>
      </c>
      <c r="S5">
        <f t="shared" ref="S5:S41" si="3">_xlfn.EXPON.DIST(N5,$R$44,FALSE)</f>
        <v>0.12819340470305954</v>
      </c>
      <c r="T5">
        <f t="shared" ref="T5:T41" si="4">(LN(N5)-$J$14)/$J$15</f>
        <v>-5.2274112777602184</v>
      </c>
      <c r="U5">
        <f t="shared" ref="U5:U41" si="5">$J$14*$J$15*N5^($J$14-1)/(1+N5^$J$14)^($J$15+1)</f>
        <v>0.13374806099528441</v>
      </c>
      <c r="V5">
        <f>P_smrt_vyliecenie_hosp_Y[[#This Row],[P_rec]]-B4</f>
        <v>7.9000000000000001E-2</v>
      </c>
      <c r="W5">
        <f t="shared" si="1"/>
        <v>8.1359423274974252E-2</v>
      </c>
      <c r="X5">
        <f>$J$11*X4+(1-$J$11)*V4</f>
        <v>2.0299999999999999E-2</v>
      </c>
      <c r="Y5">
        <f t="shared" ref="Y5:Y41" si="6">X5/$X$42</f>
        <v>2.0906282201998142E-2</v>
      </c>
      <c r="Z5">
        <f t="shared" ref="Z5:Z41" si="7">_xlfn.GAMMA.DIST(N5,$J$12,$J$13,FALSE)</f>
        <v>2.7450881579956114E-2</v>
      </c>
      <c r="AC5">
        <v>3.0000000000000001E-3</v>
      </c>
    </row>
    <row r="6" spans="1:29" x14ac:dyDescent="0.3">
      <c r="A6">
        <v>3</v>
      </c>
      <c r="B6">
        <v>0.19500000000000001</v>
      </c>
      <c r="C6">
        <v>0.01</v>
      </c>
      <c r="D6">
        <v>0.79500000000000004</v>
      </c>
      <c r="E6">
        <f t="shared" ref="E6:E40" si="8">D5*E5</f>
        <v>0.84780715200000001</v>
      </c>
      <c r="I6" s="3" t="s">
        <v>3</v>
      </c>
      <c r="J6">
        <f>1/(J4/J7+J5/J3)</f>
        <v>4.4855881123386894</v>
      </c>
      <c r="N6" s="13">
        <v>3</v>
      </c>
      <c r="O6" s="14">
        <v>3.0000000000000001E-3</v>
      </c>
      <c r="P6">
        <f t="shared" si="0"/>
        <v>0.10344827586206896</v>
      </c>
      <c r="Q6">
        <f t="shared" ref="Q6:Q41" si="9">Q5*$J$10+P5*(1-$J$10)</f>
        <v>0.10965517241379309</v>
      </c>
      <c r="R6">
        <f t="shared" si="2"/>
        <v>0.10211009174311961</v>
      </c>
      <c r="S6">
        <f t="shared" si="3"/>
        <v>0.10644210955270773</v>
      </c>
      <c r="T6">
        <f t="shared" si="4"/>
        <v>-3.6055508453275609</v>
      </c>
      <c r="U6">
        <f t="shared" si="5"/>
        <v>8.4351198778552322E-2</v>
      </c>
      <c r="V6">
        <f>P_smrt_vyliecenie_hosp_Y[[#This Row],[P_rec]]-B5</f>
        <v>8.7000000000000008E-2</v>
      </c>
      <c r="W6">
        <f t="shared" si="1"/>
        <v>8.9598352214212154E-2</v>
      </c>
      <c r="X6">
        <f t="shared" ref="X6:X41" si="10">$J$11*X5+(1-$J$11)*V5</f>
        <v>6.1389999999999993E-2</v>
      </c>
      <c r="Y6">
        <f t="shared" si="6"/>
        <v>6.3223481003973694E-2</v>
      </c>
      <c r="Z6">
        <f t="shared" si="7"/>
        <v>5.1042237170788381E-2</v>
      </c>
      <c r="AC6">
        <v>3.0000000000000001E-3</v>
      </c>
    </row>
    <row r="7" spans="1:29" x14ac:dyDescent="0.3">
      <c r="A7">
        <v>4</v>
      </c>
      <c r="B7">
        <v>0.27700000000000002</v>
      </c>
      <c r="C7">
        <v>1.0999999999999999E-2</v>
      </c>
      <c r="D7">
        <v>0.71199999999999997</v>
      </c>
      <c r="E7">
        <f t="shared" si="8"/>
        <v>0.67400668584000001</v>
      </c>
      <c r="I7" s="3" t="s">
        <v>5</v>
      </c>
      <c r="J7">
        <f>C43</f>
        <v>3.407570328175872</v>
      </c>
      <c r="N7" s="13">
        <v>4</v>
      </c>
      <c r="O7" s="14">
        <v>2E-3</v>
      </c>
      <c r="P7">
        <f t="shared" si="0"/>
        <v>6.8965517241379309E-2</v>
      </c>
      <c r="Q7">
        <f t="shared" si="9"/>
        <v>0.10531034482758619</v>
      </c>
      <c r="R7">
        <f t="shared" si="2"/>
        <v>9.8064220183486567E-2</v>
      </c>
      <c r="S7">
        <f t="shared" si="3"/>
        <v>8.8381478846549649E-2</v>
      </c>
      <c r="T7">
        <f t="shared" si="4"/>
        <v>-2.4548225555204377</v>
      </c>
      <c r="U7">
        <f t="shared" si="5"/>
        <v>5.7938713000641462E-2</v>
      </c>
      <c r="V7">
        <f>P_smrt_vyliecenie_hosp_Y[[#This Row],[P_rec]]-B6</f>
        <v>8.2000000000000017E-2</v>
      </c>
      <c r="W7">
        <f t="shared" si="1"/>
        <v>8.4449021627188481E-2</v>
      </c>
      <c r="X7">
        <f t="shared" si="10"/>
        <v>7.9316999999999999E-2</v>
      </c>
      <c r="Y7">
        <f t="shared" si="6"/>
        <v>8.1685890907186545E-2</v>
      </c>
      <c r="Z7">
        <f t="shared" si="7"/>
        <v>7.1117982193140472E-2</v>
      </c>
      <c r="AC7">
        <v>2.7499999999999998E-3</v>
      </c>
    </row>
    <row r="8" spans="1:29" x14ac:dyDescent="0.3">
      <c r="A8">
        <v>5</v>
      </c>
      <c r="B8">
        <v>0.375</v>
      </c>
      <c r="C8">
        <v>1.4E-2</v>
      </c>
      <c r="D8">
        <v>0.61099999999999999</v>
      </c>
      <c r="E8">
        <f t="shared" si="8"/>
        <v>0.47989276031807998</v>
      </c>
      <c r="I8" s="3" t="s">
        <v>10</v>
      </c>
      <c r="J8">
        <v>1398</v>
      </c>
      <c r="N8" s="13">
        <v>5</v>
      </c>
      <c r="O8" s="14">
        <f>(P_smrt_vyliecenie_hosp_Y[[#This Row],[P_death]]-C7)</f>
        <v>3.0000000000000009E-3</v>
      </c>
      <c r="P8">
        <f t="shared" si="0"/>
        <v>0.10344827586206899</v>
      </c>
      <c r="Q8">
        <f t="shared" si="9"/>
        <v>7.9868965517241375E-2</v>
      </c>
      <c r="R8">
        <f t="shared" si="2"/>
        <v>7.4373394495413095E-2</v>
      </c>
      <c r="S8">
        <f t="shared" si="3"/>
        <v>7.3385296814651446E-2</v>
      </c>
      <c r="T8">
        <f t="shared" si="4"/>
        <v>-1.5622483502635989</v>
      </c>
      <c r="U8">
        <f t="shared" si="5"/>
        <v>4.2581732141264171E-2</v>
      </c>
      <c r="V8">
        <f>P_smrt_vyliecenie_hosp_Y[[#This Row],[P_rec]]-B7</f>
        <v>9.7999999999999976E-2</v>
      </c>
      <c r="W8">
        <f t="shared" si="1"/>
        <v>0.10092687950566423</v>
      </c>
      <c r="X8">
        <f t="shared" si="10"/>
        <v>8.1195100000000006E-2</v>
      </c>
      <c r="Y8">
        <f t="shared" si="6"/>
        <v>8.3620082464012799E-2</v>
      </c>
      <c r="Z8">
        <f t="shared" si="7"/>
        <v>8.4597743298882394E-2</v>
      </c>
      <c r="AC8">
        <v>2E-3</v>
      </c>
    </row>
    <row r="9" spans="1:29" x14ac:dyDescent="0.3">
      <c r="A9">
        <v>6</v>
      </c>
      <c r="B9">
        <v>0.46500000000000002</v>
      </c>
      <c r="C9">
        <v>1.7000000000000001E-2</v>
      </c>
      <c r="D9">
        <v>0.51800000000000002</v>
      </c>
      <c r="E9">
        <f t="shared" si="8"/>
        <v>0.29321447655434685</v>
      </c>
      <c r="N9" s="13">
        <v>6</v>
      </c>
      <c r="O9" s="14">
        <f>(P_smrt_vyliecenie_hosp_Y[[#This Row],[P_death]]-C8)</f>
        <v>3.0000000000000009E-3</v>
      </c>
      <c r="P9">
        <f t="shared" si="0"/>
        <v>0.10344827586206899</v>
      </c>
      <c r="Q9">
        <f t="shared" si="9"/>
        <v>9.6374482758620705E-2</v>
      </c>
      <c r="R9">
        <f t="shared" si="2"/>
        <v>8.9743211009174637E-2</v>
      </c>
      <c r="S9">
        <f t="shared" si="3"/>
        <v>6.0933601234765197E-2</v>
      </c>
      <c r="T9">
        <f t="shared" si="4"/>
        <v>-0.83296212308778017</v>
      </c>
      <c r="U9">
        <f t="shared" si="5"/>
        <v>3.2875252689629993E-2</v>
      </c>
      <c r="V9">
        <f>P_smrt_vyliecenie_hosp_Y[[#This Row],[P_rec]]-B8</f>
        <v>9.0000000000000024E-2</v>
      </c>
      <c r="W9">
        <f t="shared" si="1"/>
        <v>9.2687950566426383E-2</v>
      </c>
      <c r="X9">
        <f t="shared" si="10"/>
        <v>9.2958529999999984E-2</v>
      </c>
      <c r="Y9">
        <f t="shared" si="6"/>
        <v>9.5734840456300999E-2</v>
      </c>
      <c r="Z9">
        <f t="shared" si="7"/>
        <v>9.1054759391257595E-2</v>
      </c>
      <c r="AC9">
        <v>1.8500000000000001E-3</v>
      </c>
    </row>
    <row r="10" spans="1:29" x14ac:dyDescent="0.3">
      <c r="A10">
        <v>7</v>
      </c>
      <c r="B10">
        <v>0.54200000000000004</v>
      </c>
      <c r="C10">
        <v>1.7000000000000001E-2</v>
      </c>
      <c r="D10">
        <v>0.441</v>
      </c>
      <c r="E10">
        <f t="shared" si="8"/>
        <v>0.15188509885515167</v>
      </c>
      <c r="I10" s="3" t="s">
        <v>35</v>
      </c>
      <c r="J10">
        <v>0.3</v>
      </c>
      <c r="N10" s="13">
        <v>7</v>
      </c>
      <c r="O10" s="14">
        <v>2E-3</v>
      </c>
      <c r="P10">
        <f t="shared" si="0"/>
        <v>6.8965517241379309E-2</v>
      </c>
      <c r="Q10">
        <f t="shared" si="9"/>
        <v>0.10132613793103451</v>
      </c>
      <c r="R10">
        <f t="shared" si="2"/>
        <v>9.4354155963303113E-2</v>
      </c>
      <c r="S10">
        <f t="shared" si="3"/>
        <v>5.0594654795973991E-2</v>
      </c>
      <c r="T10">
        <f t="shared" si="4"/>
        <v>-0.21635940377874707</v>
      </c>
      <c r="U10">
        <f t="shared" si="5"/>
        <v>2.6324221651604768E-2</v>
      </c>
      <c r="V10">
        <f>P_smrt_vyliecenie_hosp_Y[[#This Row],[P_rec]]-B9</f>
        <v>7.7000000000000013E-2</v>
      </c>
      <c r="W10">
        <f t="shared" si="1"/>
        <v>7.929969104016478E-2</v>
      </c>
      <c r="X10">
        <f t="shared" si="10"/>
        <v>9.0887559000000007E-2</v>
      </c>
      <c r="Y10">
        <f t="shared" si="6"/>
        <v>9.3602017591367312E-2</v>
      </c>
      <c r="Z10">
        <f t="shared" si="7"/>
        <v>9.1468615579058013E-2</v>
      </c>
      <c r="AC10">
        <v>1.65E-3</v>
      </c>
    </row>
    <row r="11" spans="1:29" x14ac:dyDescent="0.3">
      <c r="A11">
        <v>8</v>
      </c>
      <c r="B11">
        <v>0.61499999999999999</v>
      </c>
      <c r="C11">
        <v>1.7000000000000001E-2</v>
      </c>
      <c r="D11">
        <v>0.36799999999999999</v>
      </c>
      <c r="E11">
        <f t="shared" si="8"/>
        <v>6.6981328595121889E-2</v>
      </c>
      <c r="I11" s="3" t="s">
        <v>36</v>
      </c>
      <c r="J11">
        <v>0.3</v>
      </c>
      <c r="N11" s="13">
        <v>8</v>
      </c>
      <c r="O11" s="14">
        <v>1E-3</v>
      </c>
      <c r="P11">
        <f t="shared" si="0"/>
        <v>3.4482758620689655E-2</v>
      </c>
      <c r="Q11">
        <f t="shared" si="9"/>
        <v>7.8673703448275872E-2</v>
      </c>
      <c r="R11">
        <f t="shared" si="2"/>
        <v>7.3260375229358063E-2</v>
      </c>
      <c r="S11">
        <f t="shared" si="3"/>
        <v>4.2009975482349929E-2</v>
      </c>
      <c r="T11">
        <f t="shared" si="4"/>
        <v>0.31776616671934299</v>
      </c>
      <c r="U11">
        <f t="shared" si="5"/>
        <v>2.1672963297373775E-2</v>
      </c>
      <c r="V11">
        <f>P_smrt_vyliecenie_hosp_Y[[#This Row],[P_rec]]-B10</f>
        <v>7.2999999999999954E-2</v>
      </c>
      <c r="W11">
        <f t="shared" si="1"/>
        <v>7.518022657054578E-2</v>
      </c>
      <c r="X11">
        <f t="shared" si="10"/>
        <v>8.1166267700000003E-2</v>
      </c>
      <c r="Y11">
        <f t="shared" si="6"/>
        <v>8.3590389055129402E-2</v>
      </c>
      <c r="Z11">
        <f t="shared" si="7"/>
        <v>8.7357902151938102E-2</v>
      </c>
      <c r="AC11">
        <v>1.5E-3</v>
      </c>
    </row>
    <row r="12" spans="1:29" x14ac:dyDescent="0.3">
      <c r="A12">
        <v>9</v>
      </c>
      <c r="B12">
        <v>0.67800000000000005</v>
      </c>
      <c r="C12">
        <v>1.7000000000000001E-2</v>
      </c>
      <c r="D12">
        <v>0.30499999999999999</v>
      </c>
      <c r="E12">
        <f t="shared" si="8"/>
        <v>2.4649128923004856E-2</v>
      </c>
      <c r="I12" s="3" t="s">
        <v>37</v>
      </c>
      <c r="J12">
        <v>3.45</v>
      </c>
      <c r="N12" s="13">
        <v>9</v>
      </c>
      <c r="O12" s="14">
        <v>2E-3</v>
      </c>
      <c r="P12">
        <f t="shared" si="0"/>
        <v>6.8965517241379309E-2</v>
      </c>
      <c r="Q12">
        <f t="shared" si="9"/>
        <v>4.7740042068965524E-2</v>
      </c>
      <c r="R12">
        <f t="shared" si="2"/>
        <v>4.445517678899099E-2</v>
      </c>
      <c r="S12">
        <f t="shared" si="3"/>
        <v>3.4881906935514399E-2</v>
      </c>
      <c r="T12">
        <f t="shared" si="4"/>
        <v>0.78889830934487826</v>
      </c>
      <c r="U12">
        <f t="shared" si="5"/>
        <v>1.8236655674892448E-2</v>
      </c>
      <c r="V12">
        <f>P_smrt_vyliecenie_hosp_Y[[#This Row],[P_rec]]-B11</f>
        <v>6.3000000000000056E-2</v>
      </c>
      <c r="W12">
        <f t="shared" si="1"/>
        <v>6.4881565396498503E-2</v>
      </c>
      <c r="X12">
        <f t="shared" si="10"/>
        <v>7.5449880309999967E-2</v>
      </c>
      <c r="Y12">
        <f t="shared" si="6"/>
        <v>7.770327536294791E-2</v>
      </c>
      <c r="Z12">
        <f t="shared" si="7"/>
        <v>8.0274146432761775E-2</v>
      </c>
      <c r="AC12">
        <v>1.25E-3</v>
      </c>
    </row>
    <row r="13" spans="1:29" x14ac:dyDescent="0.3">
      <c r="A13">
        <v>10</v>
      </c>
      <c r="B13">
        <v>0.73299999999999998</v>
      </c>
      <c r="C13">
        <v>1.7000000000000001E-2</v>
      </c>
      <c r="D13">
        <v>0.25</v>
      </c>
      <c r="E13">
        <f t="shared" si="8"/>
        <v>7.5179843215164811E-3</v>
      </c>
      <c r="I13" s="3" t="s">
        <v>38</v>
      </c>
      <c r="J13">
        <v>2.68</v>
      </c>
      <c r="N13" s="13">
        <v>10</v>
      </c>
      <c r="O13" s="14">
        <f>(P_smrt_vyliecenie_hosp_Y[[#This Row],[P_death]]-C12)</f>
        <v>0</v>
      </c>
      <c r="P13">
        <f t="shared" si="0"/>
        <v>0</v>
      </c>
      <c r="Q13">
        <f t="shared" si="9"/>
        <v>6.2597874689655178E-2</v>
      </c>
      <c r="R13">
        <f t="shared" si="2"/>
        <v>5.8290681477064427E-2</v>
      </c>
      <c r="S13">
        <f t="shared" si="3"/>
        <v>2.8963297823610779E-2</v>
      </c>
      <c r="T13">
        <f t="shared" si="4"/>
        <v>1.2103403719761836</v>
      </c>
      <c r="U13">
        <f t="shared" si="5"/>
        <v>1.5615945589171147E-2</v>
      </c>
      <c r="V13">
        <f>P_smrt_vyliecenie_hosp_Y[[#This Row],[P_rec]]-B12</f>
        <v>5.4999999999999938E-2</v>
      </c>
      <c r="W13">
        <f t="shared" si="1"/>
        <v>5.664263645726049E-2</v>
      </c>
      <c r="X13">
        <f t="shared" si="10"/>
        <v>6.6734964093000032E-2</v>
      </c>
      <c r="Y13">
        <f t="shared" si="6"/>
        <v>6.8728078427018321E-2</v>
      </c>
      <c r="Z13">
        <f t="shared" si="7"/>
        <v>7.1553580156827709E-2</v>
      </c>
      <c r="AC13">
        <v>1E-3</v>
      </c>
    </row>
    <row r="14" spans="1:29" x14ac:dyDescent="0.3">
      <c r="A14">
        <v>11</v>
      </c>
      <c r="B14">
        <v>0.77800000000000002</v>
      </c>
      <c r="C14">
        <v>1.7999999999999999E-2</v>
      </c>
      <c r="D14">
        <v>0.20399999999999999</v>
      </c>
      <c r="E14">
        <f t="shared" si="8"/>
        <v>1.8794960803791203E-3</v>
      </c>
      <c r="I14" s="3" t="s">
        <v>43</v>
      </c>
      <c r="J14">
        <v>2</v>
      </c>
      <c r="N14" s="13">
        <v>11</v>
      </c>
      <c r="O14" s="14">
        <f>(P_smrt_vyliecenie_hosp_Y[[#This Row],[P_death]]-C13)</f>
        <v>9.9999999999999742E-4</v>
      </c>
      <c r="P14">
        <f t="shared" si="0"/>
        <v>3.4482758620689564E-2</v>
      </c>
      <c r="Q14">
        <f t="shared" si="9"/>
        <v>1.8779362406896552E-2</v>
      </c>
      <c r="R14">
        <f t="shared" si="2"/>
        <v>1.7487204443119329E-2</v>
      </c>
      <c r="S14">
        <f t="shared" si="3"/>
        <v>2.4048932369723556E-2</v>
      </c>
      <c r="T14">
        <f t="shared" si="4"/>
        <v>1.5915810911934827</v>
      </c>
      <c r="U14">
        <f t="shared" si="5"/>
        <v>1.3564784578564887E-2</v>
      </c>
      <c r="V14">
        <f>P_smrt_vyliecenie_hosp_Y[[#This Row],[P_rec]]-B13</f>
        <v>4.500000000000004E-2</v>
      </c>
      <c r="W14">
        <f t="shared" si="1"/>
        <v>4.6343975283213219E-2</v>
      </c>
      <c r="X14">
        <f t="shared" si="10"/>
        <v>5.8520489227899958E-2</v>
      </c>
      <c r="Y14">
        <f t="shared" si="6"/>
        <v>6.0268269083619166E-2</v>
      </c>
      <c r="Z14">
        <f t="shared" si="7"/>
        <v>6.2229063785590059E-2</v>
      </c>
      <c r="AC14">
        <v>7.5000000000000002E-4</v>
      </c>
    </row>
    <row r="15" spans="1:29" x14ac:dyDescent="0.3">
      <c r="A15">
        <v>12</v>
      </c>
      <c r="B15">
        <v>0.81399999999999995</v>
      </c>
      <c r="C15">
        <v>1.7999999999999999E-2</v>
      </c>
      <c r="D15">
        <v>0.16800000000000001</v>
      </c>
      <c r="E15">
        <f t="shared" si="8"/>
        <v>3.8341720039734053E-4</v>
      </c>
      <c r="I15" s="3" t="s">
        <v>44</v>
      </c>
      <c r="J15">
        <v>0.25</v>
      </c>
      <c r="N15" s="13">
        <v>12</v>
      </c>
      <c r="O15" s="14">
        <f>(P_smrt_vyliecenie_hosp_Y[[#This Row],[P_death]]-C14)</f>
        <v>0</v>
      </c>
      <c r="P15">
        <f t="shared" si="0"/>
        <v>0</v>
      </c>
      <c r="Q15">
        <f t="shared" si="9"/>
        <v>2.9771739756551657E-2</v>
      </c>
      <c r="R15">
        <f t="shared" si="2"/>
        <v>2.7723225553119301E-2</v>
      </c>
      <c r="S15">
        <f t="shared" si="3"/>
        <v>1.9968414910682838E-2</v>
      </c>
      <c r="T15">
        <f t="shared" si="4"/>
        <v>1.9396265991520014</v>
      </c>
      <c r="U15">
        <f t="shared" si="5"/>
        <v>1.1924529370202216E-2</v>
      </c>
      <c r="V15">
        <f>P_smrt_vyliecenie_hosp_Y[[#This Row],[P_rec]]-B14</f>
        <v>3.5999999999999921E-2</v>
      </c>
      <c r="W15">
        <f t="shared" si="1"/>
        <v>3.7075180226570463E-2</v>
      </c>
      <c r="X15">
        <f t="shared" si="10"/>
        <v>4.9056146768370015E-2</v>
      </c>
      <c r="Y15">
        <f t="shared" si="6"/>
        <v>5.0521263452324279E-2</v>
      </c>
      <c r="Z15">
        <f t="shared" si="7"/>
        <v>5.3030419371533605E-2</v>
      </c>
      <c r="AC15">
        <v>7.5000000000000002E-4</v>
      </c>
    </row>
    <row r="16" spans="1:29" x14ac:dyDescent="0.3">
      <c r="A16">
        <v>13</v>
      </c>
      <c r="B16">
        <v>0.84099999999999997</v>
      </c>
      <c r="C16">
        <v>1.9E-2</v>
      </c>
      <c r="D16">
        <v>0.14000000000000001</v>
      </c>
      <c r="E16">
        <f t="shared" si="8"/>
        <v>6.4414089666753213E-5</v>
      </c>
      <c r="N16" s="13">
        <v>13</v>
      </c>
      <c r="O16" s="14">
        <f>(P_smrt_vyliecenie_hosp_Y[[#This Row],[P_death]]-C15)</f>
        <v>1.0000000000000009E-3</v>
      </c>
      <c r="P16">
        <f t="shared" si="0"/>
        <v>3.4482758620689682E-2</v>
      </c>
      <c r="Q16">
        <f t="shared" si="9"/>
        <v>8.931521926965497E-3</v>
      </c>
      <c r="R16">
        <f t="shared" si="2"/>
        <v>8.3169676659357906E-3</v>
      </c>
      <c r="S16">
        <f t="shared" si="3"/>
        <v>1.6580261772750137E-2</v>
      </c>
      <c r="T16">
        <f t="shared" si="4"/>
        <v>2.259797429846147</v>
      </c>
      <c r="U16">
        <f t="shared" si="5"/>
        <v>1.0588933110796301E-2</v>
      </c>
      <c r="V16">
        <f>P_smrt_vyliecenie_hosp_Y[[#This Row],[P_rec]]-B15</f>
        <v>2.7000000000000024E-2</v>
      </c>
      <c r="W16">
        <f t="shared" si="1"/>
        <v>2.7806385169927932E-2</v>
      </c>
      <c r="X16">
        <f t="shared" si="10"/>
        <v>3.9916844030510948E-2</v>
      </c>
      <c r="Y16">
        <f t="shared" si="6"/>
        <v>4.1109005217488025E-2</v>
      </c>
      <c r="Z16">
        <f t="shared" si="7"/>
        <v>4.442649406955345E-2</v>
      </c>
      <c r="AC16">
        <v>5.0000000000000001E-4</v>
      </c>
    </row>
    <row r="17" spans="1:29" x14ac:dyDescent="0.3">
      <c r="A17">
        <v>14</v>
      </c>
      <c r="B17">
        <v>0.85799999999999998</v>
      </c>
      <c r="C17">
        <v>1.9E-2</v>
      </c>
      <c r="D17">
        <v>0.123</v>
      </c>
      <c r="E17">
        <f t="shared" si="8"/>
        <v>9.0179725533454511E-6</v>
      </c>
      <c r="N17" s="13">
        <v>14</v>
      </c>
      <c r="O17" s="14">
        <f>(P_smrt_vyliecenie_hosp_Y[[#This Row],[P_death]]-C16)</f>
        <v>0</v>
      </c>
      <c r="P17">
        <f t="shared" si="0"/>
        <v>0</v>
      </c>
      <c r="Q17">
        <f t="shared" si="9"/>
        <v>2.6817387612572425E-2</v>
      </c>
      <c r="R17">
        <f t="shared" si="2"/>
        <v>2.4972154519964318E-2</v>
      </c>
      <c r="S17">
        <f t="shared" si="3"/>
        <v>1.3766995611947594E-2</v>
      </c>
      <c r="T17">
        <f t="shared" si="4"/>
        <v>2.5562293184610336</v>
      </c>
      <c r="U17">
        <f t="shared" si="5"/>
        <v>9.4845178302159217E-3</v>
      </c>
      <c r="V17">
        <v>2.4E-2</v>
      </c>
      <c r="W17">
        <f t="shared" si="1"/>
        <v>2.4716786817713696E-2</v>
      </c>
      <c r="X17">
        <f t="shared" si="10"/>
        <v>3.0875053209153298E-2</v>
      </c>
      <c r="Y17">
        <f t="shared" si="6"/>
        <v>3.1797171201589522E-2</v>
      </c>
      <c r="Z17">
        <f t="shared" si="7"/>
        <v>3.6681267711462788E-2</v>
      </c>
      <c r="AC17">
        <v>4.0000000000000002E-4</v>
      </c>
    </row>
    <row r="18" spans="1:29" x14ac:dyDescent="0.3">
      <c r="A18">
        <v>15</v>
      </c>
      <c r="B18">
        <v>0.875</v>
      </c>
      <c r="C18">
        <v>1.9E-2</v>
      </c>
      <c r="D18">
        <v>0.106</v>
      </c>
      <c r="E18">
        <f>D17*E17</f>
        <v>1.1092106240614905E-6</v>
      </c>
      <c r="N18" s="13">
        <v>15</v>
      </c>
      <c r="O18" s="14">
        <v>0</v>
      </c>
      <c r="P18">
        <f t="shared" si="0"/>
        <v>0</v>
      </c>
      <c r="Q18">
        <f t="shared" si="9"/>
        <v>8.0452162837717275E-3</v>
      </c>
      <c r="R18">
        <f t="shared" si="2"/>
        <v>7.4916463559892956E-3</v>
      </c>
      <c r="S18">
        <f t="shared" si="3"/>
        <v>1.1431072125222977E-2</v>
      </c>
      <c r="T18">
        <f t="shared" si="4"/>
        <v>2.8322008044088403</v>
      </c>
      <c r="U18">
        <f t="shared" si="5"/>
        <v>8.5590529763903498E-3</v>
      </c>
      <c r="V18">
        <v>0.02</v>
      </c>
      <c r="W18">
        <f t="shared" si="1"/>
        <v>2.0597322348094745E-2</v>
      </c>
      <c r="X18">
        <f t="shared" si="10"/>
        <v>2.6062515962745988E-2</v>
      </c>
      <c r="Y18">
        <f t="shared" si="6"/>
        <v>2.6840902148337391E-2</v>
      </c>
      <c r="Z18">
        <f t="shared" si="7"/>
        <v>2.9909148842758918E-2</v>
      </c>
      <c r="AC18">
        <v>4.0000000000000002E-4</v>
      </c>
    </row>
    <row r="19" spans="1:29" x14ac:dyDescent="0.3">
      <c r="A19">
        <v>16</v>
      </c>
      <c r="B19">
        <v>0.89700000000000002</v>
      </c>
      <c r="C19">
        <v>1.9E-2</v>
      </c>
      <c r="D19">
        <v>8.4000000000000005E-2</v>
      </c>
      <c r="E19">
        <f t="shared" si="8"/>
        <v>1.1757632615051799E-7</v>
      </c>
      <c r="N19" s="13">
        <v>16</v>
      </c>
      <c r="O19" s="14">
        <f>(P_smrt_vyliecenie_hosp_Y[[#This Row],[P_death]]-C18)</f>
        <v>0</v>
      </c>
      <c r="P19">
        <f t="shared" si="0"/>
        <v>0</v>
      </c>
      <c r="Q19">
        <f t="shared" si="9"/>
        <v>2.413564885131518E-3</v>
      </c>
      <c r="R19">
        <f t="shared" si="2"/>
        <v>2.2474939067967884E-3</v>
      </c>
      <c r="S19">
        <f t="shared" si="3"/>
        <v>9.4914978994145409E-3</v>
      </c>
      <c r="T19">
        <f t="shared" si="4"/>
        <v>3.0903548889591246</v>
      </c>
      <c r="U19">
        <f t="shared" si="5"/>
        <v>7.7745199589335972E-3</v>
      </c>
      <c r="V19">
        <v>0.02</v>
      </c>
      <c r="W19">
        <f t="shared" si="1"/>
        <v>2.0597322348094745E-2</v>
      </c>
      <c r="X19">
        <f t="shared" si="10"/>
        <v>2.1818754788823794E-2</v>
      </c>
      <c r="Y19">
        <f t="shared" si="6"/>
        <v>2.2470396301051659E-2</v>
      </c>
      <c r="Z19">
        <f t="shared" si="7"/>
        <v>2.4122607308540784E-2</v>
      </c>
      <c r="AC19">
        <v>2.9999999999999997E-4</v>
      </c>
    </row>
    <row r="20" spans="1:29" x14ac:dyDescent="0.3">
      <c r="A20">
        <v>17</v>
      </c>
      <c r="B20">
        <v>0.90400000000000003</v>
      </c>
      <c r="C20">
        <v>1.9E-2</v>
      </c>
      <c r="D20">
        <v>7.6999999999999999E-2</v>
      </c>
      <c r="E20">
        <f t="shared" si="8"/>
        <v>9.8764113966435118E-9</v>
      </c>
      <c r="N20" s="13">
        <v>17</v>
      </c>
      <c r="O20" s="14">
        <f>(P_smrt_vyliecenie_hosp_Y[[#This Row],[P_death]]-C19)</f>
        <v>0</v>
      </c>
      <c r="P20">
        <f t="shared" si="0"/>
        <v>0</v>
      </c>
      <c r="Q20">
        <f t="shared" si="9"/>
        <v>7.2406946553945533E-4</v>
      </c>
      <c r="R20">
        <f t="shared" si="2"/>
        <v>6.7424817203903646E-4</v>
      </c>
      <c r="S20">
        <f t="shared" si="3"/>
        <v>7.8810221287824635E-3</v>
      </c>
      <c r="T20">
        <f t="shared" si="4"/>
        <v>3.3328533762248647</v>
      </c>
      <c r="U20">
        <f t="shared" si="5"/>
        <v>7.1026665840350656E-3</v>
      </c>
      <c r="V20">
        <v>1.2E-2</v>
      </c>
      <c r="W20">
        <f t="shared" si="1"/>
        <v>1.2358393408856848E-2</v>
      </c>
      <c r="X20">
        <f t="shared" si="10"/>
        <v>2.0545626436647136E-2</v>
      </c>
      <c r="Y20">
        <f t="shared" si="6"/>
        <v>2.1159244546865939E-2</v>
      </c>
      <c r="Z20">
        <f t="shared" si="7"/>
        <v>1.9269922458672019E-2</v>
      </c>
      <c r="AC20">
        <v>2.9999999999999997E-4</v>
      </c>
    </row>
    <row r="21" spans="1:29" x14ac:dyDescent="0.3">
      <c r="A21">
        <v>18</v>
      </c>
      <c r="B21">
        <v>0.90900000000000003</v>
      </c>
      <c r="C21">
        <v>2.1000000000000001E-2</v>
      </c>
      <c r="D21">
        <v>7.0000000000000007E-2</v>
      </c>
      <c r="E21">
        <f t="shared" si="8"/>
        <v>7.6048367754155036E-10</v>
      </c>
      <c r="N21" s="13">
        <v>18</v>
      </c>
      <c r="O21" s="14">
        <v>0</v>
      </c>
      <c r="P21">
        <f t="shared" si="0"/>
        <v>0</v>
      </c>
      <c r="Q21">
        <f t="shared" si="9"/>
        <v>2.172208396618366E-4</v>
      </c>
      <c r="R21">
        <f t="shared" si="2"/>
        <v>2.0227445161171093E-4</v>
      </c>
      <c r="S21">
        <f t="shared" si="3"/>
        <v>6.543804829603342E-3</v>
      </c>
      <c r="T21">
        <f t="shared" si="4"/>
        <v>3.5614870315846581</v>
      </c>
      <c r="U21">
        <f t="shared" si="5"/>
        <v>6.5221128383528429E-3</v>
      </c>
      <c r="V21">
        <v>1.0999999999999999E-2</v>
      </c>
      <c r="W21">
        <f t="shared" si="1"/>
        <v>1.132852729145211E-2</v>
      </c>
      <c r="X21">
        <f t="shared" si="10"/>
        <v>1.456368793099414E-2</v>
      </c>
      <c r="Y21">
        <f t="shared" si="6"/>
        <v>1.4998648757990047E-2</v>
      </c>
      <c r="Z21">
        <f t="shared" si="7"/>
        <v>1.5263269319455602E-2</v>
      </c>
      <c r="AC21">
        <v>1E-4</v>
      </c>
    </row>
    <row r="22" spans="1:29" x14ac:dyDescent="0.3">
      <c r="A22">
        <v>19</v>
      </c>
      <c r="B22">
        <v>0.92100000000000004</v>
      </c>
      <c r="C22">
        <v>2.1999999999999999E-2</v>
      </c>
      <c r="D22">
        <v>5.7000000000000002E-2</v>
      </c>
      <c r="E22">
        <f t="shared" si="8"/>
        <v>5.3233857427908528E-11</v>
      </c>
      <c r="N22" s="13">
        <v>19</v>
      </c>
      <c r="O22" s="14">
        <v>0</v>
      </c>
      <c r="P22">
        <f t="shared" si="0"/>
        <v>0</v>
      </c>
      <c r="Q22">
        <f t="shared" si="9"/>
        <v>6.5166251898550974E-5</v>
      </c>
      <c r="R22">
        <f t="shared" si="2"/>
        <v>6.0682335483513277E-5</v>
      </c>
      <c r="S22">
        <f t="shared" si="3"/>
        <v>5.4334807018941202E-3</v>
      </c>
      <c r="T22">
        <f t="shared" si="4"/>
        <v>3.777755916665761</v>
      </c>
      <c r="U22">
        <f t="shared" si="5"/>
        <v>6.0164164789872727E-3</v>
      </c>
      <c r="V22">
        <f>P_smrt_vyliecenie_hosp_Y[[#This Row],[P_rec]]-B21</f>
        <v>1.2000000000000011E-2</v>
      </c>
      <c r="W22">
        <f t="shared" si="1"/>
        <v>1.2358393408856859E-2</v>
      </c>
      <c r="X22">
        <f t="shared" si="10"/>
        <v>1.2069106379298242E-2</v>
      </c>
      <c r="Y22">
        <f t="shared" si="6"/>
        <v>1.2429563738499759E-2</v>
      </c>
      <c r="Z22">
        <f t="shared" si="7"/>
        <v>1.1998475592757048E-2</v>
      </c>
      <c r="AC22">
        <v>0</v>
      </c>
    </row>
    <row r="23" spans="1:29" x14ac:dyDescent="0.3">
      <c r="A23">
        <v>20</v>
      </c>
      <c r="B23">
        <v>0.93200000000000005</v>
      </c>
      <c r="C23">
        <v>2.1999999999999999E-2</v>
      </c>
      <c r="D23">
        <v>4.5999999999999999E-2</v>
      </c>
      <c r="E23">
        <f t="shared" si="8"/>
        <v>3.0343298733907863E-12</v>
      </c>
      <c r="N23" s="13">
        <v>20</v>
      </c>
      <c r="O23" s="14">
        <f>(P_smrt_vyliecenie_hosp_Y[[#This Row],[P_death]]-C22)</f>
        <v>0</v>
      </c>
      <c r="P23">
        <f t="shared" si="0"/>
        <v>0</v>
      </c>
      <c r="Q23">
        <f t="shared" si="9"/>
        <v>1.9549875569565292E-5</v>
      </c>
      <c r="R23">
        <f t="shared" si="2"/>
        <v>1.8204700645053982E-5</v>
      </c>
      <c r="S23">
        <f t="shared" si="3"/>
        <v>4.5115515065942717E-3</v>
      </c>
      <c r="T23">
        <f t="shared" si="4"/>
        <v>3.9829290942159634</v>
      </c>
      <c r="U23">
        <f t="shared" si="5"/>
        <v>5.5727496623140214E-3</v>
      </c>
      <c r="V23">
        <f>P_smrt_vyliecenie_hosp_Y[[#This Row],[P_rec]]-B22</f>
        <v>1.100000000000001E-2</v>
      </c>
      <c r="W23">
        <f t="shared" si="1"/>
        <v>1.1328527291452121E-2</v>
      </c>
      <c r="X23">
        <f t="shared" si="10"/>
        <v>1.2020731913789478E-2</v>
      </c>
      <c r="Y23">
        <f t="shared" si="6"/>
        <v>1.23797445154802E-2</v>
      </c>
      <c r="Z23">
        <f t="shared" si="7"/>
        <v>9.368133254915853E-3</v>
      </c>
      <c r="AC23">
        <v>0</v>
      </c>
    </row>
    <row r="24" spans="1:29" x14ac:dyDescent="0.3">
      <c r="A24">
        <v>21</v>
      </c>
      <c r="B24">
        <v>0.93400000000000005</v>
      </c>
      <c r="C24">
        <v>2.4E-2</v>
      </c>
      <c r="D24">
        <v>4.2000000000000003E-2</v>
      </c>
      <c r="E24">
        <f t="shared" si="8"/>
        <v>1.3957917417597617E-13</v>
      </c>
      <c r="N24" s="13">
        <v>21</v>
      </c>
      <c r="O24" s="14">
        <v>0</v>
      </c>
      <c r="P24">
        <f t="shared" si="0"/>
        <v>0</v>
      </c>
      <c r="Q24">
        <f t="shared" si="9"/>
        <v>5.864962670869587E-6</v>
      </c>
      <c r="R24">
        <f t="shared" si="2"/>
        <v>5.4614101935161945E-6</v>
      </c>
      <c r="S24">
        <f t="shared" si="3"/>
        <v>3.7460512171429185E-3</v>
      </c>
      <c r="T24">
        <f t="shared" si="4"/>
        <v>4.1780897508936921</v>
      </c>
      <c r="U24">
        <f t="shared" si="5"/>
        <v>5.1809745909660787E-3</v>
      </c>
      <c r="V24">
        <v>8.0000000000000002E-3</v>
      </c>
      <c r="W24">
        <f t="shared" si="1"/>
        <v>8.2389289392378988E-3</v>
      </c>
      <c r="X24">
        <f t="shared" si="10"/>
        <v>1.1306219574136848E-2</v>
      </c>
      <c r="Y24">
        <f t="shared" si="6"/>
        <v>1.164389246574681E-2</v>
      </c>
      <c r="Z24">
        <f t="shared" si="7"/>
        <v>7.2697029028670384E-3</v>
      </c>
      <c r="AC24">
        <v>0</v>
      </c>
    </row>
    <row r="25" spans="1:29" x14ac:dyDescent="0.3">
      <c r="A25">
        <v>22</v>
      </c>
      <c r="B25">
        <v>0.93600000000000005</v>
      </c>
      <c r="C25">
        <v>2.4E-2</v>
      </c>
      <c r="D25">
        <v>0.04</v>
      </c>
      <c r="E25">
        <f t="shared" si="8"/>
        <v>5.8623253153909997E-15</v>
      </c>
      <c r="N25" s="13">
        <v>22</v>
      </c>
      <c r="O25" s="14">
        <f>(P_smrt_vyliecenie_hosp_Y[[#This Row],[P_death]]-C24)</f>
        <v>0</v>
      </c>
      <c r="P25">
        <f t="shared" si="0"/>
        <v>0</v>
      </c>
      <c r="Q25">
        <f t="shared" si="9"/>
        <v>1.759488801260876E-6</v>
      </c>
      <c r="R25">
        <f t="shared" si="2"/>
        <v>1.6384230580548581E-6</v>
      </c>
      <c r="S25">
        <f t="shared" si="3"/>
        <v>3.1104376622868839E-3</v>
      </c>
      <c r="T25">
        <f t="shared" si="4"/>
        <v>4.3641698134332643</v>
      </c>
      <c r="U25">
        <f t="shared" si="5"/>
        <v>4.8329857196935978E-3</v>
      </c>
      <c r="V25">
        <v>5.0000000000000001E-3</v>
      </c>
      <c r="W25">
        <f t="shared" si="1"/>
        <v>5.1493305870236863E-3</v>
      </c>
      <c r="X25">
        <f t="shared" si="10"/>
        <v>8.9918658722410554E-3</v>
      </c>
      <c r="Y25">
        <f t="shared" si="6"/>
        <v>9.2604180023442215E-3</v>
      </c>
      <c r="Z25">
        <f t="shared" si="7"/>
        <v>5.610024767881857E-3</v>
      </c>
      <c r="AC25">
        <v>0</v>
      </c>
    </row>
    <row r="26" spans="1:29" x14ac:dyDescent="0.3">
      <c r="A26">
        <v>23</v>
      </c>
      <c r="B26">
        <v>0.93799999999999994</v>
      </c>
      <c r="C26">
        <v>2.4E-2</v>
      </c>
      <c r="D26">
        <v>3.7999999999999999E-2</v>
      </c>
      <c r="E26">
        <f t="shared" si="8"/>
        <v>2.3449301261564E-16</v>
      </c>
      <c r="N26" s="13">
        <v>23</v>
      </c>
      <c r="O26" s="14">
        <f>(P_smrt_vyliecenie_hosp_Y[[#This Row],[P_death]]-C25)</f>
        <v>0</v>
      </c>
      <c r="P26">
        <f t="shared" si="0"/>
        <v>0</v>
      </c>
      <c r="Q26">
        <f t="shared" si="9"/>
        <v>5.2784664037826273E-7</v>
      </c>
      <c r="R26">
        <f t="shared" si="2"/>
        <v>4.915269174164574E-7</v>
      </c>
      <c r="S26">
        <f t="shared" si="3"/>
        <v>2.5826722300800768E-3</v>
      </c>
      <c r="T26">
        <f t="shared" si="4"/>
        <v>4.5419768637165987</v>
      </c>
      <c r="U26">
        <f t="shared" si="5"/>
        <v>4.5222337134581004E-3</v>
      </c>
      <c r="V26">
        <v>3.0000000000000001E-3</v>
      </c>
      <c r="W26">
        <f t="shared" si="1"/>
        <v>3.089598352214212E-3</v>
      </c>
      <c r="X26">
        <f t="shared" si="10"/>
        <v>6.1975597616723156E-3</v>
      </c>
      <c r="Y26">
        <f t="shared" si="6"/>
        <v>6.3826568148408766E-3</v>
      </c>
      <c r="Z26">
        <f t="shared" si="7"/>
        <v>4.3073704969482712E-3</v>
      </c>
      <c r="AC26">
        <v>0</v>
      </c>
    </row>
    <row r="27" spans="1:29" x14ac:dyDescent="0.3">
      <c r="A27">
        <v>24</v>
      </c>
      <c r="B27">
        <v>0.94399999999999995</v>
      </c>
      <c r="C27">
        <v>2.5999999999999999E-2</v>
      </c>
      <c r="D27">
        <v>0.03</v>
      </c>
      <c r="E27">
        <f t="shared" si="8"/>
        <v>8.9107344793943191E-18</v>
      </c>
      <c r="N27" s="13">
        <v>24</v>
      </c>
      <c r="O27" s="14">
        <v>0</v>
      </c>
      <c r="P27">
        <f t="shared" si="0"/>
        <v>0</v>
      </c>
      <c r="Q27">
        <f t="shared" si="9"/>
        <v>1.5835399211347882E-7</v>
      </c>
      <c r="R27">
        <f t="shared" si="2"/>
        <v>1.4745807522493723E-7</v>
      </c>
      <c r="S27">
        <f t="shared" si="3"/>
        <v>2.1444557236754507E-3</v>
      </c>
      <c r="T27">
        <f t="shared" si="4"/>
        <v>4.712215321391783</v>
      </c>
      <c r="U27">
        <f t="shared" si="5"/>
        <v>4.2433756469347573E-3</v>
      </c>
      <c r="V27">
        <v>2E-3</v>
      </c>
      <c r="W27">
        <f t="shared" si="1"/>
        <v>2.0597322348094747E-3</v>
      </c>
      <c r="X27">
        <f t="shared" si="10"/>
        <v>3.9592679285016946E-3</v>
      </c>
      <c r="Y27">
        <f t="shared" si="6"/>
        <v>4.0775158929348297E-3</v>
      </c>
      <c r="Z27">
        <f t="shared" si="7"/>
        <v>3.2918981753086028E-3</v>
      </c>
      <c r="AC27">
        <v>0</v>
      </c>
    </row>
    <row r="28" spans="1:29" x14ac:dyDescent="0.3">
      <c r="A28">
        <v>25</v>
      </c>
      <c r="B28">
        <v>0.94399999999999995</v>
      </c>
      <c r="C28">
        <v>2.5999999999999999E-2</v>
      </c>
      <c r="D28">
        <v>0.03</v>
      </c>
      <c r="E28">
        <f t="shared" si="8"/>
        <v>2.6732203438182955E-19</v>
      </c>
      <c r="N28" s="13">
        <v>25</v>
      </c>
      <c r="O28" s="14">
        <f>(P_smrt_vyliecenie_hosp_Y[[#This Row],[P_death]]-C27)</f>
        <v>0</v>
      </c>
      <c r="P28">
        <f t="shared" si="0"/>
        <v>0</v>
      </c>
      <c r="Q28">
        <f t="shared" si="9"/>
        <v>4.7506197634043643E-8</v>
      </c>
      <c r="R28">
        <f t="shared" si="2"/>
        <v>4.4237422567481161E-8</v>
      </c>
      <c r="S28">
        <f t="shared" si="3"/>
        <v>1.7805938737575772E-3</v>
      </c>
      <c r="T28">
        <f t="shared" si="4"/>
        <v>4.8755032994728023</v>
      </c>
      <c r="U28">
        <f t="shared" si="5"/>
        <v>3.9920143750823587E-3</v>
      </c>
      <c r="V28">
        <v>1E-3</v>
      </c>
      <c r="W28">
        <f t="shared" si="1"/>
        <v>1.0298661174047373E-3</v>
      </c>
      <c r="X28">
        <f t="shared" si="10"/>
        <v>2.5877803785505082E-3</v>
      </c>
      <c r="Y28">
        <f t="shared" si="6"/>
        <v>2.6650673335354932E-3</v>
      </c>
      <c r="Z28">
        <f t="shared" si="7"/>
        <v>2.5051382173504285E-3</v>
      </c>
      <c r="AC28">
        <v>0</v>
      </c>
    </row>
    <row r="29" spans="1:29" x14ac:dyDescent="0.3">
      <c r="A29">
        <v>26</v>
      </c>
      <c r="B29">
        <v>0.94899999999999995</v>
      </c>
      <c r="C29">
        <v>2.5999999999999999E-2</v>
      </c>
      <c r="D29">
        <v>2.5000000000000001E-2</v>
      </c>
      <c r="E29">
        <f t="shared" si="8"/>
        <v>8.0196610314548865E-21</v>
      </c>
      <c r="N29" s="13">
        <v>26</v>
      </c>
      <c r="O29" s="14">
        <f>(P_smrt_vyliecenie_hosp_Y[[#This Row],[P_death]]-C28)</f>
        <v>0</v>
      </c>
      <c r="P29">
        <f t="shared" si="0"/>
        <v>0</v>
      </c>
      <c r="Q29">
        <f t="shared" si="9"/>
        <v>1.4251859290213092E-8</v>
      </c>
      <c r="R29">
        <f t="shared" si="2"/>
        <v>1.3271226770244348E-8</v>
      </c>
      <c r="S29">
        <f t="shared" si="3"/>
        <v>1.4784705080452614E-3</v>
      </c>
      <c r="T29">
        <f t="shared" si="4"/>
        <v>5.0323861520859285</v>
      </c>
      <c r="U29">
        <f t="shared" si="5"/>
        <v>3.7645018634102287E-3</v>
      </c>
      <c r="V29">
        <v>1E-3</v>
      </c>
      <c r="W29">
        <f t="shared" si="1"/>
        <v>1.0298661174047373E-3</v>
      </c>
      <c r="X29">
        <f t="shared" si="10"/>
        <v>1.4763341135651524E-3</v>
      </c>
      <c r="Y29">
        <f t="shared" si="6"/>
        <v>1.5204264828881703E-3</v>
      </c>
      <c r="Z29">
        <f t="shared" si="7"/>
        <v>1.8989485314146353E-3</v>
      </c>
      <c r="AC29">
        <v>0</v>
      </c>
    </row>
    <row r="30" spans="1:29" x14ac:dyDescent="0.3">
      <c r="A30">
        <v>27</v>
      </c>
      <c r="B30">
        <v>0.94899999999999995</v>
      </c>
      <c r="C30">
        <v>2.5999999999999999E-2</v>
      </c>
      <c r="D30">
        <v>2.5000000000000001E-2</v>
      </c>
      <c r="E30">
        <f t="shared" si="8"/>
        <v>2.0049152578637216E-22</v>
      </c>
      <c r="N30" s="13">
        <v>27</v>
      </c>
      <c r="O30" s="14">
        <f>(P_smrt_vyliecenie_hosp_Y[[#This Row],[P_death]]-C29)</f>
        <v>0</v>
      </c>
      <c r="P30">
        <f t="shared" si="0"/>
        <v>0</v>
      </c>
      <c r="Q30">
        <f t="shared" si="9"/>
        <v>4.2755577870639277E-9</v>
      </c>
      <c r="R30">
        <f t="shared" si="2"/>
        <v>3.9813680310733045E-9</v>
      </c>
      <c r="S30">
        <f t="shared" si="3"/>
        <v>1.227610111084328E-3</v>
      </c>
      <c r="T30">
        <f t="shared" si="4"/>
        <v>5.1833474640173165</v>
      </c>
      <c r="U30">
        <f t="shared" si="5"/>
        <v>3.5577890435563161E-3</v>
      </c>
      <c r="V30">
        <f>P_smrt_vyliecenie_hosp_Y[[#This Row],[P_rec]]-B29</f>
        <v>0</v>
      </c>
      <c r="W30">
        <f t="shared" si="1"/>
        <v>0</v>
      </c>
      <c r="X30">
        <f t="shared" si="10"/>
        <v>1.1429002340695457E-3</v>
      </c>
      <c r="Y30">
        <f t="shared" si="6"/>
        <v>1.1770342276939732E-3</v>
      </c>
      <c r="Z30">
        <f t="shared" si="7"/>
        <v>1.4342324150108064E-3</v>
      </c>
      <c r="AC30">
        <v>0</v>
      </c>
    </row>
    <row r="31" spans="1:29" x14ac:dyDescent="0.3">
      <c r="A31">
        <v>28</v>
      </c>
      <c r="B31">
        <v>0.94899999999999995</v>
      </c>
      <c r="C31">
        <v>2.5999999999999999E-2</v>
      </c>
      <c r="D31">
        <v>2.5000000000000001E-2</v>
      </c>
      <c r="E31">
        <f t="shared" si="8"/>
        <v>5.0122881446593042E-24</v>
      </c>
      <c r="N31" s="13">
        <v>28</v>
      </c>
      <c r="O31" s="14">
        <f>(P_smrt_vyliecenie_hosp_Y[[#This Row],[P_death]]-C30)</f>
        <v>0</v>
      </c>
      <c r="P31">
        <f t="shared" si="0"/>
        <v>0</v>
      </c>
      <c r="Q31">
        <f t="shared" si="9"/>
        <v>1.2826673361191784E-9</v>
      </c>
      <c r="R31">
        <f t="shared" si="2"/>
        <v>1.1944104093219915E-9</v>
      </c>
      <c r="S31">
        <f t="shared" si="3"/>
        <v>1.0193146069778359E-3</v>
      </c>
      <c r="T31">
        <f t="shared" si="4"/>
        <v>5.3288180407008152</v>
      </c>
      <c r="U31">
        <f t="shared" si="5"/>
        <v>3.3693099519646985E-3</v>
      </c>
      <c r="V31">
        <f>P_smrt_vyliecenie_hosp_Y[[#This Row],[P_rec]]-B30</f>
        <v>0</v>
      </c>
      <c r="W31">
        <f t="shared" si="1"/>
        <v>0</v>
      </c>
      <c r="X31">
        <f t="shared" si="10"/>
        <v>3.4287007022086369E-4</v>
      </c>
      <c r="Y31">
        <f t="shared" si="6"/>
        <v>3.5311026830819197E-4</v>
      </c>
      <c r="Z31">
        <f t="shared" si="7"/>
        <v>1.0796060472532598E-3</v>
      </c>
      <c r="AC31">
        <v>0</v>
      </c>
    </row>
    <row r="32" spans="1:29" x14ac:dyDescent="0.3">
      <c r="A32">
        <v>29</v>
      </c>
      <c r="B32">
        <v>0.95099999999999996</v>
      </c>
      <c r="C32">
        <v>2.5999999999999999E-2</v>
      </c>
      <c r="D32">
        <v>2.3E-2</v>
      </c>
      <c r="E32">
        <f t="shared" si="8"/>
        <v>1.2530720361648262E-25</v>
      </c>
      <c r="N32" s="13">
        <v>29</v>
      </c>
      <c r="O32" s="14">
        <f>(P_smrt_vyliecenie_hosp_Y[[#This Row],[P_death]]-C31)</f>
        <v>0</v>
      </c>
      <c r="P32">
        <f t="shared" si="0"/>
        <v>0</v>
      </c>
      <c r="Q32">
        <f t="shared" si="9"/>
        <v>3.8480020083575348E-10</v>
      </c>
      <c r="R32">
        <f t="shared" si="2"/>
        <v>3.5832312279659736E-10</v>
      </c>
      <c r="S32">
        <f t="shared" si="3"/>
        <v>8.4636177123096994E-4</v>
      </c>
      <c r="T32">
        <f t="shared" si="4"/>
        <v>5.4691833199458966</v>
      </c>
      <c r="U32">
        <f t="shared" si="5"/>
        <v>3.1968914334116316E-3</v>
      </c>
      <c r="V32">
        <v>0</v>
      </c>
      <c r="W32">
        <f t="shared" si="1"/>
        <v>0</v>
      </c>
      <c r="X32">
        <f t="shared" si="10"/>
        <v>1.0286102106625911E-4</v>
      </c>
      <c r="Y32">
        <f t="shared" si="6"/>
        <v>1.0593308049245759E-4</v>
      </c>
      <c r="Z32">
        <f t="shared" si="7"/>
        <v>8.1012688835727271E-4</v>
      </c>
      <c r="AC32">
        <v>0</v>
      </c>
    </row>
    <row r="33" spans="1:29" x14ac:dyDescent="0.3">
      <c r="A33">
        <v>30</v>
      </c>
      <c r="B33">
        <v>0.95099999999999996</v>
      </c>
      <c r="C33">
        <v>2.5999999999999999E-2</v>
      </c>
      <c r="D33">
        <v>2.3E-2</v>
      </c>
      <c r="E33">
        <f t="shared" si="8"/>
        <v>2.8820656831791002E-27</v>
      </c>
      <c r="N33" s="13">
        <v>30</v>
      </c>
      <c r="O33" s="14">
        <f>(P_smrt_vyliecenie_hosp_Y[[#This Row],[P_death]]-C32)</f>
        <v>0</v>
      </c>
      <c r="P33">
        <f t="shared" si="0"/>
        <v>0</v>
      </c>
      <c r="Q33">
        <f t="shared" si="9"/>
        <v>1.1544006025072604E-10</v>
      </c>
      <c r="R33">
        <f t="shared" si="2"/>
        <v>1.0749693683897921E-10</v>
      </c>
      <c r="S33">
        <f t="shared" si="3"/>
        <v>7.027548147524982E-4</v>
      </c>
      <c r="T33">
        <f t="shared" si="4"/>
        <v>5.6047895266486218</v>
      </c>
      <c r="U33">
        <f t="shared" si="5"/>
        <v>3.0386821194156154E-3</v>
      </c>
      <c r="V33">
        <f>P_smrt_vyliecenie_hosp_Y[[#This Row],[P_rec]]-B32</f>
        <v>0</v>
      </c>
      <c r="W33">
        <f t="shared" si="1"/>
        <v>0</v>
      </c>
      <c r="X33">
        <f t="shared" si="10"/>
        <v>3.0858306319877729E-5</v>
      </c>
      <c r="Y33">
        <f t="shared" si="6"/>
        <v>3.1779924147737274E-5</v>
      </c>
      <c r="Z33">
        <f t="shared" si="7"/>
        <v>6.0614265395830314E-4</v>
      </c>
      <c r="AC33">
        <v>0</v>
      </c>
    </row>
    <row r="34" spans="1:29" x14ac:dyDescent="0.3">
      <c r="A34">
        <v>31</v>
      </c>
      <c r="B34">
        <v>0.95599999999999996</v>
      </c>
      <c r="C34">
        <v>2.5999999999999999E-2</v>
      </c>
      <c r="D34">
        <v>1.7999999999999999E-2</v>
      </c>
      <c r="E34">
        <f t="shared" si="8"/>
        <v>6.6287510713119301E-29</v>
      </c>
      <c r="N34" s="13">
        <v>31</v>
      </c>
      <c r="O34" s="14">
        <f>(P_smrt_vyliecenie_hosp_Y[[#This Row],[P_death]]-C33)</f>
        <v>0</v>
      </c>
      <c r="P34">
        <f t="shared" si="0"/>
        <v>0</v>
      </c>
      <c r="Q34">
        <f t="shared" si="9"/>
        <v>3.463201807521781E-11</v>
      </c>
      <c r="R34">
        <f t="shared" si="2"/>
        <v>3.2249081051693765E-11</v>
      </c>
      <c r="S34">
        <f t="shared" si="3"/>
        <v>5.8351445734550341E-4</v>
      </c>
      <c r="T34">
        <f t="shared" si="4"/>
        <v>5.7359488179405851</v>
      </c>
      <c r="U34">
        <f t="shared" si="5"/>
        <v>2.8930960884861446E-3</v>
      </c>
      <c r="V34">
        <v>0</v>
      </c>
      <c r="W34">
        <f t="shared" si="1"/>
        <v>0</v>
      </c>
      <c r="X34">
        <f t="shared" si="10"/>
        <v>9.2574918959633177E-6</v>
      </c>
      <c r="Y34">
        <f t="shared" si="6"/>
        <v>9.5339772443211811E-6</v>
      </c>
      <c r="Z34">
        <f t="shared" si="7"/>
        <v>4.5228662207398991E-4</v>
      </c>
      <c r="AC34">
        <v>0</v>
      </c>
    </row>
    <row r="35" spans="1:29" x14ac:dyDescent="0.3">
      <c r="A35">
        <v>32</v>
      </c>
      <c r="B35">
        <v>0.95799999999999996</v>
      </c>
      <c r="C35">
        <v>2.7E-2</v>
      </c>
      <c r="D35">
        <v>1.4999999999999999E-2</v>
      </c>
      <c r="E35">
        <f t="shared" si="8"/>
        <v>1.1931751928361473E-30</v>
      </c>
      <c r="N35" s="13">
        <v>32</v>
      </c>
      <c r="O35" s="14">
        <v>0</v>
      </c>
      <c r="P35">
        <f t="shared" si="0"/>
        <v>0</v>
      </c>
      <c r="Q35">
        <f t="shared" si="9"/>
        <v>1.0389605422565342E-11</v>
      </c>
      <c r="R35">
        <f t="shared" si="2"/>
        <v>9.6747243155081282E-12</v>
      </c>
      <c r="S35">
        <f t="shared" si="3"/>
        <v>4.8450628125704586E-4</v>
      </c>
      <c r="T35">
        <f t="shared" si="4"/>
        <v>5.8629436111989062</v>
      </c>
      <c r="U35">
        <f t="shared" si="5"/>
        <v>2.7587678165270453E-3</v>
      </c>
      <c r="V35">
        <v>0</v>
      </c>
      <c r="W35">
        <f t="shared" si="1"/>
        <v>0</v>
      </c>
      <c r="X35">
        <f t="shared" si="10"/>
        <v>2.7772475687889951E-6</v>
      </c>
      <c r="Y35">
        <f t="shared" si="6"/>
        <v>2.8601931732963542E-6</v>
      </c>
      <c r="Z35">
        <f t="shared" si="7"/>
        <v>3.3662383187180563E-4</v>
      </c>
      <c r="AC35">
        <v>0</v>
      </c>
    </row>
    <row r="36" spans="1:29" x14ac:dyDescent="0.3">
      <c r="A36">
        <v>33</v>
      </c>
      <c r="B36">
        <v>0.96099999999999997</v>
      </c>
      <c r="C36">
        <v>2.9000000000000001E-2</v>
      </c>
      <c r="D36">
        <v>0.01</v>
      </c>
      <c r="E36">
        <f t="shared" si="8"/>
        <v>1.7897627892542209E-32</v>
      </c>
      <c r="N36" s="13">
        <v>33</v>
      </c>
      <c r="O36" s="14">
        <v>0</v>
      </c>
      <c r="P36">
        <f t="shared" si="0"/>
        <v>0</v>
      </c>
      <c r="Q36">
        <f t="shared" si="9"/>
        <v>3.1168816267696027E-12</v>
      </c>
      <c r="R36">
        <f t="shared" si="2"/>
        <v>2.9024172946524382E-12</v>
      </c>
      <c r="S36">
        <f t="shared" si="3"/>
        <v>4.0229737862096615E-4</v>
      </c>
      <c r="T36">
        <f t="shared" si="4"/>
        <v>5.9860302458659209</v>
      </c>
      <c r="U36">
        <f t="shared" si="5"/>
        <v>2.6345158865899911E-3</v>
      </c>
      <c r="V36">
        <v>0</v>
      </c>
      <c r="W36">
        <f t="shared" si="1"/>
        <v>0</v>
      </c>
      <c r="X36">
        <f t="shared" si="10"/>
        <v>8.3317427063669854E-7</v>
      </c>
      <c r="Y36">
        <f t="shared" si="6"/>
        <v>8.5805795198890623E-7</v>
      </c>
      <c r="Z36">
        <f t="shared" si="7"/>
        <v>2.4994035674618146E-4</v>
      </c>
      <c r="AC36">
        <v>0</v>
      </c>
    </row>
    <row r="37" spans="1:29" x14ac:dyDescent="0.3">
      <c r="A37">
        <v>34</v>
      </c>
      <c r="B37">
        <v>0.96299999999999997</v>
      </c>
      <c r="C37">
        <v>2.9000000000000001E-2</v>
      </c>
      <c r="D37">
        <v>8.0000000000000002E-3</v>
      </c>
      <c r="E37">
        <f t="shared" si="8"/>
        <v>1.7897627892542208E-34</v>
      </c>
      <c r="N37" s="13">
        <v>34</v>
      </c>
      <c r="O37" s="14">
        <f>(P_smrt_vyliecenie_hosp_Y[[#This Row],[P_death]]-C36)</f>
        <v>0</v>
      </c>
      <c r="P37">
        <f t="shared" si="0"/>
        <v>0</v>
      </c>
      <c r="Q37">
        <f t="shared" si="9"/>
        <v>9.3506448803088074E-13</v>
      </c>
      <c r="R37">
        <f t="shared" si="2"/>
        <v>8.707251883957314E-13</v>
      </c>
      <c r="S37">
        <f t="shared" si="3"/>
        <v>3.340373223343997E-4</v>
      </c>
      <c r="T37">
        <f t="shared" si="4"/>
        <v>6.1054420984646463</v>
      </c>
      <c r="U37">
        <f t="shared" si="5"/>
        <v>2.5193135510692263E-3</v>
      </c>
      <c r="V37">
        <v>0</v>
      </c>
      <c r="W37">
        <f t="shared" si="1"/>
        <v>0</v>
      </c>
      <c r="X37">
        <f t="shared" si="10"/>
        <v>2.4995228119100953E-7</v>
      </c>
      <c r="Y37">
        <f t="shared" si="6"/>
        <v>2.5741738559667185E-7</v>
      </c>
      <c r="Z37">
        <f t="shared" si="7"/>
        <v>1.8516137603634452E-4</v>
      </c>
      <c r="AC37">
        <v>0</v>
      </c>
    </row>
    <row r="38" spans="1:29" x14ac:dyDescent="0.3">
      <c r="A38">
        <v>35</v>
      </c>
      <c r="B38">
        <v>0.96599999999999997</v>
      </c>
      <c r="C38">
        <v>2.9000000000000001E-2</v>
      </c>
      <c r="D38">
        <v>5.0000000000000001E-3</v>
      </c>
      <c r="E38">
        <f t="shared" si="8"/>
        <v>1.4318102314033767E-36</v>
      </c>
      <c r="N38" s="13">
        <v>35</v>
      </c>
      <c r="O38" s="14">
        <f>(P_smrt_vyliecenie_hosp_Y[[#This Row],[P_death]]-C37)</f>
        <v>0</v>
      </c>
      <c r="P38">
        <f t="shared" si="0"/>
        <v>0</v>
      </c>
      <c r="Q38">
        <f t="shared" si="9"/>
        <v>2.8051934640926422E-13</v>
      </c>
      <c r="R38">
        <f t="shared" si="2"/>
        <v>2.6121755651871942E-13</v>
      </c>
      <c r="S38">
        <f t="shared" si="3"/>
        <v>2.7735933327436397E-4</v>
      </c>
      <c r="T38">
        <f t="shared" si="4"/>
        <v>6.2213922459576541</v>
      </c>
      <c r="U38">
        <f t="shared" si="5"/>
        <v>2.4122646963716668E-3</v>
      </c>
      <c r="V38">
        <v>0</v>
      </c>
      <c r="W38">
        <f t="shared" si="1"/>
        <v>0</v>
      </c>
      <c r="X38">
        <f t="shared" si="10"/>
        <v>7.4985684357302862E-8</v>
      </c>
      <c r="Y38">
        <f t="shared" si="6"/>
        <v>7.7225215679001546E-8</v>
      </c>
      <c r="Z38">
        <f t="shared" si="7"/>
        <v>1.3688112996819099E-4</v>
      </c>
      <c r="AC38">
        <v>0</v>
      </c>
    </row>
    <row r="39" spans="1:29" x14ac:dyDescent="0.3">
      <c r="A39">
        <v>36</v>
      </c>
      <c r="B39">
        <v>0.96599999999999997</v>
      </c>
      <c r="C39">
        <v>2.9000000000000001E-2</v>
      </c>
      <c r="D39">
        <v>5.0000000000000001E-3</v>
      </c>
      <c r="E39">
        <f t="shared" si="8"/>
        <v>7.1590511570168833E-39</v>
      </c>
      <c r="N39" s="13">
        <v>36</v>
      </c>
      <c r="O39" s="14">
        <f>(P_smrt_vyliecenie_hosp_Y[[#This Row],[P_death]]-C38)</f>
        <v>0</v>
      </c>
      <c r="P39">
        <f t="shared" si="0"/>
        <v>0</v>
      </c>
      <c r="Q39">
        <f t="shared" si="9"/>
        <v>8.4155803922779267E-14</v>
      </c>
      <c r="R39">
        <f t="shared" si="2"/>
        <v>7.8365266955615831E-14</v>
      </c>
      <c r="S39">
        <f t="shared" si="3"/>
        <v>2.3029821702794055E-4</v>
      </c>
      <c r="T39">
        <f>(LN(N39)-$J$14)/$J$15</f>
        <v>6.3340757538244397</v>
      </c>
      <c r="U39">
        <f t="shared" si="5"/>
        <v>2.3125840980852269E-3</v>
      </c>
      <c r="V39">
        <f>P_smrt_vyliecenie_hosp_Y[[#This Row],[P_rec]]-B38</f>
        <v>0</v>
      </c>
      <c r="W39">
        <f t="shared" si="1"/>
        <v>0</v>
      </c>
      <c r="X39">
        <f t="shared" si="10"/>
        <v>2.2495705307190859E-8</v>
      </c>
      <c r="Y39">
        <f t="shared" si="6"/>
        <v>2.3167564703700467E-8</v>
      </c>
      <c r="Z39">
        <f t="shared" si="7"/>
        <v>1.0098754626521647E-4</v>
      </c>
      <c r="AC39">
        <v>0</v>
      </c>
    </row>
    <row r="40" spans="1:29" x14ac:dyDescent="0.3">
      <c r="A40">
        <v>37</v>
      </c>
      <c r="B40">
        <v>0.96599999999999997</v>
      </c>
      <c r="C40">
        <v>2.9000000000000001E-2</v>
      </c>
      <c r="D40">
        <v>5.0000000000000001E-3</v>
      </c>
      <c r="E40">
        <f t="shared" si="8"/>
        <v>3.5795255785084417E-41</v>
      </c>
      <c r="N40" s="13">
        <v>37</v>
      </c>
      <c r="O40" s="14">
        <f>(P_smrt_vyliecenie_hosp_Y[[#This Row],[P_death]]-C39)</f>
        <v>0</v>
      </c>
      <c r="P40">
        <f t="shared" si="0"/>
        <v>0</v>
      </c>
      <c r="Q40">
        <f t="shared" si="9"/>
        <v>2.524674117683378E-14</v>
      </c>
      <c r="R40">
        <f t="shared" si="2"/>
        <v>2.3509580086684749E-14</v>
      </c>
      <c r="S40">
        <f t="shared" si="3"/>
        <v>1.9122222475846505E-4</v>
      </c>
      <c r="T40">
        <f t="shared" si="4"/>
        <v>6.4436716505768974</v>
      </c>
      <c r="U40">
        <f t="shared" si="5"/>
        <v>2.219581106998568E-3</v>
      </c>
      <c r="V40">
        <f>P_smrt_vyliecenie_hosp_Y[[#This Row],[P_rec]]-B39</f>
        <v>0</v>
      </c>
      <c r="W40">
        <f t="shared" si="1"/>
        <v>0</v>
      </c>
      <c r="X40">
        <f t="shared" si="10"/>
        <v>6.7487115921572571E-9</v>
      </c>
      <c r="Y40">
        <f t="shared" si="6"/>
        <v>6.9502694111101391E-9</v>
      </c>
      <c r="Z40">
        <f t="shared" si="7"/>
        <v>7.4365369021758812E-5</v>
      </c>
      <c r="AC40">
        <v>0</v>
      </c>
    </row>
    <row r="41" spans="1:29" x14ac:dyDescent="0.3">
      <c r="A41">
        <v>38</v>
      </c>
      <c r="B41">
        <v>0.97099999999999997</v>
      </c>
      <c r="C41">
        <v>2.9000000000000001E-2</v>
      </c>
      <c r="D41">
        <v>0</v>
      </c>
      <c r="E41">
        <f>D40*E40</f>
        <v>1.7897627892542209E-43</v>
      </c>
      <c r="N41" s="13">
        <v>38</v>
      </c>
      <c r="O41" s="14">
        <f>(P_smrt_vyliecenie_hosp_Y[[#This Row],[P_death]]-C40)</f>
        <v>0</v>
      </c>
      <c r="P41">
        <f t="shared" si="0"/>
        <v>0</v>
      </c>
      <c r="Q41">
        <f t="shared" si="9"/>
        <v>7.5740223530501334E-15</v>
      </c>
      <c r="R41">
        <f t="shared" si="2"/>
        <v>7.0528740260054244E-15</v>
      </c>
      <c r="S41">
        <f t="shared" si="3"/>
        <v>1.587764756213488E-4</v>
      </c>
      <c r="T41">
        <f t="shared" si="4"/>
        <v>6.5503446389055426</v>
      </c>
      <c r="U41">
        <f t="shared" si="5"/>
        <v>2.1326460963560175E-3</v>
      </c>
      <c r="V41">
        <v>0</v>
      </c>
      <c r="W41">
        <f t="shared" si="1"/>
        <v>0</v>
      </c>
      <c r="X41">
        <f t="shared" si="10"/>
        <v>2.0246134776471769E-9</v>
      </c>
      <c r="Y41">
        <f t="shared" si="6"/>
        <v>2.0850808233330415E-9</v>
      </c>
      <c r="Z41">
        <f t="shared" si="7"/>
        <v>5.4663337632188214E-5</v>
      </c>
      <c r="AC41">
        <v>0</v>
      </c>
    </row>
    <row r="42" spans="1:29" x14ac:dyDescent="0.3">
      <c r="B42">
        <f>SUMPRODUCT(P_smrt_vyliecenie_hosp_Y[P_rec],P_smrt_vyliecenie_hosp_Y[P_cont_cum])</f>
        <v>0.94848169283601969</v>
      </c>
      <c r="C42" s="2">
        <f>SUMPRODUCT(P_smrt_vyliecenie_hosp_Y[P_death],P_smrt_vyliecenie_hosp_Y[P_cont_cum])</f>
        <v>5.151830716398012E-2</v>
      </c>
      <c r="E42" s="1"/>
      <c r="O42" s="15">
        <f>SUM(O3:O41)</f>
        <v>2.9000000000000008E-2</v>
      </c>
      <c r="P42" s="15">
        <f>SUM(P3:P41)</f>
        <v>1</v>
      </c>
      <c r="Q42" s="15">
        <f>SUM(Q3:Q41)</f>
        <v>1.0738916256157598</v>
      </c>
      <c r="R42" s="15">
        <f>SUM(R3:R41)</f>
        <v>1.0000000000000004</v>
      </c>
      <c r="S42" s="15"/>
      <c r="T42" s="15"/>
      <c r="U42" s="15"/>
      <c r="V42" s="15">
        <f>SUM(V3:V41)</f>
        <v>0.97100000000000009</v>
      </c>
      <c r="W42" s="15">
        <f>SUM(W3:W41)</f>
        <v>1</v>
      </c>
      <c r="X42" s="15">
        <f>SUM(X3:X41)</f>
        <v>0.97099999913230872</v>
      </c>
      <c r="Y42" s="15">
        <f>SUM(Y3:Y41)</f>
        <v>0.99999999999999978</v>
      </c>
      <c r="AC42">
        <v>2.9000000000000005E-2</v>
      </c>
    </row>
    <row r="43" spans="1:29" x14ac:dyDescent="0.3">
      <c r="B43">
        <f>SUMPRODUCT(P_smrt_vyliecenie_hosp_Y[P_rec],P_smrt_vyliecenie_hosp_Y[P_cont_cum],P_smrt_vyliecenie_hosp_Y[day])/P_smrt_vyliecenie_hosp_Y[[#Totals],[P_rec]]</f>
        <v>4.5640142304033455</v>
      </c>
      <c r="C43">
        <f>SUMPRODUCT(P_smrt_vyliecenie_hosp_Y[day],P_smrt_vyliecenie_hosp_Y[P_death],P_smrt_vyliecenie_hosp_Y[P_cont_cum])/P_smrt_vyliecenie_hosp_Y[[#Totals],[P_death]]</f>
        <v>3.407570328175872</v>
      </c>
      <c r="Q43" s="16" t="s">
        <v>45</v>
      </c>
      <c r="R43" s="31">
        <f>SUMPRODUCT(R4:R41,N4:N41)</f>
        <v>5.3781127129749988</v>
      </c>
      <c r="S43" s="31"/>
      <c r="T43" s="31"/>
      <c r="U43" s="31"/>
      <c r="AC43" s="31"/>
    </row>
    <row r="44" spans="1:29" x14ac:dyDescent="0.3">
      <c r="B44">
        <f>P_smrt_vyliecenie_hosp_Y[[#Totals],[P_rec]]/B43</f>
        <v>0.20781742671126541</v>
      </c>
      <c r="C44">
        <f>P_smrt_vyliecenie_hosp_Y[[#Totals],[P_death]]/C43</f>
        <v>1.5118780304545823E-2</v>
      </c>
      <c r="Q44" s="16" t="s">
        <v>46</v>
      </c>
      <c r="R44" s="16">
        <f>1/R43</f>
        <v>0.18593883270379288</v>
      </c>
      <c r="S44" s="16"/>
      <c r="T44" s="16"/>
      <c r="U44" s="16"/>
      <c r="X44" s="16" t="s">
        <v>39</v>
      </c>
      <c r="Y44">
        <f>SUMPRODUCT(Y4:Y41,N4:N41)</f>
        <v>9.2308371070448363</v>
      </c>
      <c r="Z44">
        <f>SUMPRODUCT(Z4:Z41,N4:N41)</f>
        <v>9.2398705643933905</v>
      </c>
      <c r="AA44" s="16"/>
      <c r="AC44" s="16"/>
    </row>
    <row r="45" spans="1:29" x14ac:dyDescent="0.3">
      <c r="Q45" t="s">
        <v>39</v>
      </c>
      <c r="R45">
        <f>SUMPRODUCT(S4:S41,N4:N41)</f>
        <v>5.3285397440093423</v>
      </c>
      <c r="X45" s="16" t="s">
        <v>40</v>
      </c>
      <c r="Y45">
        <f>(SUMPRODUCT(N4:N41,N4:N41,Y4:Y41)-Y44^2)^0.5</f>
        <v>4.9643968295789467</v>
      </c>
      <c r="Z45">
        <f>(SUMPRODUCT(N4:N41,N4:N41,Z4:Z41)-Z44^2)^0.5</f>
        <v>4.9631826071438381</v>
      </c>
      <c r="AA45" s="16"/>
    </row>
    <row r="46" spans="1:29" x14ac:dyDescent="0.3">
      <c r="Q46" t="s">
        <v>47</v>
      </c>
      <c r="R46">
        <f>(SUMPRODUCT(S4:S41,N4:N41,N4:N41)-R45^2)^0.5</f>
        <v>5.2853739196503051</v>
      </c>
    </row>
  </sheetData>
  <mergeCells count="2">
    <mergeCell ref="O1:R1"/>
    <mergeCell ref="V1:Z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14CE-AE6A-49D3-8A4D-846F0431249A}">
  <dimension ref="A1:W63"/>
  <sheetViews>
    <sheetView topLeftCell="D40" workbookViewId="0">
      <selection activeCell="N23" sqref="N23"/>
    </sheetView>
  </sheetViews>
  <sheetFormatPr defaultRowHeight="14.4" x14ac:dyDescent="0.3"/>
  <cols>
    <col min="9" max="9" width="24.21875" customWidth="1"/>
    <col min="14" max="14" width="8.88671875" style="12"/>
    <col min="23" max="23" width="12" bestFit="1" customWidth="1"/>
  </cols>
  <sheetData>
    <row r="1" spans="1:23" x14ac:dyDescent="0.3">
      <c r="A1" t="s">
        <v>0</v>
      </c>
      <c r="B1" t="s">
        <v>7</v>
      </c>
      <c r="C1" t="s">
        <v>6</v>
      </c>
      <c r="D1" t="s">
        <v>8</v>
      </c>
      <c r="E1" t="s">
        <v>14</v>
      </c>
      <c r="I1" s="4" t="s">
        <v>9</v>
      </c>
      <c r="N1" s="33" t="s">
        <v>31</v>
      </c>
      <c r="O1" s="33"/>
      <c r="P1" s="33"/>
      <c r="Q1" s="33"/>
      <c r="R1" s="32"/>
      <c r="S1" s="33" t="s">
        <v>34</v>
      </c>
      <c r="T1" s="33"/>
      <c r="U1" s="33"/>
      <c r="V1" s="33"/>
      <c r="W1" s="33"/>
    </row>
    <row r="2" spans="1:23" x14ac:dyDescent="0.3">
      <c r="B2">
        <v>0</v>
      </c>
      <c r="C2">
        <v>0</v>
      </c>
      <c r="D2">
        <v>1</v>
      </c>
      <c r="I2" s="3" t="s">
        <v>1</v>
      </c>
      <c r="J2">
        <f>B59</f>
        <v>5.6533128722692334</v>
      </c>
      <c r="N2" s="18" t="s">
        <v>26</v>
      </c>
      <c r="O2" s="18" t="s">
        <v>27</v>
      </c>
      <c r="P2" s="18" t="s">
        <v>29</v>
      </c>
      <c r="Q2" s="18" t="s">
        <v>33</v>
      </c>
      <c r="R2" s="18" t="s">
        <v>41</v>
      </c>
      <c r="S2" s="18" t="s">
        <v>26</v>
      </c>
      <c r="T2" s="18" t="s">
        <v>27</v>
      </c>
      <c r="U2" s="18" t="s">
        <v>29</v>
      </c>
      <c r="V2" s="18" t="s">
        <v>33</v>
      </c>
      <c r="W2" s="18" t="s">
        <v>41</v>
      </c>
    </row>
    <row r="3" spans="1:23" x14ac:dyDescent="0.3">
      <c r="A3">
        <v>0</v>
      </c>
      <c r="B3">
        <v>0</v>
      </c>
      <c r="C3">
        <v>1.6E-2</v>
      </c>
      <c r="D3">
        <v>0.98399999999999999</v>
      </c>
      <c r="E3">
        <f>1</f>
        <v>1</v>
      </c>
      <c r="I3" s="3" t="s">
        <v>2</v>
      </c>
      <c r="J3">
        <f>P_smrt_vyliecenie_hosp_O[[#Totals],[P_death]]</f>
        <v>0.37161160021454559</v>
      </c>
      <c r="M3">
        <v>0</v>
      </c>
      <c r="N3" s="19">
        <v>1.7999999999999999E-2</v>
      </c>
      <c r="O3" s="20">
        <f>N3/$N$58</f>
        <v>8.4507042253521084E-2</v>
      </c>
      <c r="P3" s="20"/>
      <c r="Q3" s="21"/>
      <c r="R3" s="20"/>
      <c r="S3" s="28">
        <f>P_smrt_vyliecenie_hosp_O[[#This Row],[P_rec]]-B2</f>
        <v>0</v>
      </c>
      <c r="T3" s="20">
        <f>S3/$S$58</f>
        <v>0</v>
      </c>
      <c r="U3" s="20"/>
      <c r="V3" s="20"/>
      <c r="W3" s="21"/>
    </row>
    <row r="4" spans="1:23" x14ac:dyDescent="0.3">
      <c r="A4">
        <v>1</v>
      </c>
      <c r="B4">
        <v>1.6E-2</v>
      </c>
      <c r="C4">
        <v>2.9000000000000001E-2</v>
      </c>
      <c r="D4">
        <v>0.95399999999999996</v>
      </c>
      <c r="E4">
        <f>D3*E3</f>
        <v>0.98399999999999999</v>
      </c>
      <c r="I4" s="3" t="s">
        <v>4</v>
      </c>
      <c r="J4">
        <f>P_smrt_vyliecenie_hosp_O[[#Totals],[P_rec]]</f>
        <v>0.62765674035457053</v>
      </c>
      <c r="M4">
        <v>1</v>
      </c>
      <c r="N4" s="22">
        <v>1.7000000000000001E-2</v>
      </c>
      <c r="O4" s="23">
        <f t="shared" ref="O4:O57" si="0">N4/$N$58</f>
        <v>7.9812206572769925E-2</v>
      </c>
      <c r="P4" s="23">
        <f>N3</f>
        <v>1.7999999999999999E-2</v>
      </c>
      <c r="Q4" s="24">
        <f>P4/$P$58</f>
        <v>7.7922077922915514E-2</v>
      </c>
      <c r="R4" s="23">
        <f>_xlfn.EXPON.DIST(M4,$Q$60,FALSE)</f>
        <v>0.10190971421338953</v>
      </c>
      <c r="S4" s="29">
        <v>0.01</v>
      </c>
      <c r="T4" s="23">
        <f t="shared" ref="T4:T57" si="1">S4/$S$58</f>
        <v>1.2820512820512818E-2</v>
      </c>
      <c r="U4" s="23">
        <f>S3</f>
        <v>0</v>
      </c>
      <c r="V4" s="23">
        <f>U4/$U$58</f>
        <v>0</v>
      </c>
      <c r="W4" s="24">
        <f>_xlfn.GAMMA.DIST(M5,$J$11,$J$12,FALSE)</f>
        <v>1.3263549077736014E-3</v>
      </c>
    </row>
    <row r="5" spans="1:23" x14ac:dyDescent="0.3">
      <c r="A5">
        <v>2</v>
      </c>
      <c r="B5">
        <v>4.3999999999999997E-2</v>
      </c>
      <c r="C5">
        <v>4.7E-2</v>
      </c>
      <c r="D5">
        <v>0.90900000000000003</v>
      </c>
      <c r="E5">
        <f t="shared" ref="E5:E57" si="2">D4*E4</f>
        <v>0.9387359999999999</v>
      </c>
      <c r="I5" s="3" t="s">
        <v>3</v>
      </c>
      <c r="J5">
        <f>1/(J3/J6+J4/J2)</f>
        <v>5.2099817543944464</v>
      </c>
      <c r="M5">
        <v>2</v>
      </c>
      <c r="N5" s="22">
        <f>(P_smrt_vyliecenie_hosp_O[[#This Row],[P_death]]-C4)</f>
        <v>1.7999999999999999E-2</v>
      </c>
      <c r="O5" s="23">
        <f t="shared" si="0"/>
        <v>8.4507042253521084E-2</v>
      </c>
      <c r="P5" s="23">
        <f>(1-$J$9)*N4+$J$9*P4</f>
        <v>1.7500000000000002E-2</v>
      </c>
      <c r="Q5" s="24">
        <f t="shared" ref="Q5:Q57" si="3">P5/$P$58</f>
        <v>7.5757575758390094E-2</v>
      </c>
      <c r="R5" s="23">
        <f t="shared" ref="R5:R57" si="4">_xlfn.EXPON.DIST(M5,$Q$60,FALSE)</f>
        <v>9.0907630639022657E-2</v>
      </c>
      <c r="S5" s="29">
        <f>P_smrt_vyliecenie_hosp_O[[#This Row],[P_rec]]-B4</f>
        <v>2.7999999999999997E-2</v>
      </c>
      <c r="T5" s="23">
        <f t="shared" si="1"/>
        <v>3.5897435897435888E-2</v>
      </c>
      <c r="U5" s="23">
        <f>(1-$J$10)*S4+$J$10*U4</f>
        <v>5.0000000000000001E-3</v>
      </c>
      <c r="V5" s="23">
        <f t="shared" ref="V5:V57" si="5">U5/$U$58</f>
        <v>6.4102565025348944E-3</v>
      </c>
      <c r="W5" s="24">
        <f t="shared" ref="W5:W57" si="6">_xlfn.GAMMA.DIST(M6,$J$11,$J$12,FALSE)</f>
        <v>5.0240556932217096E-3</v>
      </c>
    </row>
    <row r="6" spans="1:23" x14ac:dyDescent="0.3">
      <c r="A6">
        <v>3</v>
      </c>
      <c r="B6">
        <v>8.5999999999999993E-2</v>
      </c>
      <c r="C6">
        <v>5.8999999999999997E-2</v>
      </c>
      <c r="D6">
        <v>0.85499999999999998</v>
      </c>
      <c r="E6">
        <f t="shared" si="2"/>
        <v>0.85331102399999992</v>
      </c>
      <c r="I6" s="3" t="s">
        <v>5</v>
      </c>
      <c r="J6">
        <f>C59</f>
        <v>4.5926361058787624</v>
      </c>
      <c r="M6">
        <v>3</v>
      </c>
      <c r="N6" s="22">
        <v>1.6E-2</v>
      </c>
      <c r="O6" s="23">
        <f t="shared" si="0"/>
        <v>7.5117370892018753E-2</v>
      </c>
      <c r="P6" s="23">
        <f t="shared" ref="P6:P57" si="7">(1-$J$9)*N5+$J$9*P5</f>
        <v>1.7750000000000002E-2</v>
      </c>
      <c r="Q6" s="24">
        <f t="shared" si="3"/>
        <v>7.6839826840652811E-2</v>
      </c>
      <c r="R6" s="23">
        <f t="shared" si="4"/>
        <v>8.1093322380401414E-2</v>
      </c>
      <c r="S6" s="29">
        <v>3.2000000000000001E-2</v>
      </c>
      <c r="T6" s="23">
        <f t="shared" si="1"/>
        <v>4.1025641025641019E-2</v>
      </c>
      <c r="U6" s="23">
        <f>(1-$J$10)*S5+$J$10*U5</f>
        <v>1.6499999999999997E-2</v>
      </c>
      <c r="V6" s="23">
        <f t="shared" si="5"/>
        <v>2.1153846458365148E-2</v>
      </c>
      <c r="W6" s="24">
        <f t="shared" si="6"/>
        <v>1.1672561565225082E-2</v>
      </c>
    </row>
    <row r="7" spans="1:23" x14ac:dyDescent="0.3">
      <c r="A7">
        <v>4</v>
      </c>
      <c r="B7">
        <v>0.124</v>
      </c>
      <c r="C7">
        <v>7.1999999999999995E-2</v>
      </c>
      <c r="D7">
        <v>0.80500000000000005</v>
      </c>
      <c r="E7">
        <f t="shared" si="2"/>
        <v>0.72958092551999987</v>
      </c>
      <c r="I7" s="3" t="s">
        <v>10</v>
      </c>
      <c r="J7">
        <v>2524</v>
      </c>
      <c r="M7">
        <v>4</v>
      </c>
      <c r="N7" s="22">
        <v>1.4999999999999999E-2</v>
      </c>
      <c r="O7" s="23">
        <f t="shared" si="0"/>
        <v>7.0422535211267581E-2</v>
      </c>
      <c r="P7" s="23">
        <f t="shared" si="7"/>
        <v>1.6875000000000001E-2</v>
      </c>
      <c r="Q7" s="24">
        <f t="shared" si="3"/>
        <v>7.3051948052733309E-2</v>
      </c>
      <c r="R7" s="23">
        <f t="shared" si="4"/>
        <v>7.2338558253754195E-2</v>
      </c>
      <c r="S7" s="29">
        <v>4.3999999999999997E-2</v>
      </c>
      <c r="T7" s="23">
        <f t="shared" si="1"/>
        <v>5.6410256410256397E-2</v>
      </c>
      <c r="U7" s="23">
        <f t="shared" ref="U7:U57" si="8">(1-$J$10)*S6+$J$10*U6</f>
        <v>2.4250000000000001E-2</v>
      </c>
      <c r="V7" s="23">
        <f t="shared" si="5"/>
        <v>3.108974403729424E-2</v>
      </c>
      <c r="W7" s="24">
        <f t="shared" si="6"/>
        <v>2.0747162020006666E-2</v>
      </c>
    </row>
    <row r="8" spans="1:23" x14ac:dyDescent="0.3">
      <c r="A8">
        <v>5</v>
      </c>
      <c r="B8">
        <v>0.16500000000000001</v>
      </c>
      <c r="C8">
        <v>8.3000000000000004E-2</v>
      </c>
      <c r="D8">
        <v>0.751</v>
      </c>
      <c r="E8">
        <f t="shared" si="2"/>
        <v>0.58731264504359992</v>
      </c>
      <c r="M8">
        <v>5</v>
      </c>
      <c r="N8" s="22">
        <v>1.2E-2</v>
      </c>
      <c r="O8" s="23">
        <f t="shared" si="0"/>
        <v>5.6338028169014065E-2</v>
      </c>
      <c r="P8" s="23">
        <f t="shared" si="7"/>
        <v>1.59375E-2</v>
      </c>
      <c r="Q8" s="24">
        <f t="shared" si="3"/>
        <v>6.8993506494248111E-2</v>
      </c>
      <c r="R8" s="23">
        <f t="shared" si="4"/>
        <v>6.4528950801705801E-2</v>
      </c>
      <c r="S8" s="29">
        <v>4.8000000000000001E-2</v>
      </c>
      <c r="T8" s="23">
        <f t="shared" si="1"/>
        <v>6.1538461538461528E-2</v>
      </c>
      <c r="U8" s="23">
        <f t="shared" si="8"/>
        <v>3.4125000000000003E-2</v>
      </c>
      <c r="V8" s="23">
        <f t="shared" si="5"/>
        <v>4.375000062980066E-2</v>
      </c>
      <c r="W8" s="24">
        <f t="shared" si="6"/>
        <v>3.1129836582298519E-2</v>
      </c>
    </row>
    <row r="9" spans="1:23" x14ac:dyDescent="0.3">
      <c r="A9">
        <v>6</v>
      </c>
      <c r="B9">
        <v>0.20499999999999999</v>
      </c>
      <c r="C9">
        <v>9.8000000000000004E-2</v>
      </c>
      <c r="D9">
        <v>0.69699999999999995</v>
      </c>
      <c r="E9">
        <f t="shared" si="2"/>
        <v>0.44107179642774352</v>
      </c>
      <c r="I9" s="3" t="s">
        <v>35</v>
      </c>
      <c r="J9">
        <v>0.5</v>
      </c>
      <c r="M9">
        <v>6</v>
      </c>
      <c r="N9" s="22">
        <f>(P_smrt_vyliecenie_hosp_O[[#This Row],[P_death]]-C8)</f>
        <v>1.4999999999999999E-2</v>
      </c>
      <c r="O9" s="23">
        <f t="shared" si="0"/>
        <v>7.0422535211267581E-2</v>
      </c>
      <c r="P9" s="23">
        <f t="shared" si="7"/>
        <v>1.396875E-2</v>
      </c>
      <c r="Q9" s="24">
        <f t="shared" si="3"/>
        <v>6.0470779221429231E-2</v>
      </c>
      <c r="R9" s="23">
        <f t="shared" si="4"/>
        <v>5.7562461736688907E-2</v>
      </c>
      <c r="S9" s="29">
        <f>P_smrt_vyliecenie_hosp_O[[#This Row],[P_rec]]-B8</f>
        <v>3.999999999999998E-2</v>
      </c>
      <c r="T9" s="23">
        <f t="shared" si="1"/>
        <v>5.1282051282051246E-2</v>
      </c>
      <c r="U9" s="23">
        <f t="shared" si="8"/>
        <v>4.1062500000000002E-2</v>
      </c>
      <c r="V9" s="23">
        <f t="shared" si="5"/>
        <v>5.2644231527067827E-2</v>
      </c>
      <c r="W9" s="24">
        <f t="shared" si="6"/>
        <v>4.1554875842604991E-2</v>
      </c>
    </row>
    <row r="10" spans="1:23" x14ac:dyDescent="0.3">
      <c r="A10">
        <v>7</v>
      </c>
      <c r="B10">
        <v>0.246</v>
      </c>
      <c r="C10">
        <v>0.112</v>
      </c>
      <c r="D10">
        <v>0.64300000000000002</v>
      </c>
      <c r="E10">
        <f t="shared" si="2"/>
        <v>0.30742704211013722</v>
      </c>
      <c r="I10" s="3" t="s">
        <v>36</v>
      </c>
      <c r="J10">
        <v>0.5</v>
      </c>
      <c r="M10">
        <v>7</v>
      </c>
      <c r="N10" s="22">
        <f>(P_smrt_vyliecenie_hosp_O[[#This Row],[P_death]]-C9)</f>
        <v>1.3999999999999999E-2</v>
      </c>
      <c r="O10" s="23">
        <f t="shared" si="0"/>
        <v>6.5727699530516395E-2</v>
      </c>
      <c r="P10" s="23">
        <f t="shared" si="7"/>
        <v>1.4484375000000001E-2</v>
      </c>
      <c r="Q10" s="24">
        <f t="shared" si="3"/>
        <v>6.2702922078596082E-2</v>
      </c>
      <c r="R10" s="23">
        <f t="shared" si="4"/>
        <v>5.1348068735377381E-2</v>
      </c>
      <c r="S10" s="29">
        <f>P_smrt_vyliecenie_hosp_O[[#This Row],[P_rec]]-B9</f>
        <v>4.1000000000000009E-2</v>
      </c>
      <c r="T10" s="23">
        <f t="shared" si="1"/>
        <v>5.2564102564102565E-2</v>
      </c>
      <c r="U10" s="23">
        <f t="shared" si="8"/>
        <v>4.0531249999999991E-2</v>
      </c>
      <c r="V10" s="23">
        <f t="shared" si="5"/>
        <v>5.1963141773673477E-2</v>
      </c>
      <c r="W10" s="24">
        <f t="shared" si="6"/>
        <v>5.0921893033842938E-2</v>
      </c>
    </row>
    <row r="11" spans="1:23" x14ac:dyDescent="0.3">
      <c r="A11">
        <v>8</v>
      </c>
      <c r="B11">
        <v>0.30099999999999999</v>
      </c>
      <c r="C11">
        <v>0.121</v>
      </c>
      <c r="D11">
        <v>0.57699999999999996</v>
      </c>
      <c r="E11">
        <f t="shared" si="2"/>
        <v>0.19767558807681823</v>
      </c>
      <c r="I11" s="3" t="s">
        <v>37</v>
      </c>
      <c r="J11">
        <v>5.15</v>
      </c>
      <c r="M11">
        <v>8</v>
      </c>
      <c r="N11" s="22">
        <v>1.2E-2</v>
      </c>
      <c r="O11" s="23">
        <f t="shared" si="0"/>
        <v>5.6338028169014065E-2</v>
      </c>
      <c r="P11" s="23">
        <f t="shared" si="7"/>
        <v>1.42421875E-2</v>
      </c>
      <c r="Q11" s="24">
        <f t="shared" si="3"/>
        <v>6.1654491342654077E-2</v>
      </c>
      <c r="R11" s="23">
        <f t="shared" si="4"/>
        <v>4.5804576164825833E-2</v>
      </c>
      <c r="S11" s="29">
        <f>P_smrt_vyliecenie_hosp_O[[#This Row],[P_rec]]-B10</f>
        <v>5.4999999999999993E-2</v>
      </c>
      <c r="T11" s="23">
        <f t="shared" si="1"/>
        <v>7.0512820512820498E-2</v>
      </c>
      <c r="U11" s="23">
        <f t="shared" si="8"/>
        <v>4.0765625E-2</v>
      </c>
      <c r="V11" s="23">
        <f t="shared" si="5"/>
        <v>5.2263622547229813E-2</v>
      </c>
      <c r="W11" s="24">
        <f t="shared" si="6"/>
        <v>5.8452552374256922E-2</v>
      </c>
    </row>
    <row r="12" spans="1:23" x14ac:dyDescent="0.3">
      <c r="A12">
        <v>9</v>
      </c>
      <c r="B12">
        <v>0.35599999999999998</v>
      </c>
      <c r="C12">
        <v>0.13100000000000001</v>
      </c>
      <c r="D12">
        <v>0.51300000000000001</v>
      </c>
      <c r="E12">
        <f t="shared" si="2"/>
        <v>0.11405881432032411</v>
      </c>
      <c r="I12" s="3" t="s">
        <v>38</v>
      </c>
      <c r="J12">
        <v>2.85</v>
      </c>
      <c r="M12">
        <v>9</v>
      </c>
      <c r="N12" s="22">
        <v>1.0999999999999999E-2</v>
      </c>
      <c r="O12" s="23">
        <f t="shared" si="0"/>
        <v>5.1643192488262886E-2</v>
      </c>
      <c r="P12" s="23">
        <f t="shared" si="7"/>
        <v>1.312109375E-2</v>
      </c>
      <c r="Q12" s="24">
        <f t="shared" si="3"/>
        <v>5.6801271645632215E-2</v>
      </c>
      <c r="R12" s="23">
        <f t="shared" si="4"/>
        <v>4.085955420157461E-2</v>
      </c>
      <c r="S12" s="29">
        <f>P_smrt_vyliecenie_hosp_O[[#This Row],[P_rec]]-B11</f>
        <v>5.4999999999999993E-2</v>
      </c>
      <c r="T12" s="23">
        <f t="shared" si="1"/>
        <v>7.0512820512820498E-2</v>
      </c>
      <c r="U12" s="23">
        <f t="shared" si="8"/>
        <v>4.7882812499999997E-2</v>
      </c>
      <c r="V12" s="23">
        <f t="shared" si="5"/>
        <v>6.1388222037556825E-2</v>
      </c>
      <c r="W12" s="24">
        <f t="shared" si="6"/>
        <v>6.3725468466626509E-2</v>
      </c>
    </row>
    <row r="13" spans="1:23" x14ac:dyDescent="0.3">
      <c r="A13">
        <v>10</v>
      </c>
      <c r="B13">
        <v>0.39600000000000002</v>
      </c>
      <c r="C13">
        <v>0.13800000000000001</v>
      </c>
      <c r="D13">
        <v>0.46600000000000003</v>
      </c>
      <c r="E13">
        <f t="shared" si="2"/>
        <v>5.8512171746326266E-2</v>
      </c>
      <c r="M13">
        <v>10</v>
      </c>
      <c r="N13" s="22">
        <v>8.9999999999999993E-3</v>
      </c>
      <c r="O13" s="23">
        <f t="shared" si="0"/>
        <v>4.2253521126760542E-2</v>
      </c>
      <c r="P13" s="23">
        <f t="shared" si="7"/>
        <v>1.2060546875E-2</v>
      </c>
      <c r="Q13" s="24">
        <f t="shared" si="3"/>
        <v>5.221015963259585E-2</v>
      </c>
      <c r="R13" s="23">
        <f t="shared" si="4"/>
        <v>3.6448392482527882E-2</v>
      </c>
      <c r="S13" s="29">
        <f>P_smrt_vyliecenie_hosp_O[[#This Row],[P_rec]]-B12</f>
        <v>4.0000000000000036E-2</v>
      </c>
      <c r="T13" s="23">
        <f t="shared" si="1"/>
        <v>5.1282051282051322E-2</v>
      </c>
      <c r="U13" s="23">
        <f t="shared" si="8"/>
        <v>5.1441406249999995E-2</v>
      </c>
      <c r="V13" s="23">
        <f t="shared" si="5"/>
        <v>6.5950521782720331E-2</v>
      </c>
      <c r="W13" s="24">
        <f t="shared" si="6"/>
        <v>6.6635958870419371E-2</v>
      </c>
    </row>
    <row r="14" spans="1:23" x14ac:dyDescent="0.3">
      <c r="A14">
        <v>11</v>
      </c>
      <c r="B14">
        <v>0.44600000000000001</v>
      </c>
      <c r="C14">
        <v>0.15</v>
      </c>
      <c r="D14">
        <v>0.40400000000000003</v>
      </c>
      <c r="E14">
        <f t="shared" si="2"/>
        <v>2.7266672033788041E-2</v>
      </c>
      <c r="M14">
        <v>11</v>
      </c>
      <c r="N14" s="22">
        <v>7.0000000000000001E-3</v>
      </c>
      <c r="O14" s="23">
        <f t="shared" si="0"/>
        <v>3.2863849765258205E-2</v>
      </c>
      <c r="P14" s="23">
        <f t="shared" si="7"/>
        <v>1.0530273437499999E-2</v>
      </c>
      <c r="Q14" s="24">
        <f t="shared" si="3"/>
        <v>4.5585599297026803E-2</v>
      </c>
      <c r="R14" s="23">
        <f t="shared" si="4"/>
        <v>3.2513455922854859E-2</v>
      </c>
      <c r="S14" s="29">
        <f>P_smrt_vyliecenie_hosp_O[[#This Row],[P_rec]]-B13</f>
        <v>4.9999999999999989E-2</v>
      </c>
      <c r="T14" s="23">
        <f t="shared" si="1"/>
        <v>6.4102564102564083E-2</v>
      </c>
      <c r="U14" s="23">
        <f t="shared" si="8"/>
        <v>4.5720703125000012E-2</v>
      </c>
      <c r="V14" s="23">
        <f t="shared" si="5"/>
        <v>5.861628690149976E-2</v>
      </c>
      <c r="W14" s="24">
        <f t="shared" si="6"/>
        <v>6.7320471714343258E-2</v>
      </c>
    </row>
    <row r="15" spans="1:23" x14ac:dyDescent="0.3">
      <c r="A15">
        <v>12</v>
      </c>
      <c r="B15">
        <v>0.49099999999999999</v>
      </c>
      <c r="C15">
        <v>0.159</v>
      </c>
      <c r="D15">
        <v>0.35</v>
      </c>
      <c r="E15">
        <f t="shared" si="2"/>
        <v>1.1015735501650369E-2</v>
      </c>
      <c r="M15">
        <v>12</v>
      </c>
      <c r="N15" s="22">
        <v>8.0000000000000002E-3</v>
      </c>
      <c r="O15" s="23">
        <f t="shared" si="0"/>
        <v>3.7558685446009377E-2</v>
      </c>
      <c r="P15" s="23">
        <f t="shared" si="7"/>
        <v>8.7651367187500002E-3</v>
      </c>
      <c r="Q15" s="24">
        <f t="shared" si="3"/>
        <v>3.794431480019142E-2</v>
      </c>
      <c r="R15" s="23">
        <f t="shared" si="4"/>
        <v>2.9003331671051746E-2</v>
      </c>
      <c r="S15" s="29">
        <f>P_smrt_vyliecenie_hosp_O[[#This Row],[P_rec]]-B14</f>
        <v>4.4999999999999984E-2</v>
      </c>
      <c r="T15" s="23">
        <f t="shared" si="1"/>
        <v>5.7692307692307661E-2</v>
      </c>
      <c r="U15" s="23">
        <f t="shared" si="8"/>
        <v>4.78603515625E-2</v>
      </c>
      <c r="V15" s="23">
        <f t="shared" si="5"/>
        <v>6.1359425963424349E-2</v>
      </c>
      <c r="W15" s="24">
        <f t="shared" si="6"/>
        <v>6.6073279410671509E-2</v>
      </c>
    </row>
    <row r="16" spans="1:23" x14ac:dyDescent="0.3">
      <c r="A16">
        <v>13</v>
      </c>
      <c r="B16">
        <v>0.52800000000000002</v>
      </c>
      <c r="C16">
        <v>0.16300000000000001</v>
      </c>
      <c r="D16">
        <v>0.309</v>
      </c>
      <c r="E16">
        <f t="shared" si="2"/>
        <v>3.8555074255776289E-3</v>
      </c>
      <c r="M16">
        <v>13</v>
      </c>
      <c r="N16" s="22">
        <v>6.0000000000000001E-3</v>
      </c>
      <c r="O16" s="23">
        <f t="shared" si="0"/>
        <v>2.8169014084507032E-2</v>
      </c>
      <c r="P16" s="23">
        <f t="shared" si="7"/>
        <v>8.3825683593750002E-3</v>
      </c>
      <c r="Q16" s="24">
        <f t="shared" si="3"/>
        <v>3.6288174716299158E-2</v>
      </c>
      <c r="R16" s="23">
        <f t="shared" si="4"/>
        <v>2.5872157362076324E-2</v>
      </c>
      <c r="S16" s="29">
        <f>P_smrt_vyliecenie_hosp_O[[#This Row],[P_rec]]-B15</f>
        <v>3.7000000000000033E-2</v>
      </c>
      <c r="T16" s="23">
        <f t="shared" si="1"/>
        <v>4.7435897435897469E-2</v>
      </c>
      <c r="U16" s="23">
        <f t="shared" si="8"/>
        <v>4.6430175781249992E-2</v>
      </c>
      <c r="V16" s="23">
        <f t="shared" si="5"/>
        <v>5.9525867243119188E-2</v>
      </c>
      <c r="W16" s="24">
        <f t="shared" si="6"/>
        <v>6.3271520301686104E-2</v>
      </c>
    </row>
    <row r="17" spans="1:23" x14ac:dyDescent="0.3">
      <c r="A17">
        <v>14</v>
      </c>
      <c r="B17">
        <v>0.55400000000000005</v>
      </c>
      <c r="C17">
        <v>0.16600000000000001</v>
      </c>
      <c r="D17">
        <v>0.28000000000000003</v>
      </c>
      <c r="E17">
        <f t="shared" si="2"/>
        <v>1.1913517945034873E-3</v>
      </c>
      <c r="M17">
        <v>14</v>
      </c>
      <c r="N17" s="22">
        <v>5.0000000000000001E-3</v>
      </c>
      <c r="O17" s="23">
        <f t="shared" si="0"/>
        <v>2.347417840375586E-2</v>
      </c>
      <c r="P17" s="23">
        <f t="shared" si="7"/>
        <v>7.1912841796875002E-3</v>
      </c>
      <c r="Q17" s="24">
        <f t="shared" si="3"/>
        <v>3.1131100345302167E-2</v>
      </c>
      <c r="R17" s="23">
        <f t="shared" si="4"/>
        <v>2.307902189168624E-2</v>
      </c>
      <c r="S17" s="29">
        <v>3.3000000000000002E-2</v>
      </c>
      <c r="T17" s="23">
        <f t="shared" si="1"/>
        <v>4.2307692307692303E-2</v>
      </c>
      <c r="U17" s="23">
        <f t="shared" si="8"/>
        <v>4.1715087890625016E-2</v>
      </c>
      <c r="V17" s="23">
        <f t="shared" si="5"/>
        <v>5.3480882680938729E-2</v>
      </c>
      <c r="W17" s="24">
        <f t="shared" si="6"/>
        <v>5.9315967449638164E-2</v>
      </c>
    </row>
    <row r="18" spans="1:23" x14ac:dyDescent="0.3">
      <c r="A18">
        <v>15</v>
      </c>
      <c r="B18">
        <v>0.60099999999999998</v>
      </c>
      <c r="C18">
        <v>0.17</v>
      </c>
      <c r="D18">
        <v>0.23</v>
      </c>
      <c r="E18">
        <f t="shared" si="2"/>
        <v>3.3357850246097648E-4</v>
      </c>
      <c r="M18">
        <v>15</v>
      </c>
      <c r="N18" s="22">
        <v>5.0000000000000001E-3</v>
      </c>
      <c r="O18" s="23">
        <f t="shared" si="0"/>
        <v>2.347417840375586E-2</v>
      </c>
      <c r="P18" s="23">
        <f t="shared" si="7"/>
        <v>6.0956420898437506E-3</v>
      </c>
      <c r="Q18" s="24">
        <f t="shared" si="3"/>
        <v>2.638806099527824E-2</v>
      </c>
      <c r="R18" s="23">
        <f t="shared" si="4"/>
        <v>2.0587430882655494E-2</v>
      </c>
      <c r="S18" s="29">
        <v>0.04</v>
      </c>
      <c r="T18" s="23">
        <f t="shared" si="1"/>
        <v>5.1282051282051273E-2</v>
      </c>
      <c r="U18" s="23">
        <f t="shared" si="8"/>
        <v>3.7357543945312509E-2</v>
      </c>
      <c r="V18" s="23">
        <f t="shared" si="5"/>
        <v>4.789428779883452E-2</v>
      </c>
      <c r="W18" s="24">
        <f t="shared" si="6"/>
        <v>5.4589207866391487E-2</v>
      </c>
    </row>
    <row r="19" spans="1:23" x14ac:dyDescent="0.3">
      <c r="A19">
        <v>16</v>
      </c>
      <c r="B19">
        <v>0.63200000000000001</v>
      </c>
      <c r="C19">
        <v>0.17299999999999999</v>
      </c>
      <c r="D19">
        <v>0.19500000000000001</v>
      </c>
      <c r="E19">
        <f t="shared" si="2"/>
        <v>7.6723055566024591E-5</v>
      </c>
      <c r="M19">
        <v>16</v>
      </c>
      <c r="N19" s="22">
        <v>5.0000000000000001E-3</v>
      </c>
      <c r="O19" s="23">
        <f t="shared" si="0"/>
        <v>2.347417840375586E-2</v>
      </c>
      <c r="P19" s="23">
        <f t="shared" si="7"/>
        <v>5.5478210449218749E-3</v>
      </c>
      <c r="Q19" s="24">
        <f t="shared" si="3"/>
        <v>2.4016541320266274E-2</v>
      </c>
      <c r="R19" s="23">
        <f t="shared" si="4"/>
        <v>1.8364829858790413E-2</v>
      </c>
      <c r="S19" s="29">
        <f>P_smrt_vyliecenie_hosp_O[[#This Row],[P_rec]]-B18</f>
        <v>3.1000000000000028E-2</v>
      </c>
      <c r="T19" s="23">
        <f t="shared" si="1"/>
        <v>3.9743589743589769E-2</v>
      </c>
      <c r="U19" s="23">
        <f t="shared" si="8"/>
        <v>3.8678771972656255E-2</v>
      </c>
      <c r="V19" s="23">
        <f t="shared" si="5"/>
        <v>4.9588169909556841E-2</v>
      </c>
      <c r="W19" s="24">
        <f t="shared" si="6"/>
        <v>4.9429686878060909E-2</v>
      </c>
    </row>
    <row r="20" spans="1:23" x14ac:dyDescent="0.3">
      <c r="A20">
        <v>17</v>
      </c>
      <c r="B20">
        <v>0.64700000000000002</v>
      </c>
      <c r="C20">
        <v>0.17599999999999999</v>
      </c>
      <c r="D20">
        <v>0.17599999999999999</v>
      </c>
      <c r="E20">
        <f t="shared" si="2"/>
        <v>1.4960995835374795E-5</v>
      </c>
      <c r="M20">
        <v>17</v>
      </c>
      <c r="N20" s="22">
        <v>4.0000000000000001E-3</v>
      </c>
      <c r="O20" s="23">
        <f t="shared" si="0"/>
        <v>1.8779342723004688E-2</v>
      </c>
      <c r="P20" s="23">
        <f t="shared" si="7"/>
        <v>5.2739105224609371E-3</v>
      </c>
      <c r="Q20" s="24">
        <f t="shared" si="3"/>
        <v>2.2830781482760291E-2</v>
      </c>
      <c r="R20" s="23">
        <f t="shared" si="4"/>
        <v>1.638217889666169E-2</v>
      </c>
      <c r="S20" s="29">
        <f>P_smrt_vyliecenie_hosp_O[[#This Row],[P_rec]]-B19</f>
        <v>1.5000000000000013E-2</v>
      </c>
      <c r="T20" s="23">
        <f t="shared" si="1"/>
        <v>1.9230769230769246E-2</v>
      </c>
      <c r="U20" s="23">
        <f t="shared" si="8"/>
        <v>3.4839385986328145E-2</v>
      </c>
      <c r="V20" s="23">
        <f t="shared" si="5"/>
        <v>4.4665880112636613E-2</v>
      </c>
      <c r="W20" s="24">
        <f t="shared" si="6"/>
        <v>4.411859800837329E-2</v>
      </c>
    </row>
    <row r="21" spans="1:23" x14ac:dyDescent="0.3">
      <c r="A21">
        <v>18</v>
      </c>
      <c r="B21">
        <v>0.66500000000000004</v>
      </c>
      <c r="C21">
        <v>0.17799999999999999</v>
      </c>
      <c r="D21">
        <v>0.158</v>
      </c>
      <c r="E21">
        <f t="shared" si="2"/>
        <v>2.6331352670259636E-6</v>
      </c>
      <c r="M21">
        <v>18</v>
      </c>
      <c r="N21" s="22">
        <v>4.0000000000000001E-3</v>
      </c>
      <c r="O21" s="23">
        <f t="shared" si="0"/>
        <v>1.8779342723004688E-2</v>
      </c>
      <c r="P21" s="23">
        <f t="shared" si="7"/>
        <v>4.6369552612304686E-3</v>
      </c>
      <c r="Q21" s="24">
        <f t="shared" si="3"/>
        <v>2.007339939948187E-2</v>
      </c>
      <c r="R21" s="23">
        <f t="shared" si="4"/>
        <v>1.4613573197563179E-2</v>
      </c>
      <c r="S21" s="29">
        <f>P_smrt_vyliecenie_hosp_O[[#This Row],[P_rec]]-B20</f>
        <v>1.8000000000000016E-2</v>
      </c>
      <c r="T21" s="23">
        <f t="shared" si="1"/>
        <v>2.3076923076923092E-2</v>
      </c>
      <c r="U21" s="23">
        <f t="shared" si="8"/>
        <v>2.4919692993164079E-2</v>
      </c>
      <c r="V21" s="23">
        <f t="shared" si="5"/>
        <v>3.1948324810120658E-2</v>
      </c>
      <c r="W21" s="24">
        <f t="shared" si="6"/>
        <v>3.8876237095582716E-2</v>
      </c>
    </row>
    <row r="22" spans="1:23" x14ac:dyDescent="0.3">
      <c r="A22">
        <v>19</v>
      </c>
      <c r="B22">
        <v>0.68200000000000005</v>
      </c>
      <c r="C22">
        <v>0.184</v>
      </c>
      <c r="D22">
        <v>0.13300000000000001</v>
      </c>
      <c r="E22">
        <f t="shared" si="2"/>
        <v>4.1603537219010226E-7</v>
      </c>
      <c r="M22">
        <v>19</v>
      </c>
      <c r="N22" s="22">
        <v>3.0000000000000001E-3</v>
      </c>
      <c r="O22" s="23">
        <f t="shared" si="0"/>
        <v>1.4084507042253516E-2</v>
      </c>
      <c r="P22" s="23">
        <f t="shared" si="7"/>
        <v>4.3184776306152348E-3</v>
      </c>
      <c r="Q22" s="24">
        <f t="shared" si="3"/>
        <v>1.8694708357842663E-2</v>
      </c>
      <c r="R22" s="23">
        <f t="shared" si="4"/>
        <v>1.3035904622190085E-2</v>
      </c>
      <c r="S22" s="29">
        <f>P_smrt_vyliecenie_hosp_O[[#This Row],[P_rec]]-B21</f>
        <v>1.7000000000000015E-2</v>
      </c>
      <c r="T22" s="23">
        <f t="shared" si="1"/>
        <v>2.1794871794871811E-2</v>
      </c>
      <c r="U22" s="23">
        <f t="shared" si="8"/>
        <v>2.1459846496582047E-2</v>
      </c>
      <c r="V22" s="23">
        <f t="shared" si="5"/>
        <v>2.751262410962315E-2</v>
      </c>
      <c r="W22" s="24">
        <f t="shared" si="6"/>
        <v>3.3864699904820335E-2</v>
      </c>
    </row>
    <row r="23" spans="1:23" x14ac:dyDescent="0.3">
      <c r="A23">
        <v>20</v>
      </c>
      <c r="B23">
        <v>0.69799999999999995</v>
      </c>
      <c r="C23">
        <v>0.186</v>
      </c>
      <c r="D23">
        <v>0.11600000000000001</v>
      </c>
      <c r="E23">
        <f t="shared" si="2"/>
        <v>5.5332704501283602E-8</v>
      </c>
      <c r="M23">
        <v>20</v>
      </c>
      <c r="N23" s="22">
        <v>3.0000000000000001E-3</v>
      </c>
      <c r="O23" s="23">
        <f t="shared" si="0"/>
        <v>1.4084507042253516E-2</v>
      </c>
      <c r="P23" s="23">
        <f t="shared" si="7"/>
        <v>3.6592388153076174E-3</v>
      </c>
      <c r="Q23" s="24">
        <f t="shared" si="3"/>
        <v>1.5840860672497625E-2</v>
      </c>
      <c r="R23" s="23">
        <f t="shared" si="4"/>
        <v>1.1628559765737068E-2</v>
      </c>
      <c r="S23" s="29">
        <f>P_smrt_vyliecenie_hosp_O[[#This Row],[P_rec]]-B22</f>
        <v>1.5999999999999903E-2</v>
      </c>
      <c r="T23" s="23">
        <f t="shared" si="1"/>
        <v>2.0512820512820384E-2</v>
      </c>
      <c r="U23" s="23">
        <f t="shared" si="8"/>
        <v>1.922992324829103E-2</v>
      </c>
      <c r="V23" s="23">
        <f t="shared" si="5"/>
        <v>2.4653748109120903E-2</v>
      </c>
      <c r="W23" s="24">
        <f t="shared" si="6"/>
        <v>2.9194348891569848E-2</v>
      </c>
    </row>
    <row r="24" spans="1:23" x14ac:dyDescent="0.3">
      <c r="A24">
        <v>21</v>
      </c>
      <c r="B24">
        <v>0.70599999999999996</v>
      </c>
      <c r="C24">
        <v>0.189</v>
      </c>
      <c r="D24">
        <v>0.105</v>
      </c>
      <c r="E24">
        <f t="shared" si="2"/>
        <v>6.4185937221488981E-9</v>
      </c>
      <c r="M24">
        <v>21</v>
      </c>
      <c r="N24" s="22">
        <v>2E-3</v>
      </c>
      <c r="O24" s="23">
        <f t="shared" si="0"/>
        <v>9.3896713615023442E-3</v>
      </c>
      <c r="P24" s="23">
        <f t="shared" si="7"/>
        <v>3.329619407653809E-3</v>
      </c>
      <c r="Q24" s="24">
        <f t="shared" si="3"/>
        <v>1.4413936829825107E-2</v>
      </c>
      <c r="R24" s="23">
        <f t="shared" si="4"/>
        <v>1.0373150628544634E-2</v>
      </c>
      <c r="S24" s="29">
        <f>P_smrt_vyliecenie_hosp_O[[#This Row],[P_rec]]-B23</f>
        <v>8.0000000000000071E-3</v>
      </c>
      <c r="T24" s="23">
        <f t="shared" si="1"/>
        <v>1.0256410256410263E-2</v>
      </c>
      <c r="U24" s="23">
        <f t="shared" si="8"/>
        <v>1.7614961624145466E-2</v>
      </c>
      <c r="V24" s="23">
        <f t="shared" si="5"/>
        <v>2.258328445861622E-2</v>
      </c>
      <c r="W24" s="24">
        <f t="shared" si="6"/>
        <v>2.4932097543893247E-2</v>
      </c>
    </row>
    <row r="25" spans="1:23" x14ac:dyDescent="0.3">
      <c r="A25">
        <v>22</v>
      </c>
      <c r="B25">
        <v>0.71299999999999997</v>
      </c>
      <c r="C25">
        <v>0.189</v>
      </c>
      <c r="D25">
        <v>9.8000000000000004E-2</v>
      </c>
      <c r="E25">
        <f t="shared" si="2"/>
        <v>6.7395234082563432E-10</v>
      </c>
      <c r="M25">
        <v>22</v>
      </c>
      <c r="N25" s="22">
        <v>2E-3</v>
      </c>
      <c r="O25" s="23">
        <f t="shared" si="0"/>
        <v>9.3896713615023442E-3</v>
      </c>
      <c r="P25" s="23">
        <f t="shared" si="7"/>
        <v>2.6648097038269045E-3</v>
      </c>
      <c r="Q25" s="24">
        <f t="shared" si="3"/>
        <v>1.1535972743963415E-2</v>
      </c>
      <c r="R25" s="23">
        <f t="shared" si="4"/>
        <v>9.2532743633068106E-3</v>
      </c>
      <c r="S25" s="29">
        <f>P_smrt_vyliecenie_hosp_O[[#This Row],[P_rec]]-B24</f>
        <v>7.0000000000000062E-3</v>
      </c>
      <c r="T25" s="23">
        <f t="shared" si="1"/>
        <v>8.9743589743589806E-3</v>
      </c>
      <c r="U25" s="23">
        <f t="shared" si="8"/>
        <v>1.2807480812072737E-2</v>
      </c>
      <c r="V25" s="23">
        <f t="shared" si="5"/>
        <v>1.6419847431336031E-2</v>
      </c>
      <c r="W25" s="24">
        <f t="shared" si="6"/>
        <v>2.111014336193091E-2</v>
      </c>
    </row>
    <row r="26" spans="1:23" x14ac:dyDescent="0.3">
      <c r="A26">
        <v>23</v>
      </c>
      <c r="B26">
        <v>0.72599999999999998</v>
      </c>
      <c r="C26">
        <v>0.189</v>
      </c>
      <c r="D26">
        <v>8.5000000000000006E-2</v>
      </c>
      <c r="E26">
        <f t="shared" si="2"/>
        <v>6.604732940091217E-11</v>
      </c>
      <c r="M26">
        <v>23</v>
      </c>
      <c r="N26" s="22">
        <v>1E-3</v>
      </c>
      <c r="O26" s="23">
        <f t="shared" si="0"/>
        <v>4.6948356807511721E-3</v>
      </c>
      <c r="P26" s="23">
        <f t="shared" si="7"/>
        <v>2.3324048519134523E-3</v>
      </c>
      <c r="Q26" s="24">
        <f t="shared" si="3"/>
        <v>1.0096990701032571E-2</v>
      </c>
      <c r="R26" s="23">
        <f t="shared" si="4"/>
        <v>8.2542989597601275E-3</v>
      </c>
      <c r="S26" s="29">
        <f>P_smrt_vyliecenie_hosp_O[[#This Row],[P_rec]]-B25</f>
        <v>1.3000000000000012E-2</v>
      </c>
      <c r="T26" s="23">
        <f t="shared" si="1"/>
        <v>1.6666666666666677E-2</v>
      </c>
      <c r="U26" s="23">
        <f t="shared" si="8"/>
        <v>9.9037404060363723E-3</v>
      </c>
      <c r="V26" s="23">
        <f t="shared" si="5"/>
        <v>1.2697103267442446E-2</v>
      </c>
      <c r="W26" s="24">
        <f t="shared" si="6"/>
        <v>1.7734268830336172E-2</v>
      </c>
    </row>
    <row r="27" spans="1:23" x14ac:dyDescent="0.3">
      <c r="A27">
        <v>24</v>
      </c>
      <c r="B27">
        <v>0.73199999999999998</v>
      </c>
      <c r="C27">
        <v>0.189</v>
      </c>
      <c r="D27">
        <v>7.9000000000000001E-2</v>
      </c>
      <c r="E27">
        <f t="shared" si="2"/>
        <v>5.6140229990775349E-12</v>
      </c>
      <c r="M27">
        <v>24</v>
      </c>
      <c r="N27" s="22">
        <v>1E-3</v>
      </c>
      <c r="O27" s="23">
        <f t="shared" si="0"/>
        <v>4.6948356807511721E-3</v>
      </c>
      <c r="P27" s="23">
        <f t="shared" si="7"/>
        <v>1.6662024259567261E-3</v>
      </c>
      <c r="Q27" s="24">
        <f t="shared" si="3"/>
        <v>7.2129975150417164E-3</v>
      </c>
      <c r="R27" s="23">
        <f t="shared" si="4"/>
        <v>7.3631720666659821E-3</v>
      </c>
      <c r="S27" s="29">
        <v>8.9999999999999993E-3</v>
      </c>
      <c r="T27" s="23">
        <f t="shared" si="1"/>
        <v>1.1538461538461536E-2</v>
      </c>
      <c r="U27" s="23">
        <f t="shared" si="8"/>
        <v>1.1451870203018192E-2</v>
      </c>
      <c r="V27" s="23">
        <f t="shared" si="5"/>
        <v>1.4681885087016594E-2</v>
      </c>
      <c r="W27" s="24">
        <f t="shared" si="6"/>
        <v>1.4791207910647239E-2</v>
      </c>
    </row>
    <row r="28" spans="1:23" x14ac:dyDescent="0.3">
      <c r="A28">
        <v>25</v>
      </c>
      <c r="B28">
        <v>0.73599999999999999</v>
      </c>
      <c r="C28">
        <v>0.193</v>
      </c>
      <c r="D28">
        <v>7.0999999999999994E-2</v>
      </c>
      <c r="E28">
        <f t="shared" si="2"/>
        <v>4.4350781692712526E-13</v>
      </c>
      <c r="M28">
        <v>25</v>
      </c>
      <c r="N28" s="22">
        <v>0</v>
      </c>
      <c r="O28" s="23">
        <f t="shared" si="0"/>
        <v>0</v>
      </c>
      <c r="P28" s="23">
        <f t="shared" si="7"/>
        <v>1.333101212978363E-3</v>
      </c>
      <c r="Q28" s="24">
        <f t="shared" si="3"/>
        <v>5.7710009220462884E-3</v>
      </c>
      <c r="R28" s="23">
        <f t="shared" si="4"/>
        <v>6.5682504532045324E-3</v>
      </c>
      <c r="S28" s="29">
        <v>8.0000000000000002E-3</v>
      </c>
      <c r="T28" s="23">
        <f t="shared" si="1"/>
        <v>1.0256410256410255E-2</v>
      </c>
      <c r="U28" s="23">
        <f t="shared" si="8"/>
        <v>1.0225935101509095E-2</v>
      </c>
      <c r="V28" s="23">
        <f t="shared" si="5"/>
        <v>1.3110173395789701E-2</v>
      </c>
      <c r="W28" s="24">
        <f t="shared" si="6"/>
        <v>1.225484918818521E-2</v>
      </c>
    </row>
    <row r="29" spans="1:23" x14ac:dyDescent="0.3">
      <c r="A29">
        <v>26</v>
      </c>
      <c r="B29">
        <v>0.74299999999999999</v>
      </c>
      <c r="C29">
        <v>0.19500000000000001</v>
      </c>
      <c r="D29">
        <v>6.2E-2</v>
      </c>
      <c r="E29">
        <f t="shared" si="2"/>
        <v>3.1489055001825891E-14</v>
      </c>
      <c r="M29">
        <v>26</v>
      </c>
      <c r="N29" s="22">
        <v>0</v>
      </c>
      <c r="O29" s="23">
        <f t="shared" si="0"/>
        <v>0</v>
      </c>
      <c r="P29" s="23">
        <f t="shared" si="7"/>
        <v>6.6655060648918149E-4</v>
      </c>
      <c r="Q29" s="24">
        <f t="shared" si="3"/>
        <v>2.8855004610231442E-3</v>
      </c>
      <c r="R29" s="23">
        <f t="shared" si="4"/>
        <v>5.8591478815673073E-3</v>
      </c>
      <c r="S29" s="29">
        <f>P_smrt_vyliecenie_hosp_O[[#This Row],[P_rec]]-B28</f>
        <v>7.0000000000000062E-3</v>
      </c>
      <c r="T29" s="23">
        <f t="shared" si="1"/>
        <v>8.9743589743589806E-3</v>
      </c>
      <c r="U29" s="23">
        <f t="shared" si="8"/>
        <v>9.1129675507545475E-3</v>
      </c>
      <c r="V29" s="23">
        <f t="shared" si="5"/>
        <v>1.1683291899922767E-2</v>
      </c>
      <c r="W29" s="24">
        <f t="shared" si="6"/>
        <v>1.0091231504551825E-2</v>
      </c>
    </row>
    <row r="30" spans="1:23" x14ac:dyDescent="0.3">
      <c r="A30">
        <v>27</v>
      </c>
      <c r="B30">
        <v>0.745</v>
      </c>
      <c r="C30">
        <v>0.2</v>
      </c>
      <c r="D30">
        <v>5.3999999999999999E-2</v>
      </c>
      <c r="E30">
        <f t="shared" si="2"/>
        <v>1.9523214101132054E-15</v>
      </c>
      <c r="M30">
        <v>27</v>
      </c>
      <c r="N30" s="22">
        <v>0</v>
      </c>
      <c r="O30" s="23">
        <f t="shared" si="0"/>
        <v>0</v>
      </c>
      <c r="P30" s="23">
        <f t="shared" si="7"/>
        <v>3.3327530324459074E-4</v>
      </c>
      <c r="Q30" s="24">
        <f t="shared" si="3"/>
        <v>1.4427502305115721E-3</v>
      </c>
      <c r="R30" s="23">
        <f t="shared" si="4"/>
        <v>5.226599403091556E-3</v>
      </c>
      <c r="S30" s="29">
        <v>5.0000000000000001E-3</v>
      </c>
      <c r="T30" s="23">
        <f t="shared" si="1"/>
        <v>6.4102564102564092E-3</v>
      </c>
      <c r="U30" s="23">
        <f t="shared" si="8"/>
        <v>8.056483775377276E-3</v>
      </c>
      <c r="V30" s="23">
        <f t="shared" si="5"/>
        <v>1.0328825501735812E-2</v>
      </c>
      <c r="W30" s="24">
        <f t="shared" si="6"/>
        <v>8.262402536570566E-3</v>
      </c>
    </row>
    <row r="31" spans="1:23" x14ac:dyDescent="0.3">
      <c r="A31">
        <v>28</v>
      </c>
      <c r="B31">
        <v>0.748</v>
      </c>
      <c r="C31">
        <v>0.20300000000000001</v>
      </c>
      <c r="D31">
        <v>4.9000000000000002E-2</v>
      </c>
      <c r="E31">
        <f t="shared" si="2"/>
        <v>1.0542535614611309E-16</v>
      </c>
      <c r="M31">
        <v>28</v>
      </c>
      <c r="N31" s="22">
        <v>0</v>
      </c>
      <c r="O31" s="23">
        <f t="shared" si="0"/>
        <v>0</v>
      </c>
      <c r="P31" s="23">
        <f t="shared" si="7"/>
        <v>1.6663765162229537E-4</v>
      </c>
      <c r="Q31" s="24">
        <f t="shared" si="3"/>
        <v>7.2137511525578605E-4</v>
      </c>
      <c r="R31" s="23">
        <f t="shared" si="4"/>
        <v>4.6623403048652347E-3</v>
      </c>
      <c r="S31" s="29">
        <f>P_smrt_vyliecenie_hosp_O[[#This Row],[P_rec]]-B30</f>
        <v>3.0000000000000027E-3</v>
      </c>
      <c r="T31" s="23">
        <f t="shared" si="1"/>
        <v>3.846153846153849E-3</v>
      </c>
      <c r="U31" s="23">
        <f t="shared" si="8"/>
        <v>6.5282418876886385E-3</v>
      </c>
      <c r="V31" s="23">
        <f t="shared" si="5"/>
        <v>8.3695410021353538E-3</v>
      </c>
      <c r="W31" s="24">
        <f t="shared" si="6"/>
        <v>6.7292735344292118E-3</v>
      </c>
    </row>
    <row r="32" spans="1:23" x14ac:dyDescent="0.3">
      <c r="A32">
        <v>29</v>
      </c>
      <c r="B32">
        <v>0.754</v>
      </c>
      <c r="C32">
        <v>0.20599999999999999</v>
      </c>
      <c r="D32">
        <v>0.04</v>
      </c>
      <c r="E32">
        <f t="shared" si="2"/>
        <v>5.1658424511595413E-18</v>
      </c>
      <c r="M32">
        <v>29</v>
      </c>
      <c r="N32" s="22">
        <v>0</v>
      </c>
      <c r="O32" s="23">
        <f t="shared" si="0"/>
        <v>0</v>
      </c>
      <c r="P32" s="23">
        <f t="shared" si="7"/>
        <v>8.3318825811147686E-5</v>
      </c>
      <c r="Q32" s="24">
        <f t="shared" si="3"/>
        <v>3.6068755762789302E-4</v>
      </c>
      <c r="R32" s="23">
        <f t="shared" si="4"/>
        <v>4.1589981251505675E-3</v>
      </c>
      <c r="S32" s="29">
        <f>P_smrt_vyliecenie_hosp_O[[#This Row],[P_rec]]-B31</f>
        <v>6.0000000000000053E-3</v>
      </c>
      <c r="T32" s="23">
        <f t="shared" si="1"/>
        <v>7.6923076923076979E-3</v>
      </c>
      <c r="U32" s="23">
        <f t="shared" si="8"/>
        <v>4.7641209438443206E-3</v>
      </c>
      <c r="V32" s="23">
        <f t="shared" si="5"/>
        <v>6.1078474518281474E-3</v>
      </c>
      <c r="W32" s="24">
        <f t="shared" si="6"/>
        <v>5.4536299887266949E-3</v>
      </c>
    </row>
    <row r="33" spans="1:23" x14ac:dyDescent="0.3">
      <c r="A33">
        <v>30</v>
      </c>
      <c r="B33">
        <v>0.75700000000000001</v>
      </c>
      <c r="C33">
        <v>0.20599999999999999</v>
      </c>
      <c r="D33">
        <v>3.6999999999999998E-2</v>
      </c>
      <c r="E33">
        <f t="shared" si="2"/>
        <v>2.0663369804638166E-19</v>
      </c>
      <c r="M33">
        <v>30</v>
      </c>
      <c r="N33" s="22">
        <f>(P_smrt_vyliecenie_hosp_O[[#This Row],[P_death]]-C32)</f>
        <v>0</v>
      </c>
      <c r="O33" s="23">
        <f t="shared" si="0"/>
        <v>0</v>
      </c>
      <c r="P33" s="23">
        <f t="shared" si="7"/>
        <v>4.1659412905573843E-5</v>
      </c>
      <c r="Q33" s="24">
        <f t="shared" si="3"/>
        <v>1.8034377881394651E-4</v>
      </c>
      <c r="R33" s="23">
        <f t="shared" si="4"/>
        <v>3.7099963267280007E-3</v>
      </c>
      <c r="S33" s="29">
        <v>5.0000000000000001E-3</v>
      </c>
      <c r="T33" s="23">
        <f t="shared" si="1"/>
        <v>6.4102564102564092E-3</v>
      </c>
      <c r="U33" s="23">
        <f t="shared" si="8"/>
        <v>5.3820604719221629E-3</v>
      </c>
      <c r="V33" s="23">
        <f t="shared" si="5"/>
        <v>6.9000776274350138E-3</v>
      </c>
      <c r="W33" s="24">
        <f t="shared" si="6"/>
        <v>4.3994609043124487E-3</v>
      </c>
    </row>
    <row r="34" spans="1:23" x14ac:dyDescent="0.3">
      <c r="A34">
        <v>31</v>
      </c>
      <c r="B34">
        <v>0.76</v>
      </c>
      <c r="C34">
        <v>0.20899999999999999</v>
      </c>
      <c r="D34">
        <v>0.03</v>
      </c>
      <c r="E34">
        <f t="shared" si="2"/>
        <v>7.6454468277161206E-21</v>
      </c>
      <c r="M34">
        <v>31</v>
      </c>
      <c r="N34" s="22">
        <v>0</v>
      </c>
      <c r="O34" s="23">
        <f t="shared" si="0"/>
        <v>0</v>
      </c>
      <c r="P34" s="23">
        <f t="shared" si="7"/>
        <v>2.0829706452786921E-5</v>
      </c>
      <c r="Q34" s="24">
        <f t="shared" si="3"/>
        <v>9.0171889406973256E-5</v>
      </c>
      <c r="R34" s="23">
        <f t="shared" si="4"/>
        <v>3.3094683695816685E-3</v>
      </c>
      <c r="S34" s="29">
        <f>P_smrt_vyliecenie_hosp_O[[#This Row],[P_rec]]-B33</f>
        <v>3.0000000000000027E-3</v>
      </c>
      <c r="T34" s="23">
        <f t="shared" si="1"/>
        <v>3.846153846153849E-3</v>
      </c>
      <c r="U34" s="23">
        <f t="shared" si="8"/>
        <v>5.1910302359610815E-3</v>
      </c>
      <c r="V34" s="23">
        <f t="shared" si="5"/>
        <v>6.6551670649849541E-3</v>
      </c>
      <c r="W34" s="24">
        <f t="shared" si="6"/>
        <v>3.5337580805223966E-3</v>
      </c>
    </row>
    <row r="35" spans="1:23" x14ac:dyDescent="0.3">
      <c r="A35">
        <v>32</v>
      </c>
      <c r="B35">
        <v>0.76</v>
      </c>
      <c r="C35">
        <v>0.20899999999999999</v>
      </c>
      <c r="D35">
        <v>0.03</v>
      </c>
      <c r="E35">
        <f t="shared" si="2"/>
        <v>2.2936340483148361E-22</v>
      </c>
      <c r="M35">
        <v>32</v>
      </c>
      <c r="N35" s="22">
        <f>(P_smrt_vyliecenie_hosp_O[[#This Row],[P_death]]-C34)</f>
        <v>0</v>
      </c>
      <c r="O35" s="23">
        <f t="shared" si="0"/>
        <v>0</v>
      </c>
      <c r="P35" s="23">
        <f t="shared" si="7"/>
        <v>1.0414853226393461E-5</v>
      </c>
      <c r="Q35" s="24">
        <f t="shared" si="3"/>
        <v>4.5085944703486628E-5</v>
      </c>
      <c r="R35" s="23">
        <f t="shared" si="4"/>
        <v>2.9521810602225252E-3</v>
      </c>
      <c r="S35" s="29">
        <v>3.0000000000000001E-3</v>
      </c>
      <c r="T35" s="23">
        <f t="shared" si="1"/>
        <v>3.8461538461538455E-3</v>
      </c>
      <c r="U35" s="23">
        <f t="shared" si="8"/>
        <v>4.0955151179805421E-3</v>
      </c>
      <c r="V35" s="23">
        <f t="shared" si="5"/>
        <v>5.2506604832529471E-3</v>
      </c>
      <c r="W35" s="24">
        <f t="shared" si="6"/>
        <v>2.826918098662091E-3</v>
      </c>
    </row>
    <row r="36" spans="1:23" x14ac:dyDescent="0.3">
      <c r="A36">
        <v>33</v>
      </c>
      <c r="B36">
        <v>0.76</v>
      </c>
      <c r="C36">
        <v>0.20899999999999999</v>
      </c>
      <c r="D36">
        <v>0.03</v>
      </c>
      <c r="E36">
        <f t="shared" si="2"/>
        <v>6.8809021449445078E-24</v>
      </c>
      <c r="M36">
        <v>33</v>
      </c>
      <c r="N36" s="22">
        <f>(P_smrt_vyliecenie_hosp_O[[#This Row],[P_death]]-C35)</f>
        <v>0</v>
      </c>
      <c r="O36" s="23">
        <f t="shared" si="0"/>
        <v>0</v>
      </c>
      <c r="P36" s="23">
        <f t="shared" si="7"/>
        <v>5.2074266131967304E-6</v>
      </c>
      <c r="Q36" s="24">
        <f t="shared" si="3"/>
        <v>2.2542972351743314E-5</v>
      </c>
      <c r="R36" s="23">
        <f t="shared" si="4"/>
        <v>2.6334661761515049E-3</v>
      </c>
      <c r="S36" s="29">
        <v>4.0000000000000001E-3</v>
      </c>
      <c r="T36" s="23">
        <f t="shared" si="1"/>
        <v>5.1282051282051273E-3</v>
      </c>
      <c r="U36" s="23">
        <f t="shared" si="8"/>
        <v>3.5477575589902711E-3</v>
      </c>
      <c r="V36" s="23">
        <f t="shared" si="5"/>
        <v>4.5484071923869423E-3</v>
      </c>
      <c r="W36" s="24">
        <f t="shared" si="6"/>
        <v>2.2528581777013453E-3</v>
      </c>
    </row>
    <row r="37" spans="1:23" x14ac:dyDescent="0.3">
      <c r="A37">
        <v>34</v>
      </c>
      <c r="B37">
        <v>0.76</v>
      </c>
      <c r="C37">
        <v>0.21299999999999999</v>
      </c>
      <c r="D37">
        <v>2.7E-2</v>
      </c>
      <c r="E37">
        <f t="shared" si="2"/>
        <v>2.0642706434833523E-25</v>
      </c>
      <c r="M37">
        <v>34</v>
      </c>
      <c r="N37" s="22">
        <v>0</v>
      </c>
      <c r="O37" s="23">
        <f t="shared" si="0"/>
        <v>0</v>
      </c>
      <c r="P37" s="23">
        <f t="shared" si="7"/>
        <v>2.6037133065983652E-6</v>
      </c>
      <c r="Q37" s="24">
        <f t="shared" si="3"/>
        <v>1.1271486175871657E-5</v>
      </c>
      <c r="R37" s="23">
        <f t="shared" si="4"/>
        <v>2.3491594720857958E-3</v>
      </c>
      <c r="S37" s="29">
        <v>2E-3</v>
      </c>
      <c r="T37" s="23">
        <f t="shared" si="1"/>
        <v>2.5641025641025637E-3</v>
      </c>
      <c r="U37" s="23">
        <f t="shared" si="8"/>
        <v>3.7738787794951356E-3</v>
      </c>
      <c r="V37" s="23">
        <f t="shared" si="5"/>
        <v>4.8383061972074289E-3</v>
      </c>
      <c r="W37" s="24">
        <f t="shared" si="6"/>
        <v>1.7889355824576882E-3</v>
      </c>
    </row>
    <row r="38" spans="1:23" x14ac:dyDescent="0.3">
      <c r="A38">
        <v>35</v>
      </c>
      <c r="B38">
        <v>0.76400000000000001</v>
      </c>
      <c r="C38">
        <v>0.21299999999999999</v>
      </c>
      <c r="D38">
        <v>2.3E-2</v>
      </c>
      <c r="E38">
        <f t="shared" si="2"/>
        <v>5.5735307374050514E-27</v>
      </c>
      <c r="M38">
        <v>35</v>
      </c>
      <c r="N38" s="22">
        <f>(P_smrt_vyliecenie_hosp_O[[#This Row],[P_death]]-C37)</f>
        <v>0</v>
      </c>
      <c r="O38" s="23">
        <f t="shared" si="0"/>
        <v>0</v>
      </c>
      <c r="P38" s="23">
        <f t="shared" si="7"/>
        <v>1.3018566532991826E-6</v>
      </c>
      <c r="Q38" s="24">
        <f t="shared" si="3"/>
        <v>5.6357430879358285E-6</v>
      </c>
      <c r="R38" s="23">
        <f t="shared" si="4"/>
        <v>2.0955462710195547E-3</v>
      </c>
      <c r="S38" s="29">
        <v>1E-3</v>
      </c>
      <c r="T38" s="23">
        <f t="shared" si="1"/>
        <v>1.2820512820512818E-3</v>
      </c>
      <c r="U38" s="23">
        <f t="shared" si="8"/>
        <v>2.8869393897475678E-3</v>
      </c>
      <c r="V38" s="23">
        <f t="shared" si="5"/>
        <v>3.7012043991106933E-3</v>
      </c>
      <c r="W38" s="24">
        <f t="shared" si="6"/>
        <v>1.4157405381865714E-3</v>
      </c>
    </row>
    <row r="39" spans="1:23" x14ac:dyDescent="0.3">
      <c r="A39">
        <v>36</v>
      </c>
      <c r="B39">
        <v>0.76800000000000002</v>
      </c>
      <c r="C39">
        <v>0.217</v>
      </c>
      <c r="D39">
        <v>1.4999999999999999E-2</v>
      </c>
      <c r="E39">
        <f t="shared" si="2"/>
        <v>1.2819120696031618E-28</v>
      </c>
      <c r="M39">
        <v>36</v>
      </c>
      <c r="N39" s="22">
        <v>0</v>
      </c>
      <c r="O39" s="23">
        <f t="shared" si="0"/>
        <v>0</v>
      </c>
      <c r="P39" s="23">
        <f t="shared" si="7"/>
        <v>6.509283266495913E-7</v>
      </c>
      <c r="Q39" s="24">
        <f t="shared" si="3"/>
        <v>2.8178715439679142E-6</v>
      </c>
      <c r="R39" s="23">
        <f t="shared" si="4"/>
        <v>1.8693129292261103E-3</v>
      </c>
      <c r="S39" s="29">
        <v>1E-3</v>
      </c>
      <c r="T39" s="23">
        <f t="shared" si="1"/>
        <v>1.2820512820512818E-3</v>
      </c>
      <c r="U39" s="23">
        <f t="shared" si="8"/>
        <v>1.9434696948737839E-3</v>
      </c>
      <c r="V39" s="23">
        <f t="shared" si="5"/>
        <v>2.4916278498088363E-3</v>
      </c>
      <c r="W39" s="24">
        <f t="shared" si="6"/>
        <v>1.1168154561835243E-3</v>
      </c>
    </row>
    <row r="40" spans="1:23" x14ac:dyDescent="0.3">
      <c r="A40">
        <v>37</v>
      </c>
      <c r="B40">
        <v>0.77600000000000002</v>
      </c>
      <c r="C40">
        <v>0.217</v>
      </c>
      <c r="D40">
        <v>8.0000000000000002E-3</v>
      </c>
      <c r="E40">
        <f t="shared" si="2"/>
        <v>1.9228681044047425E-30</v>
      </c>
      <c r="M40">
        <v>37</v>
      </c>
      <c r="N40" s="22">
        <f>(P_smrt_vyliecenie_hosp_O[[#This Row],[P_death]]-C39)</f>
        <v>0</v>
      </c>
      <c r="O40" s="23">
        <f t="shared" si="0"/>
        <v>0</v>
      </c>
      <c r="P40" s="23">
        <f t="shared" si="7"/>
        <v>3.2546416332479565E-7</v>
      </c>
      <c r="Q40" s="24">
        <f t="shared" si="3"/>
        <v>1.4089357719839571E-6</v>
      </c>
      <c r="R40" s="23">
        <f t="shared" si="4"/>
        <v>1.6675035410560468E-3</v>
      </c>
      <c r="S40" s="29">
        <v>0</v>
      </c>
      <c r="T40" s="23">
        <f t="shared" si="1"/>
        <v>0</v>
      </c>
      <c r="U40" s="23">
        <f t="shared" si="8"/>
        <v>1.4717348474368921E-3</v>
      </c>
      <c r="V40" s="23">
        <f t="shared" si="5"/>
        <v>1.8868395751579076E-3</v>
      </c>
      <c r="W40" s="24">
        <f t="shared" si="6"/>
        <v>8.7833898254502103E-4</v>
      </c>
    </row>
    <row r="41" spans="1:23" x14ac:dyDescent="0.3">
      <c r="A41">
        <v>38</v>
      </c>
      <c r="B41">
        <v>0.77600000000000002</v>
      </c>
      <c r="C41">
        <v>0.217</v>
      </c>
      <c r="D41">
        <v>8.0000000000000002E-3</v>
      </c>
      <c r="E41">
        <f t="shared" si="2"/>
        <v>1.5382944835237941E-32</v>
      </c>
      <c r="M41">
        <v>38</v>
      </c>
      <c r="N41" s="22">
        <f>(P_smrt_vyliecenie_hosp_O[[#This Row],[P_death]]-C40)</f>
        <v>0</v>
      </c>
      <c r="O41" s="23">
        <f t="shared" si="0"/>
        <v>0</v>
      </c>
      <c r="P41" s="23">
        <f t="shared" si="7"/>
        <v>1.6273208166239782E-7</v>
      </c>
      <c r="Q41" s="24">
        <f t="shared" si="3"/>
        <v>7.0446788599197856E-7</v>
      </c>
      <c r="R41" s="23">
        <f t="shared" si="4"/>
        <v>1.4874813178474093E-3</v>
      </c>
      <c r="S41" s="29">
        <v>0</v>
      </c>
      <c r="T41" s="23">
        <f t="shared" si="1"/>
        <v>0</v>
      </c>
      <c r="U41" s="23">
        <f t="shared" si="8"/>
        <v>7.3586742371844604E-4</v>
      </c>
      <c r="V41" s="23">
        <f t="shared" si="5"/>
        <v>9.434197875789538E-4</v>
      </c>
      <c r="W41" s="24">
        <f t="shared" si="6"/>
        <v>6.8880187801871183E-4</v>
      </c>
    </row>
    <row r="42" spans="1:23" x14ac:dyDescent="0.3">
      <c r="A42">
        <v>39</v>
      </c>
      <c r="B42">
        <v>0.77600000000000002</v>
      </c>
      <c r="C42">
        <v>0.217</v>
      </c>
      <c r="D42">
        <v>8.0000000000000002E-3</v>
      </c>
      <c r="E42">
        <f t="shared" si="2"/>
        <v>1.2306355868190353E-34</v>
      </c>
      <c r="M42">
        <v>39</v>
      </c>
      <c r="N42" s="22">
        <f>(P_smrt_vyliecenie_hosp_O[[#This Row],[P_death]]-C41)</f>
        <v>0</v>
      </c>
      <c r="O42" s="23">
        <f t="shared" si="0"/>
        <v>0</v>
      </c>
      <c r="P42" s="23">
        <f t="shared" si="7"/>
        <v>8.1366040831198912E-8</v>
      </c>
      <c r="Q42" s="24">
        <f t="shared" si="3"/>
        <v>3.5223394299598928E-7</v>
      </c>
      <c r="R42" s="23">
        <f t="shared" si="4"/>
        <v>1.3268941363349677E-3</v>
      </c>
      <c r="S42" s="29">
        <f>P_smrt_vyliecenie_hosp_O[[#This Row],[P_rec]]-B41</f>
        <v>0</v>
      </c>
      <c r="T42" s="23">
        <f t="shared" si="1"/>
        <v>0</v>
      </c>
      <c r="U42" s="23">
        <f t="shared" si="8"/>
        <v>3.6793371185922302E-4</v>
      </c>
      <c r="V42" s="23">
        <f t="shared" si="5"/>
        <v>4.717098937894769E-4</v>
      </c>
      <c r="W42" s="24">
        <f t="shared" si="6"/>
        <v>5.3869275996572361E-4</v>
      </c>
    </row>
    <row r="43" spans="1:23" x14ac:dyDescent="0.3">
      <c r="A43">
        <v>40</v>
      </c>
      <c r="B43">
        <v>0.77600000000000002</v>
      </c>
      <c r="C43">
        <v>0.217</v>
      </c>
      <c r="D43">
        <v>8.0000000000000002E-3</v>
      </c>
      <c r="E43">
        <f t="shared" si="2"/>
        <v>9.8450846945522823E-37</v>
      </c>
      <c r="M43">
        <v>40</v>
      </c>
      <c r="N43" s="22">
        <f>(P_smrt_vyliecenie_hosp_O[[#This Row],[P_death]]-C42)</f>
        <v>0</v>
      </c>
      <c r="O43" s="23">
        <f t="shared" si="0"/>
        <v>0</v>
      </c>
      <c r="P43" s="23">
        <f t="shared" si="7"/>
        <v>4.0683020415599456E-8</v>
      </c>
      <c r="Q43" s="24">
        <f t="shared" si="3"/>
        <v>1.7611697149799464E-7</v>
      </c>
      <c r="R43" s="23">
        <f t="shared" si="4"/>
        <v>1.1836438064230764E-3</v>
      </c>
      <c r="S43" s="29">
        <f>P_smrt_vyliecenie_hosp_O[[#This Row],[P_rec]]-B42</f>
        <v>0</v>
      </c>
      <c r="T43" s="23">
        <f t="shared" si="1"/>
        <v>0</v>
      </c>
      <c r="U43" s="23">
        <f t="shared" si="8"/>
        <v>1.8396685592961151E-4</v>
      </c>
      <c r="V43" s="23">
        <f t="shared" si="5"/>
        <v>2.3585494689473845E-4</v>
      </c>
      <c r="W43" s="24">
        <f t="shared" si="6"/>
        <v>4.2020493764240749E-4</v>
      </c>
    </row>
    <row r="44" spans="1:23" x14ac:dyDescent="0.3">
      <c r="A44">
        <v>41</v>
      </c>
      <c r="B44">
        <v>0.77900000000000003</v>
      </c>
      <c r="C44">
        <v>0.217</v>
      </c>
      <c r="D44">
        <v>4.0000000000000001E-3</v>
      </c>
      <c r="E44">
        <f t="shared" si="2"/>
        <v>7.8760677556418263E-39</v>
      </c>
      <c r="M44">
        <v>41</v>
      </c>
      <c r="N44" s="22">
        <f>(P_smrt_vyliecenie_hosp_O[[#This Row],[P_death]]-C43)</f>
        <v>0</v>
      </c>
      <c r="O44" s="23">
        <f t="shared" si="0"/>
        <v>0</v>
      </c>
      <c r="P44" s="23">
        <f t="shared" si="7"/>
        <v>2.0341510207799728E-8</v>
      </c>
      <c r="Q44" s="24">
        <f t="shared" si="3"/>
        <v>8.805848574899732E-8</v>
      </c>
      <c r="R44" s="23">
        <f t="shared" si="4"/>
        <v>1.0558586567828727E-3</v>
      </c>
      <c r="S44" s="29">
        <v>0</v>
      </c>
      <c r="T44" s="23">
        <f t="shared" si="1"/>
        <v>0</v>
      </c>
      <c r="U44" s="23">
        <f t="shared" si="8"/>
        <v>9.1983427964805755E-5</v>
      </c>
      <c r="V44" s="23">
        <f t="shared" si="5"/>
        <v>1.1792747344736922E-4</v>
      </c>
      <c r="W44" s="24">
        <f t="shared" si="6"/>
        <v>3.2697057597093229E-4</v>
      </c>
    </row>
    <row r="45" spans="1:23" x14ac:dyDescent="0.3">
      <c r="A45">
        <v>42</v>
      </c>
      <c r="B45">
        <v>0.77900000000000003</v>
      </c>
      <c r="C45">
        <v>0.217</v>
      </c>
      <c r="D45">
        <v>4.0000000000000001E-3</v>
      </c>
      <c r="E45">
        <f t="shared" si="2"/>
        <v>3.1504271022567308E-41</v>
      </c>
      <c r="M45">
        <v>42</v>
      </c>
      <c r="N45" s="22">
        <f>(P_smrt_vyliecenie_hosp_O[[#This Row],[P_death]]-C44)</f>
        <v>0</v>
      </c>
      <c r="O45" s="23">
        <f t="shared" si="0"/>
        <v>0</v>
      </c>
      <c r="P45" s="23">
        <f t="shared" si="7"/>
        <v>1.0170755103899864E-8</v>
      </c>
      <c r="Q45" s="24">
        <f t="shared" si="3"/>
        <v>4.402924287449866E-8</v>
      </c>
      <c r="R45" s="23">
        <f t="shared" si="4"/>
        <v>9.4186908008442663E-4</v>
      </c>
      <c r="S45" s="29">
        <f>P_smrt_vyliecenie_hosp_O[[#This Row],[P_rec]]-B44</f>
        <v>0</v>
      </c>
      <c r="T45" s="23">
        <f t="shared" si="1"/>
        <v>0</v>
      </c>
      <c r="U45" s="23">
        <f t="shared" si="8"/>
        <v>4.5991713982402877E-5</v>
      </c>
      <c r="V45" s="23">
        <f t="shared" si="5"/>
        <v>5.8963736723684612E-5</v>
      </c>
      <c r="W45" s="24">
        <f t="shared" si="6"/>
        <v>2.5382487389747385E-4</v>
      </c>
    </row>
    <row r="46" spans="1:23" x14ac:dyDescent="0.3">
      <c r="A46">
        <v>43</v>
      </c>
      <c r="B46">
        <v>0.77900000000000003</v>
      </c>
      <c r="C46">
        <v>0.217</v>
      </c>
      <c r="D46">
        <v>4.0000000000000001E-3</v>
      </c>
      <c r="E46">
        <f t="shared" si="2"/>
        <v>1.2601708409026923E-43</v>
      </c>
      <c r="M46">
        <v>43</v>
      </c>
      <c r="N46" s="22">
        <f>(P_smrt_vyliecenie_hosp_O[[#This Row],[P_death]]-C45)</f>
        <v>0</v>
      </c>
      <c r="O46" s="23">
        <f t="shared" si="0"/>
        <v>0</v>
      </c>
      <c r="P46" s="23">
        <f t="shared" si="7"/>
        <v>5.085377551949932E-9</v>
      </c>
      <c r="Q46" s="24">
        <f t="shared" si="3"/>
        <v>2.201462143724933E-8</v>
      </c>
      <c r="R46" s="23">
        <f t="shared" si="4"/>
        <v>8.4018571834422213E-4</v>
      </c>
      <c r="S46" s="29">
        <f>P_smrt_vyliecenie_hosp_O[[#This Row],[P_rec]]-B45</f>
        <v>0</v>
      </c>
      <c r="T46" s="23">
        <f t="shared" si="1"/>
        <v>0</v>
      </c>
      <c r="U46" s="23">
        <f t="shared" si="8"/>
        <v>2.2995856991201439E-5</v>
      </c>
      <c r="V46" s="23">
        <f t="shared" si="5"/>
        <v>2.9481868361842306E-5</v>
      </c>
      <c r="W46" s="24">
        <f t="shared" si="6"/>
        <v>1.9660052223226392E-4</v>
      </c>
    </row>
    <row r="47" spans="1:23" x14ac:dyDescent="0.3">
      <c r="A47">
        <v>44</v>
      </c>
      <c r="B47">
        <v>0.77900000000000003</v>
      </c>
      <c r="C47">
        <v>0.217</v>
      </c>
      <c r="D47">
        <v>4.0000000000000001E-3</v>
      </c>
      <c r="E47">
        <f t="shared" si="2"/>
        <v>5.0406833636107695E-46</v>
      </c>
      <c r="M47">
        <v>44</v>
      </c>
      <c r="N47" s="22">
        <f>(P_smrt_vyliecenie_hosp_O[[#This Row],[P_death]]-C46)</f>
        <v>0</v>
      </c>
      <c r="O47" s="23">
        <f t="shared" si="0"/>
        <v>0</v>
      </c>
      <c r="P47" s="23">
        <f t="shared" si="7"/>
        <v>2.542688775974966E-9</v>
      </c>
      <c r="Q47" s="24">
        <f t="shared" si="3"/>
        <v>1.1007310718624665E-8</v>
      </c>
      <c r="R47" s="23">
        <f t="shared" si="4"/>
        <v>7.49480003363441E-4</v>
      </c>
      <c r="S47" s="29">
        <f>P_smrt_vyliecenie_hosp_O[[#This Row],[P_rec]]-B46</f>
        <v>0</v>
      </c>
      <c r="T47" s="23">
        <f t="shared" si="1"/>
        <v>0</v>
      </c>
      <c r="U47" s="23">
        <f t="shared" si="8"/>
        <v>1.1497928495600719E-5</v>
      </c>
      <c r="V47" s="23">
        <f t="shared" si="5"/>
        <v>1.4740934180921153E-5</v>
      </c>
      <c r="W47" s="24">
        <f t="shared" si="6"/>
        <v>1.5195114015640156E-4</v>
      </c>
    </row>
    <row r="48" spans="1:23" x14ac:dyDescent="0.3">
      <c r="A48">
        <v>45</v>
      </c>
      <c r="B48">
        <v>0.77900000000000003</v>
      </c>
      <c r="C48">
        <v>0.217</v>
      </c>
      <c r="D48">
        <v>4.0000000000000001E-3</v>
      </c>
      <c r="E48">
        <f t="shared" si="2"/>
        <v>2.0162733454443079E-48</v>
      </c>
      <c r="M48">
        <v>45</v>
      </c>
      <c r="N48" s="22">
        <f>(P_smrt_vyliecenie_hosp_O[[#This Row],[P_death]]-C47)</f>
        <v>0</v>
      </c>
      <c r="O48" s="23">
        <f t="shared" si="0"/>
        <v>0</v>
      </c>
      <c r="P48" s="23">
        <f t="shared" si="7"/>
        <v>1.271344387987483E-9</v>
      </c>
      <c r="Q48" s="24">
        <f t="shared" si="3"/>
        <v>5.5036553593123325E-9</v>
      </c>
      <c r="R48" s="23">
        <f t="shared" si="4"/>
        <v>6.6856679800349574E-4</v>
      </c>
      <c r="S48" s="29">
        <f>P_smrt_vyliecenie_hosp_O[[#This Row],[P_rec]]-B47</f>
        <v>0</v>
      </c>
      <c r="T48" s="23">
        <f t="shared" si="1"/>
        <v>0</v>
      </c>
      <c r="U48" s="23">
        <f t="shared" si="8"/>
        <v>5.7489642478003597E-6</v>
      </c>
      <c r="V48" s="23">
        <f t="shared" si="5"/>
        <v>7.3704670904605765E-6</v>
      </c>
      <c r="W48" s="24">
        <f t="shared" si="6"/>
        <v>1.172014551161123E-4</v>
      </c>
    </row>
    <row r="49" spans="1:23" x14ac:dyDescent="0.3">
      <c r="A49">
        <v>46</v>
      </c>
      <c r="B49">
        <v>0.77900000000000003</v>
      </c>
      <c r="C49">
        <v>0.217</v>
      </c>
      <c r="D49">
        <v>4.0000000000000001E-3</v>
      </c>
      <c r="E49">
        <f t="shared" si="2"/>
        <v>8.0650933817772323E-51</v>
      </c>
      <c r="M49">
        <v>46</v>
      </c>
      <c r="N49" s="22">
        <f>(P_smrt_vyliecenie_hosp_O[[#This Row],[P_death]]-C48)</f>
        <v>0</v>
      </c>
      <c r="O49" s="23">
        <f t="shared" si="0"/>
        <v>0</v>
      </c>
      <c r="P49" s="23">
        <f t="shared" si="7"/>
        <v>6.356721939937415E-10</v>
      </c>
      <c r="Q49" s="24">
        <f t="shared" si="3"/>
        <v>2.7518276796561663E-9</v>
      </c>
      <c r="R49" s="23">
        <f t="shared" si="4"/>
        <v>5.9638891149427307E-4</v>
      </c>
      <c r="S49" s="29">
        <f>P_smrt_vyliecenie_hosp_O[[#This Row],[P_rec]]-B48</f>
        <v>0</v>
      </c>
      <c r="T49" s="23">
        <f t="shared" si="1"/>
        <v>0</v>
      </c>
      <c r="U49" s="23">
        <f t="shared" si="8"/>
        <v>2.8744821239001798E-6</v>
      </c>
      <c r="V49" s="23">
        <f t="shared" si="5"/>
        <v>3.6852335452302883E-6</v>
      </c>
      <c r="W49" s="24">
        <f t="shared" si="6"/>
        <v>9.0221508440181845E-5</v>
      </c>
    </row>
    <row r="50" spans="1:23" x14ac:dyDescent="0.3">
      <c r="A50">
        <v>47</v>
      </c>
      <c r="B50">
        <v>0.77900000000000003</v>
      </c>
      <c r="C50">
        <v>0.217</v>
      </c>
      <c r="D50">
        <v>4.0000000000000001E-3</v>
      </c>
      <c r="E50">
        <f t="shared" si="2"/>
        <v>3.226037352710893E-53</v>
      </c>
      <c r="M50">
        <v>47</v>
      </c>
      <c r="N50" s="22">
        <f>(P_smrt_vyliecenie_hosp_O[[#This Row],[P_death]]-C49)</f>
        <v>0</v>
      </c>
      <c r="O50" s="23">
        <f t="shared" si="0"/>
        <v>0</v>
      </c>
      <c r="P50" s="23">
        <f t="shared" si="7"/>
        <v>3.1783609699687075E-10</v>
      </c>
      <c r="Q50" s="24">
        <f t="shared" si="3"/>
        <v>1.3759138398280831E-9</v>
      </c>
      <c r="R50" s="23">
        <f t="shared" si="4"/>
        <v>5.3200328645614924E-4</v>
      </c>
      <c r="S50" s="29">
        <f>P_smrt_vyliecenie_hosp_O[[#This Row],[P_rec]]-B49</f>
        <v>0</v>
      </c>
      <c r="T50" s="23">
        <f t="shared" si="1"/>
        <v>0</v>
      </c>
      <c r="U50" s="23">
        <f t="shared" si="8"/>
        <v>1.4372410619500899E-6</v>
      </c>
      <c r="V50" s="23">
        <f t="shared" si="5"/>
        <v>1.8426167726151441E-6</v>
      </c>
      <c r="W50" s="24">
        <f t="shared" si="6"/>
        <v>6.9321999339497434E-5</v>
      </c>
    </row>
    <row r="51" spans="1:23" x14ac:dyDescent="0.3">
      <c r="A51">
        <v>48</v>
      </c>
      <c r="B51">
        <v>0.77900000000000003</v>
      </c>
      <c r="C51">
        <v>0.217</v>
      </c>
      <c r="D51">
        <v>4.0000000000000001E-3</v>
      </c>
      <c r="E51">
        <f t="shared" si="2"/>
        <v>1.2904149410843571E-55</v>
      </c>
      <c r="M51">
        <v>48</v>
      </c>
      <c r="N51" s="22">
        <f>(P_smrt_vyliecenie_hosp_O[[#This Row],[P_death]]-C50)</f>
        <v>0</v>
      </c>
      <c r="O51" s="23">
        <f t="shared" si="0"/>
        <v>0</v>
      </c>
      <c r="P51" s="23">
        <f t="shared" si="7"/>
        <v>1.5891804849843538E-10</v>
      </c>
      <c r="Q51" s="24">
        <f t="shared" si="3"/>
        <v>6.8795691991404156E-10</v>
      </c>
      <c r="R51" s="23">
        <f t="shared" si="4"/>
        <v>4.7456867715901747E-4</v>
      </c>
      <c r="S51" s="29">
        <f>P_smrt_vyliecenie_hosp_O[[#This Row],[P_rec]]-B50</f>
        <v>0</v>
      </c>
      <c r="T51" s="23">
        <f t="shared" si="1"/>
        <v>0</v>
      </c>
      <c r="U51" s="23">
        <f t="shared" si="8"/>
        <v>7.1862053097504496E-7</v>
      </c>
      <c r="V51" s="23">
        <f t="shared" si="5"/>
        <v>9.2130838630757207E-7</v>
      </c>
      <c r="W51" s="24">
        <f t="shared" si="6"/>
        <v>5.3167917265449917E-5</v>
      </c>
    </row>
    <row r="52" spans="1:23" x14ac:dyDescent="0.3">
      <c r="A52">
        <v>49</v>
      </c>
      <c r="B52">
        <v>0.77900000000000003</v>
      </c>
      <c r="C52">
        <v>0.217</v>
      </c>
      <c r="D52">
        <v>4.0000000000000001E-3</v>
      </c>
      <c r="E52">
        <f t="shared" si="2"/>
        <v>5.1616597643374285E-58</v>
      </c>
      <c r="M52">
        <v>49</v>
      </c>
      <c r="N52" s="22">
        <f>(P_smrt_vyliecenie_hosp_O[[#This Row],[P_death]]-C51)</f>
        <v>0</v>
      </c>
      <c r="O52" s="23">
        <f t="shared" si="0"/>
        <v>0</v>
      </c>
      <c r="P52" s="23">
        <f t="shared" si="7"/>
        <v>7.9459024249217688E-11</v>
      </c>
      <c r="Q52" s="24">
        <f t="shared" si="3"/>
        <v>3.4397845995702078E-10</v>
      </c>
      <c r="R52" s="23">
        <f t="shared" si="4"/>
        <v>4.2333465802569468E-4</v>
      </c>
      <c r="S52" s="29">
        <f>P_smrt_vyliecenie_hosp_O[[#This Row],[P_rec]]-B51</f>
        <v>0</v>
      </c>
      <c r="T52" s="23">
        <f t="shared" si="1"/>
        <v>0</v>
      </c>
      <c r="U52" s="23">
        <f t="shared" si="8"/>
        <v>3.5931026548752248E-7</v>
      </c>
      <c r="V52" s="23">
        <f t="shared" si="5"/>
        <v>4.6065419315378603E-7</v>
      </c>
      <c r="W52" s="24">
        <f t="shared" si="6"/>
        <v>4.0707778735111994E-5</v>
      </c>
    </row>
    <row r="53" spans="1:23" x14ac:dyDescent="0.3">
      <c r="A53">
        <v>50</v>
      </c>
      <c r="B53">
        <v>0.77900000000000003</v>
      </c>
      <c r="C53">
        <v>0.217</v>
      </c>
      <c r="D53">
        <v>4.0000000000000001E-3</v>
      </c>
      <c r="E53">
        <f t="shared" si="2"/>
        <v>2.0646639057349714E-60</v>
      </c>
      <c r="M53">
        <v>50</v>
      </c>
      <c r="N53" s="22">
        <f>(P_smrt_vyliecenie_hosp_O[[#This Row],[P_death]]-C52)</f>
        <v>0</v>
      </c>
      <c r="O53" s="23">
        <f t="shared" si="0"/>
        <v>0</v>
      </c>
      <c r="P53" s="23">
        <f t="shared" si="7"/>
        <v>3.9729512124608844E-11</v>
      </c>
      <c r="Q53" s="24">
        <f t="shared" si="3"/>
        <v>1.7198922997851039E-10</v>
      </c>
      <c r="R53" s="23">
        <f t="shared" si="4"/>
        <v>3.7763181876768052E-4</v>
      </c>
      <c r="S53" s="29">
        <f>P_smrt_vyliecenie_hosp_O[[#This Row],[P_rec]]-B52</f>
        <v>0</v>
      </c>
      <c r="T53" s="23">
        <f t="shared" si="1"/>
        <v>0</v>
      </c>
      <c r="U53" s="23">
        <f t="shared" si="8"/>
        <v>1.7965513274376124E-7</v>
      </c>
      <c r="V53" s="23">
        <f t="shared" si="5"/>
        <v>2.3032709657689302E-7</v>
      </c>
      <c r="W53" s="24">
        <f t="shared" si="6"/>
        <v>3.1116023394627088E-5</v>
      </c>
    </row>
    <row r="54" spans="1:23" x14ac:dyDescent="0.3">
      <c r="A54">
        <v>51</v>
      </c>
      <c r="B54">
        <v>0.77900000000000003</v>
      </c>
      <c r="C54">
        <v>0.217</v>
      </c>
      <c r="D54">
        <v>4.0000000000000001E-3</v>
      </c>
      <c r="E54">
        <f t="shared" si="2"/>
        <v>8.2586556229398853E-63</v>
      </c>
      <c r="M54">
        <v>51</v>
      </c>
      <c r="N54" s="22">
        <f>(P_smrt_vyliecenie_hosp_O[[#This Row],[P_death]]-C53)</f>
        <v>0</v>
      </c>
      <c r="O54" s="23">
        <f t="shared" si="0"/>
        <v>0</v>
      </c>
      <c r="P54" s="23">
        <f t="shared" si="7"/>
        <v>1.9864756062304422E-11</v>
      </c>
      <c r="Q54" s="24">
        <f t="shared" si="3"/>
        <v>8.5994614989255195E-11</v>
      </c>
      <c r="R54" s="23">
        <f t="shared" si="4"/>
        <v>3.3686301804547914E-4</v>
      </c>
      <c r="S54" s="29">
        <f>P_smrt_vyliecenie_hosp_O[[#This Row],[P_rec]]-B53</f>
        <v>0</v>
      </c>
      <c r="T54" s="23">
        <f t="shared" si="1"/>
        <v>0</v>
      </c>
      <c r="U54" s="23">
        <f t="shared" si="8"/>
        <v>8.982756637188062E-8</v>
      </c>
      <c r="V54" s="23">
        <f t="shared" si="5"/>
        <v>1.1516354828844651E-7</v>
      </c>
      <c r="W54" s="24">
        <f t="shared" si="6"/>
        <v>2.3746395998179498E-5</v>
      </c>
    </row>
    <row r="55" spans="1:23" x14ac:dyDescent="0.3">
      <c r="A55">
        <v>52</v>
      </c>
      <c r="B55">
        <v>0.77900000000000003</v>
      </c>
      <c r="C55">
        <v>0.217</v>
      </c>
      <c r="D55">
        <v>4.0000000000000001E-3</v>
      </c>
      <c r="E55">
        <f t="shared" si="2"/>
        <v>3.3034622491759542E-65</v>
      </c>
      <c r="M55">
        <v>52</v>
      </c>
      <c r="N55" s="22">
        <f>(P_smrt_vyliecenie_hosp_O[[#This Row],[P_death]]-C54)</f>
        <v>0</v>
      </c>
      <c r="O55" s="23">
        <f t="shared" si="0"/>
        <v>0</v>
      </c>
      <c r="P55" s="23">
        <f t="shared" si="7"/>
        <v>9.9323780311522109E-12</v>
      </c>
      <c r="Q55" s="24">
        <f t="shared" si="3"/>
        <v>4.2997307494627598E-11</v>
      </c>
      <c r="R55" s="23">
        <f t="shared" si="4"/>
        <v>3.0049558137610163E-4</v>
      </c>
      <c r="S55" s="29">
        <f>P_smrt_vyliecenie_hosp_O[[#This Row],[P_rec]]-B54</f>
        <v>0</v>
      </c>
      <c r="T55" s="23">
        <f t="shared" si="1"/>
        <v>0</v>
      </c>
      <c r="U55" s="23">
        <f t="shared" si="8"/>
        <v>4.491378318594031E-8</v>
      </c>
      <c r="V55" s="23">
        <f t="shared" si="5"/>
        <v>5.7581774144223254E-8</v>
      </c>
      <c r="W55" s="24">
        <f t="shared" si="6"/>
        <v>1.8094419714434381E-5</v>
      </c>
    </row>
    <row r="56" spans="1:23" x14ac:dyDescent="0.3">
      <c r="A56">
        <v>53</v>
      </c>
      <c r="B56">
        <v>0.77900000000000003</v>
      </c>
      <c r="C56">
        <v>0.217</v>
      </c>
      <c r="D56">
        <v>4.0000000000000001E-3</v>
      </c>
      <c r="E56">
        <f t="shared" si="2"/>
        <v>1.3213848996703817E-67</v>
      </c>
      <c r="M56">
        <v>53</v>
      </c>
      <c r="N56" s="22">
        <f>(P_smrt_vyliecenie_hosp_O[[#This Row],[P_death]]-C55)</f>
        <v>0</v>
      </c>
      <c r="O56" s="23">
        <f t="shared" si="0"/>
        <v>0</v>
      </c>
      <c r="P56" s="23">
        <f t="shared" si="7"/>
        <v>4.9661890155761055E-12</v>
      </c>
      <c r="Q56" s="24">
        <f t="shared" si="3"/>
        <v>2.1498653747313799E-11</v>
      </c>
      <c r="R56" s="23">
        <f t="shared" si="4"/>
        <v>2.6805434134764638E-4</v>
      </c>
      <c r="S56" s="29">
        <f>P_smrt_vyliecenie_hosp_O[[#This Row],[P_rec]]-B55</f>
        <v>0</v>
      </c>
      <c r="T56" s="23">
        <f t="shared" si="1"/>
        <v>0</v>
      </c>
      <c r="U56" s="23">
        <f t="shared" si="8"/>
        <v>2.2456891592970155E-8</v>
      </c>
      <c r="V56" s="23">
        <f t="shared" si="5"/>
        <v>2.8790887072111627E-8</v>
      </c>
      <c r="W56" s="24">
        <f t="shared" si="6"/>
        <v>1.3767334853359659E-5</v>
      </c>
    </row>
    <row r="57" spans="1:23" x14ac:dyDescent="0.3">
      <c r="A57">
        <v>54</v>
      </c>
      <c r="B57">
        <v>0.78300000000000003</v>
      </c>
      <c r="C57">
        <v>0.217</v>
      </c>
      <c r="D57">
        <v>0</v>
      </c>
      <c r="E57">
        <f t="shared" si="2"/>
        <v>5.2855395986815268E-70</v>
      </c>
      <c r="M57">
        <v>54</v>
      </c>
      <c r="N57" s="25">
        <f>(P_smrt_vyliecenie_hosp_O[[#This Row],[P_death]]-C56)</f>
        <v>0</v>
      </c>
      <c r="O57" s="26">
        <f t="shared" si="0"/>
        <v>0</v>
      </c>
      <c r="P57" s="23">
        <f t="shared" si="7"/>
        <v>2.4830945077880527E-12</v>
      </c>
      <c r="Q57" s="27">
        <f t="shared" si="3"/>
        <v>1.0749326873656899E-11</v>
      </c>
      <c r="R57" s="23">
        <f t="shared" si="4"/>
        <v>2.3911542920622479E-4</v>
      </c>
      <c r="S57" s="30">
        <v>0</v>
      </c>
      <c r="T57" s="26">
        <f t="shared" si="1"/>
        <v>0</v>
      </c>
      <c r="U57" s="26">
        <f t="shared" si="8"/>
        <v>1.1228445796485077E-8</v>
      </c>
      <c r="V57" s="26">
        <f t="shared" si="5"/>
        <v>1.4395443536055814E-8</v>
      </c>
      <c r="W57" s="27">
        <f t="shared" si="6"/>
        <v>0</v>
      </c>
    </row>
    <row r="58" spans="1:23" x14ac:dyDescent="0.3">
      <c r="B58">
        <f>SUMPRODUCT(P_smrt_vyliecenie_hosp_O[P_rec],P_smrt_vyliecenie_hosp_O[P_cont_cum])</f>
        <v>0.62765674035457053</v>
      </c>
      <c r="C58">
        <f>SUMPRODUCT(P_smrt_vyliecenie_hosp_O[P_death],P_smrt_vyliecenie_hosp_O[P_cont_cum])</f>
        <v>0.37161160021454559</v>
      </c>
      <c r="N58" s="12">
        <f t="shared" ref="N58:V58" si="9">SUM(N3:N57)</f>
        <v>0.21300000000000008</v>
      </c>
      <c r="O58" s="12">
        <f t="shared" si="9"/>
        <v>0.99999999999999956</v>
      </c>
      <c r="P58" s="12">
        <f t="shared" si="9"/>
        <v>0.23099999999751694</v>
      </c>
      <c r="Q58" s="12">
        <f t="shared" si="9"/>
        <v>0.99999999999999989</v>
      </c>
      <c r="R58" s="12">
        <f t="shared" si="9"/>
        <v>0.94198997525182537</v>
      </c>
      <c r="S58" s="12">
        <f t="shared" si="9"/>
        <v>0.78000000000000014</v>
      </c>
      <c r="T58" s="12">
        <f t="shared" si="9"/>
        <v>0.99999999999999967</v>
      </c>
      <c r="U58" s="12">
        <f t="shared" si="9"/>
        <v>0.77999998877155419</v>
      </c>
      <c r="V58" s="12">
        <f t="shared" si="9"/>
        <v>1.0000000000000002</v>
      </c>
    </row>
    <row r="59" spans="1:23" x14ac:dyDescent="0.3">
      <c r="B59">
        <f>SUMPRODUCT(P_smrt_vyliecenie_hosp_O[day],P_smrt_vyliecenie_hosp_O[P_rec],P_smrt_vyliecenie_hosp_O[P_cont_cum])/P_smrt_vyliecenie_hosp_O[[#Totals],[P_rec]]</f>
        <v>5.6533128722692334</v>
      </c>
      <c r="C59">
        <f>SUMPRODUCT(P_smrt_vyliecenie_hosp_O[P_death],P_smrt_vyliecenie_hosp_O[day],P_smrt_vyliecenie_hosp_O[P_cont_cum])/P_smrt_vyliecenie_hosp_O[[#Totals],[P_death]]</f>
        <v>4.5926361058787624</v>
      </c>
      <c r="Q59" s="17">
        <f>SUMPRODUCT(Q4:Q57,M4:M57)</f>
        <v>8.75324675273888</v>
      </c>
      <c r="R59" s="17"/>
    </row>
    <row r="60" spans="1:23" x14ac:dyDescent="0.3">
      <c r="Q60" s="16">
        <f>1/Q59</f>
        <v>0.11424332344876502</v>
      </c>
      <c r="R60" s="16"/>
      <c r="U60" s="16" t="s">
        <v>39</v>
      </c>
      <c r="V60">
        <f>SUMPRODUCT(V4:V57,M4:M57)</f>
        <v>13.555127594115445</v>
      </c>
      <c r="W60" s="16">
        <f>SUMPRODUCT(W4:W57,M4:M57)</f>
        <v>13.675053828866576</v>
      </c>
    </row>
    <row r="61" spans="1:23" x14ac:dyDescent="0.3">
      <c r="U61" s="16" t="s">
        <v>40</v>
      </c>
      <c r="V61">
        <f>(SUMPRODUCT(V4:V57,M4:M57,M4:M57)-V60^2)^0.5</f>
        <v>7.1107186880864699</v>
      </c>
      <c r="W61" s="16">
        <f>(SUMPRODUCT(W4:W57,M4:M57,M4:M57)-W60^2)^0.5</f>
        <v>6.4620222037554136</v>
      </c>
    </row>
    <row r="62" spans="1:23" x14ac:dyDescent="0.3">
      <c r="U62" t="s">
        <v>38</v>
      </c>
      <c r="V62">
        <f>V61/V60</f>
        <v>0.52457777610100675</v>
      </c>
    </row>
    <row r="63" spans="1:23" x14ac:dyDescent="0.3">
      <c r="U63" t="s">
        <v>37</v>
      </c>
      <c r="V63">
        <f>V60/V62</f>
        <v>25.840072171691514</v>
      </c>
    </row>
  </sheetData>
  <mergeCells count="2">
    <mergeCell ref="N1:Q1"/>
    <mergeCell ref="S1:W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78FF-E835-4C5B-968D-191476D456F5}">
  <dimension ref="A1:Y36"/>
  <sheetViews>
    <sheetView topLeftCell="A26" zoomScale="91" workbookViewId="0">
      <selection activeCell="T34" sqref="T34"/>
    </sheetView>
  </sheetViews>
  <sheetFormatPr defaultRowHeight="14.4" x14ac:dyDescent="0.3"/>
  <cols>
    <col min="18" max="18" width="8.88671875" style="9"/>
  </cols>
  <sheetData>
    <row r="1" spans="1:25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25</v>
      </c>
      <c r="H1" t="s">
        <v>21</v>
      </c>
      <c r="I1" t="s">
        <v>22</v>
      </c>
      <c r="L1" s="3" t="s">
        <v>23</v>
      </c>
      <c r="M1" s="6">
        <f>0.0232</f>
        <v>2.3199999999999998E-2</v>
      </c>
      <c r="N1" s="6">
        <f>31.86/100</f>
        <v>0.31859999999999999</v>
      </c>
      <c r="O1" s="6">
        <f>M1*M3+N1*N3</f>
        <v>5.2739999999999995E-2</v>
      </c>
      <c r="Q1" s="35" t="s">
        <v>0</v>
      </c>
      <c r="R1" s="34" t="s">
        <v>28</v>
      </c>
      <c r="S1" s="34"/>
      <c r="T1" s="34"/>
      <c r="U1" s="34"/>
      <c r="V1" s="36" t="s">
        <v>30</v>
      </c>
      <c r="W1" s="36"/>
      <c r="X1" s="36"/>
      <c r="Y1" s="36"/>
    </row>
    <row r="2" spans="1:25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f>(1-P_hospital[[#This Row],[P_o_low]])</f>
        <v>1</v>
      </c>
      <c r="L2" s="3" t="s">
        <v>24</v>
      </c>
      <c r="M2" s="5">
        <f>[1]!P_hospital[[#Totals],[yy]]</f>
        <v>7.0155900025080742</v>
      </c>
      <c r="N2" s="5">
        <f>[1]!P_hospital[[#Totals],[oo]]</f>
        <v>3.2388427721866391</v>
      </c>
      <c r="O2" s="5">
        <f>M3*M2+N3*N2</f>
        <v>6.6379152794759309</v>
      </c>
      <c r="Q2" s="35"/>
      <c r="R2" s="10" t="s">
        <v>26</v>
      </c>
      <c r="S2" s="11" t="s">
        <v>27</v>
      </c>
      <c r="T2" s="11" t="s">
        <v>29</v>
      </c>
      <c r="U2" s="11" t="s">
        <v>33</v>
      </c>
      <c r="V2" s="10" t="s">
        <v>26</v>
      </c>
      <c r="W2" s="11" t="s">
        <v>27</v>
      </c>
      <c r="X2" s="11" t="s">
        <v>29</v>
      </c>
      <c r="Y2" s="11" t="s">
        <v>33</v>
      </c>
    </row>
    <row r="3" spans="1:25" x14ac:dyDescent="0.3">
      <c r="A3">
        <v>0</v>
      </c>
      <c r="B3">
        <v>0.96</v>
      </c>
      <c r="C3">
        <v>0.89</v>
      </c>
      <c r="D3">
        <v>1.03</v>
      </c>
      <c r="E3">
        <v>16.84</v>
      </c>
      <c r="F3">
        <v>16.05</v>
      </c>
      <c r="G3">
        <v>17.63</v>
      </c>
      <c r="H3">
        <v>1</v>
      </c>
      <c r="I3">
        <v>1</v>
      </c>
      <c r="L3" s="3" t="s">
        <v>10</v>
      </c>
      <c r="M3" s="7">
        <f>1-N3</f>
        <v>0.9</v>
      </c>
      <c r="N3" s="8">
        <v>0.1</v>
      </c>
      <c r="Q3">
        <v>0</v>
      </c>
      <c r="R3" s="9">
        <f>(P_hospital[[#This Row],[P_y]]-B2)/100</f>
        <v>9.5999999999999992E-3</v>
      </c>
      <c r="S3">
        <f>R3/$M$1</f>
        <v>0.41379310344827586</v>
      </c>
      <c r="V3">
        <f>(P_hospital[[#This Row],[P_o]]-E2)/100</f>
        <v>0.16839999999999999</v>
      </c>
      <c r="W3">
        <f>V3/$N$1</f>
        <v>0.52856246076585056</v>
      </c>
    </row>
    <row r="4" spans="1:25" x14ac:dyDescent="0.3">
      <c r="A4">
        <v>1</v>
      </c>
      <c r="B4">
        <v>1.33</v>
      </c>
      <c r="C4">
        <v>1.24</v>
      </c>
      <c r="D4">
        <v>1.42</v>
      </c>
      <c r="E4">
        <v>22.67</v>
      </c>
      <c r="F4">
        <v>21.78</v>
      </c>
      <c r="G4">
        <v>23.55</v>
      </c>
      <c r="H4">
        <f t="shared" ref="H4:H33" si="0">(1-E3/100)*H3</f>
        <v>0.83160000000000001</v>
      </c>
      <c r="I4">
        <f t="shared" ref="I4:I33" si="1">(1-B3/100)*I3</f>
        <v>0.99039999999999995</v>
      </c>
      <c r="L4" s="3" t="s">
        <v>32</v>
      </c>
      <c r="M4">
        <f>0.65</f>
        <v>0.65</v>
      </c>
      <c r="Q4">
        <v>1</v>
      </c>
      <c r="R4" s="9">
        <f>(P_hospital[[#This Row],[P_y]]-B3)/100</f>
        <v>3.700000000000001E-3</v>
      </c>
      <c r="S4">
        <f t="shared" ref="S4:S33" si="2">R4/$M$1</f>
        <v>0.15948275862068972</v>
      </c>
      <c r="T4">
        <f>S3</f>
        <v>0.41379310344827586</v>
      </c>
      <c r="U4">
        <f>T4/$T$36</f>
        <v>0.3383947975961008</v>
      </c>
      <c r="V4">
        <f>(P_hospital[[#This Row],[P_o]]-E3)/100</f>
        <v>5.8300000000000018E-2</v>
      </c>
      <c r="W4">
        <f t="shared" ref="W4:W33" si="3">V4/$N$1</f>
        <v>0.18298807281858134</v>
      </c>
      <c r="X4">
        <f>W3</f>
        <v>0.52856246076585056</v>
      </c>
      <c r="Y4">
        <f>X4/$X$36</f>
        <v>0.41145737926025711</v>
      </c>
    </row>
    <row r="5" spans="1:25" x14ac:dyDescent="0.3">
      <c r="A5">
        <v>2</v>
      </c>
      <c r="B5">
        <v>1.5</v>
      </c>
      <c r="C5">
        <v>1.41</v>
      </c>
      <c r="D5">
        <v>1.59</v>
      </c>
      <c r="E5">
        <v>24.24</v>
      </c>
      <c r="F5">
        <v>23.33</v>
      </c>
      <c r="G5">
        <v>25.15</v>
      </c>
      <c r="H5">
        <f t="shared" si="0"/>
        <v>0.64307627999999994</v>
      </c>
      <c r="I5">
        <f t="shared" si="1"/>
        <v>0.97722767999999993</v>
      </c>
      <c r="L5" s="3"/>
      <c r="Q5">
        <v>2</v>
      </c>
      <c r="R5" s="9">
        <f>(P_hospital[[#This Row],[P_y]]-B4)/100</f>
        <v>1.6999999999999993E-3</v>
      </c>
      <c r="S5">
        <f t="shared" si="2"/>
        <v>7.3275862068965483E-2</v>
      </c>
      <c r="T5">
        <f>$M$4*S4+(1-$M$4)*T4</f>
        <v>0.24849137931034487</v>
      </c>
      <c r="U5">
        <f t="shared" ref="U5:U33" si="4">T5/$T$36</f>
        <v>0.20321312584807513</v>
      </c>
      <c r="V5">
        <f>(P_hospital[[#This Row],[P_o]]-E4)/100</f>
        <v>1.5699999999999967E-2</v>
      </c>
      <c r="W5">
        <f t="shared" si="3"/>
        <v>4.9278091650972904E-2</v>
      </c>
      <c r="X5">
        <f>$M$4*W4+(1-$M$4)*X4</f>
        <v>0.30393910860012557</v>
      </c>
      <c r="Y5">
        <f t="shared" ref="Y5:Y33" si="5">X5/$X$36</f>
        <v>0.23660020974267817</v>
      </c>
    </row>
    <row r="6" spans="1:25" x14ac:dyDescent="0.3">
      <c r="A6">
        <v>3</v>
      </c>
      <c r="B6">
        <v>1.62</v>
      </c>
      <c r="C6">
        <v>1.52</v>
      </c>
      <c r="D6">
        <v>1.71</v>
      </c>
      <c r="E6">
        <v>25.63</v>
      </c>
      <c r="F6">
        <v>24.69</v>
      </c>
      <c r="G6">
        <v>26.56</v>
      </c>
      <c r="H6">
        <f t="shared" si="0"/>
        <v>0.487194589728</v>
      </c>
      <c r="I6">
        <f t="shared" si="1"/>
        <v>0.96256926479999994</v>
      </c>
      <c r="Q6">
        <v>3</v>
      </c>
      <c r="R6" s="9">
        <f>(P_hospital[[#This Row],[P_y]]-B5)/100</f>
        <v>1.200000000000001E-3</v>
      </c>
      <c r="S6">
        <f t="shared" si="2"/>
        <v>5.1724137931034531E-2</v>
      </c>
      <c r="T6">
        <f t="shared" ref="T6:T33" si="6">$M$4*S5+(1-$M$4)*T5</f>
        <v>0.13460129310344826</v>
      </c>
      <c r="U6">
        <f t="shared" si="4"/>
        <v>0.11007524522846079</v>
      </c>
      <c r="V6">
        <f>(P_hospital[[#This Row],[P_o]]-E5)/100</f>
        <v>1.3900000000000006E-2</v>
      </c>
      <c r="W6">
        <f t="shared" si="3"/>
        <v>4.3628374136848731E-2</v>
      </c>
      <c r="X6">
        <f t="shared" ref="X6:X33" si="7">$M$4*W5+(1-$M$4)*X5</f>
        <v>0.13840944758317633</v>
      </c>
      <c r="Y6">
        <f t="shared" si="5"/>
        <v>0.10774429285976464</v>
      </c>
    </row>
    <row r="7" spans="1:25" x14ac:dyDescent="0.3">
      <c r="A7">
        <v>4</v>
      </c>
      <c r="B7">
        <v>1.74</v>
      </c>
      <c r="C7">
        <v>1.64</v>
      </c>
      <c r="D7">
        <v>1.84</v>
      </c>
      <c r="E7">
        <v>26.74</v>
      </c>
      <c r="F7">
        <v>25.79</v>
      </c>
      <c r="G7">
        <v>27.69</v>
      </c>
      <c r="H7">
        <f t="shared" si="0"/>
        <v>0.36232661638071362</v>
      </c>
      <c r="I7">
        <f t="shared" si="1"/>
        <v>0.94697564271023993</v>
      </c>
      <c r="Q7">
        <v>4</v>
      </c>
      <c r="R7" s="9">
        <f>(P_hospital[[#This Row],[P_y]]-B6)/100</f>
        <v>1.1999999999999988E-3</v>
      </c>
      <c r="S7">
        <f t="shared" si="2"/>
        <v>5.1724137931034433E-2</v>
      </c>
      <c r="T7">
        <f t="shared" si="6"/>
        <v>8.0731142241379339E-2</v>
      </c>
      <c r="U7">
        <f t="shared" si="4"/>
        <v>6.6020913134644491E-2</v>
      </c>
      <c r="V7">
        <f>(P_hospital[[#This Row],[P_o]]-E6)/100</f>
        <v>1.1099999999999994E-2</v>
      </c>
      <c r="W7">
        <f t="shared" si="3"/>
        <v>3.4839924670433127E-2</v>
      </c>
      <c r="X7">
        <f t="shared" si="7"/>
        <v>7.6801749843063399E-2</v>
      </c>
      <c r="Y7">
        <f t="shared" si="5"/>
        <v>5.9786021631656493E-2</v>
      </c>
    </row>
    <row r="8" spans="1:25" x14ac:dyDescent="0.3">
      <c r="A8">
        <v>5</v>
      </c>
      <c r="B8">
        <v>1.86</v>
      </c>
      <c r="C8">
        <v>1.76</v>
      </c>
      <c r="D8">
        <v>1.97</v>
      </c>
      <c r="E8">
        <v>27.72</v>
      </c>
      <c r="F8">
        <v>26.76</v>
      </c>
      <c r="G8">
        <v>28.69</v>
      </c>
      <c r="H8">
        <f t="shared" si="0"/>
        <v>0.26544047916051083</v>
      </c>
      <c r="I8">
        <f t="shared" si="1"/>
        <v>0.93049826652708179</v>
      </c>
      <c r="Q8">
        <v>5</v>
      </c>
      <c r="R8" s="9">
        <f>(P_hospital[[#This Row],[P_y]]-B7)/100</f>
        <v>1.200000000000001E-3</v>
      </c>
      <c r="S8">
        <f t="shared" si="2"/>
        <v>5.1724137931034531E-2</v>
      </c>
      <c r="T8">
        <f t="shared" si="6"/>
        <v>6.1876589439655155E-2</v>
      </c>
      <c r="U8">
        <f t="shared" si="4"/>
        <v>5.0601896901808739E-2</v>
      </c>
      <c r="V8">
        <f>(P_hospital[[#This Row],[P_o]]-E7)/100</f>
        <v>9.8000000000000049E-3</v>
      </c>
      <c r="W8">
        <f t="shared" si="3"/>
        <v>3.0759573132454504E-2</v>
      </c>
      <c r="X8">
        <f t="shared" si="7"/>
        <v>4.9526563480853728E-2</v>
      </c>
      <c r="Y8">
        <f t="shared" si="5"/>
        <v>3.8553759538792094E-2</v>
      </c>
    </row>
    <row r="9" spans="1:25" x14ac:dyDescent="0.3">
      <c r="A9">
        <v>6</v>
      </c>
      <c r="B9">
        <v>1.96</v>
      </c>
      <c r="C9">
        <v>1.85</v>
      </c>
      <c r="D9">
        <v>2.0699999999999998</v>
      </c>
      <c r="E9">
        <v>28.45</v>
      </c>
      <c r="F9">
        <v>27.47</v>
      </c>
      <c r="G9">
        <v>29.43</v>
      </c>
      <c r="H9">
        <f t="shared" si="0"/>
        <v>0.19186037833721722</v>
      </c>
      <c r="I9">
        <f t="shared" si="1"/>
        <v>0.91319099876967813</v>
      </c>
      <c r="Q9">
        <v>6</v>
      </c>
      <c r="R9" s="9">
        <f>(P_hospital[[#This Row],[P_y]]-B8)/100</f>
        <v>9.9999999999999872E-4</v>
      </c>
      <c r="S9">
        <f t="shared" si="2"/>
        <v>4.3103448275862016E-2</v>
      </c>
      <c r="T9">
        <f t="shared" si="6"/>
        <v>5.5277495959051751E-2</v>
      </c>
      <c r="U9">
        <f t="shared" si="4"/>
        <v>4.5205241220316272E-2</v>
      </c>
      <c r="V9">
        <f>(P_hospital[[#This Row],[P_o]]-E8)/100</f>
        <v>7.3000000000000044E-3</v>
      </c>
      <c r="W9">
        <f t="shared" si="3"/>
        <v>2.2912743251726316E-2</v>
      </c>
      <c r="X9">
        <f t="shared" si="7"/>
        <v>3.7328019754394232E-2</v>
      </c>
      <c r="Y9">
        <f t="shared" si="5"/>
        <v>2.9057850909170103E-2</v>
      </c>
    </row>
    <row r="10" spans="1:25" x14ac:dyDescent="0.3">
      <c r="A10">
        <v>7</v>
      </c>
      <c r="B10">
        <v>2.04</v>
      </c>
      <c r="C10">
        <v>1.93</v>
      </c>
      <c r="D10">
        <v>2.15</v>
      </c>
      <c r="E10">
        <v>29.11</v>
      </c>
      <c r="F10">
        <v>28.12</v>
      </c>
      <c r="G10">
        <v>30.11</v>
      </c>
      <c r="H10">
        <f t="shared" si="0"/>
        <v>0.13727610070027893</v>
      </c>
      <c r="I10">
        <f t="shared" si="1"/>
        <v>0.89529245519379252</v>
      </c>
      <c r="Q10">
        <v>7</v>
      </c>
      <c r="R10" s="9">
        <f>(P_hospital[[#This Row],[P_y]]-B9)/100</f>
        <v>8.0000000000000069E-4</v>
      </c>
      <c r="S10">
        <f t="shared" si="2"/>
        <v>3.4482758620689689E-2</v>
      </c>
      <c r="T10">
        <f t="shared" si="6"/>
        <v>4.7364364964978423E-2</v>
      </c>
      <c r="U10">
        <f t="shared" si="4"/>
        <v>3.8733982181013323E-2</v>
      </c>
      <c r="V10">
        <f>(P_hospital[[#This Row],[P_o]]-E9)/100</f>
        <v>6.6000000000000017E-3</v>
      </c>
      <c r="W10">
        <f t="shared" si="3"/>
        <v>2.0715630885122415E-2</v>
      </c>
      <c r="X10">
        <f t="shared" si="7"/>
        <v>2.7958090027660087E-2</v>
      </c>
      <c r="Y10">
        <f t="shared" si="5"/>
        <v>2.1763865778957288E-2</v>
      </c>
    </row>
    <row r="11" spans="1:25" x14ac:dyDescent="0.3">
      <c r="A11">
        <v>8</v>
      </c>
      <c r="B11">
        <v>2.1</v>
      </c>
      <c r="C11">
        <v>1.99</v>
      </c>
      <c r="D11">
        <v>2.21</v>
      </c>
      <c r="E11">
        <v>29.63</v>
      </c>
      <c r="F11">
        <v>28.62</v>
      </c>
      <c r="G11">
        <v>30.64</v>
      </c>
      <c r="H11">
        <f t="shared" si="0"/>
        <v>9.7315027786427741E-2</v>
      </c>
      <c r="I11">
        <f t="shared" si="1"/>
        <v>0.87702848910783915</v>
      </c>
      <c r="Q11">
        <v>8</v>
      </c>
      <c r="R11" s="9">
        <f>(P_hospital[[#This Row],[P_y]]-B10)/100</f>
        <v>6.0000000000000049E-4</v>
      </c>
      <c r="S11">
        <f t="shared" si="2"/>
        <v>2.5862068965517265E-2</v>
      </c>
      <c r="T11">
        <f t="shared" si="6"/>
        <v>3.8991320841190745E-2</v>
      </c>
      <c r="U11">
        <f t="shared" si="4"/>
        <v>3.1886611966476804E-2</v>
      </c>
      <c r="V11">
        <f>(P_hospital[[#This Row],[P_o]]-E10)/100</f>
        <v>5.1999999999999954E-3</v>
      </c>
      <c r="W11">
        <f t="shared" si="3"/>
        <v>1.6321406151914613E-2</v>
      </c>
      <c r="X11">
        <f t="shared" si="7"/>
        <v>2.3250491585010601E-2</v>
      </c>
      <c r="Y11">
        <f t="shared" si="5"/>
        <v>1.8099254192626164E-2</v>
      </c>
    </row>
    <row r="12" spans="1:25" x14ac:dyDescent="0.3">
      <c r="A12">
        <v>9</v>
      </c>
      <c r="B12">
        <v>2.15</v>
      </c>
      <c r="C12">
        <v>2.04</v>
      </c>
      <c r="D12">
        <v>2.27</v>
      </c>
      <c r="E12">
        <v>30.03</v>
      </c>
      <c r="F12">
        <v>29.02</v>
      </c>
      <c r="G12">
        <v>31.05</v>
      </c>
      <c r="H12">
        <f t="shared" si="0"/>
        <v>6.8480585053309201E-2</v>
      </c>
      <c r="I12">
        <f t="shared" si="1"/>
        <v>0.85861089083657449</v>
      </c>
      <c r="Q12">
        <v>9</v>
      </c>
      <c r="R12" s="9">
        <f>(P_hospital[[#This Row],[P_y]]-B11)/100</f>
        <v>4.9999999999999828E-4</v>
      </c>
      <c r="S12">
        <f t="shared" si="2"/>
        <v>2.1551724137930963E-2</v>
      </c>
      <c r="T12">
        <f t="shared" si="6"/>
        <v>3.0457307122002984E-2</v>
      </c>
      <c r="U12">
        <f t="shared" si="4"/>
        <v>2.490760284060849E-2</v>
      </c>
      <c r="V12">
        <f>(P_hospital[[#This Row],[P_o]]-E11)/100</f>
        <v>4.0000000000000209E-3</v>
      </c>
      <c r="W12">
        <f t="shared" si="3"/>
        <v>1.2554927809165162E-2</v>
      </c>
      <c r="X12">
        <f t="shared" si="7"/>
        <v>1.8746586053498208E-2</v>
      </c>
      <c r="Y12">
        <f t="shared" si="5"/>
        <v>1.4593206555896996E-2</v>
      </c>
    </row>
    <row r="13" spans="1:25" x14ac:dyDescent="0.3">
      <c r="A13">
        <v>10</v>
      </c>
      <c r="B13">
        <v>2.19</v>
      </c>
      <c r="C13">
        <v>2.0699999999999998</v>
      </c>
      <c r="D13">
        <v>2.2999999999999998</v>
      </c>
      <c r="E13">
        <v>30.53</v>
      </c>
      <c r="F13">
        <v>29.5</v>
      </c>
      <c r="G13">
        <v>31.56</v>
      </c>
      <c r="H13">
        <f t="shared" si="0"/>
        <v>4.7915865361800446E-2</v>
      </c>
      <c r="I13">
        <f t="shared" si="1"/>
        <v>0.84015075668358818</v>
      </c>
      <c r="Q13">
        <v>10</v>
      </c>
      <c r="R13" s="9">
        <f>(P_hospital[[#This Row],[P_y]]-B12)/100</f>
        <v>4.0000000000000034E-4</v>
      </c>
      <c r="S13">
        <f t="shared" si="2"/>
        <v>1.7241379310344845E-2</v>
      </c>
      <c r="T13">
        <f t="shared" si="6"/>
        <v>2.4668678182356171E-2</v>
      </c>
      <c r="U13">
        <f t="shared" si="4"/>
        <v>2.0173734871164264E-2</v>
      </c>
      <c r="V13">
        <f>(P_hospital[[#This Row],[P_o]]-E12)/100</f>
        <v>5.0000000000000001E-3</v>
      </c>
      <c r="W13">
        <f t="shared" si="3"/>
        <v>1.5693659761456372E-2</v>
      </c>
      <c r="X13">
        <f t="shared" si="7"/>
        <v>1.4722008194681727E-2</v>
      </c>
      <c r="Y13">
        <f t="shared" si="5"/>
        <v>1.1460289670316169E-2</v>
      </c>
    </row>
    <row r="14" spans="1:25" x14ac:dyDescent="0.3">
      <c r="A14">
        <v>11</v>
      </c>
      <c r="B14">
        <v>2.21</v>
      </c>
      <c r="C14">
        <v>2.09</v>
      </c>
      <c r="D14">
        <v>2.3199999999999998</v>
      </c>
      <c r="E14">
        <v>30.8</v>
      </c>
      <c r="F14">
        <v>29.77</v>
      </c>
      <c r="G14">
        <v>31.84</v>
      </c>
      <c r="H14">
        <f t="shared" si="0"/>
        <v>3.3287151666842769E-2</v>
      </c>
      <c r="I14">
        <f t="shared" si="1"/>
        <v>0.82175145511221759</v>
      </c>
      <c r="Q14">
        <v>11</v>
      </c>
      <c r="R14" s="9">
        <v>2.9999999999999997E-4</v>
      </c>
      <c r="S14">
        <f t="shared" si="2"/>
        <v>1.2931034482758621E-2</v>
      </c>
      <c r="T14">
        <f t="shared" si="6"/>
        <v>1.9840933915548808E-2</v>
      </c>
      <c r="U14">
        <f t="shared" si="4"/>
        <v>1.6225666306468562E-2</v>
      </c>
      <c r="V14">
        <f>(P_hospital[[#This Row],[P_o]]-E13)/100</f>
        <v>2.6999999999999958E-3</v>
      </c>
      <c r="W14">
        <f t="shared" si="3"/>
        <v>8.4745762711864285E-3</v>
      </c>
      <c r="X14">
        <f t="shared" si="7"/>
        <v>1.5353581713085245E-2</v>
      </c>
      <c r="Y14">
        <f t="shared" si="5"/>
        <v>1.1951935604300894E-2</v>
      </c>
    </row>
    <row r="15" spans="1:25" x14ac:dyDescent="0.3">
      <c r="A15">
        <v>12</v>
      </c>
      <c r="B15">
        <v>2.23</v>
      </c>
      <c r="C15">
        <v>2.11</v>
      </c>
      <c r="D15">
        <v>2.35</v>
      </c>
      <c r="E15">
        <v>30.98</v>
      </c>
      <c r="F15">
        <v>29.94</v>
      </c>
      <c r="G15">
        <v>32.020000000000003</v>
      </c>
      <c r="H15">
        <f t="shared" si="0"/>
        <v>2.3034708953455194E-2</v>
      </c>
      <c r="I15">
        <f t="shared" si="1"/>
        <v>0.80359074795423757</v>
      </c>
      <c r="Q15">
        <v>12</v>
      </c>
      <c r="R15" s="9">
        <v>2.5000000000000001E-4</v>
      </c>
      <c r="S15">
        <f t="shared" si="2"/>
        <v>1.0775862068965518E-2</v>
      </c>
      <c r="T15">
        <f t="shared" si="6"/>
        <v>1.5349499284235187E-2</v>
      </c>
      <c r="U15">
        <f t="shared" si="4"/>
        <v>1.2552627533434795E-2</v>
      </c>
      <c r="V15">
        <f>(P_hospital[[#This Row],[P_o]]-E14)/100</f>
        <v>1.7999999999999971E-3</v>
      </c>
      <c r="W15">
        <f t="shared" si="3"/>
        <v>5.6497175141242851E-3</v>
      </c>
      <c r="X15">
        <f t="shared" si="7"/>
        <v>1.0882228175851015E-2</v>
      </c>
      <c r="Y15">
        <f t="shared" si="5"/>
        <v>8.4712279401380347E-3</v>
      </c>
    </row>
    <row r="16" spans="1:25" x14ac:dyDescent="0.3">
      <c r="A16">
        <v>13</v>
      </c>
      <c r="B16">
        <v>2.2599999999999998</v>
      </c>
      <c r="C16">
        <v>2.14</v>
      </c>
      <c r="D16">
        <v>2.38</v>
      </c>
      <c r="E16">
        <v>31.19</v>
      </c>
      <c r="F16">
        <v>30.15</v>
      </c>
      <c r="G16">
        <v>32.24</v>
      </c>
      <c r="H16">
        <f t="shared" si="0"/>
        <v>1.5898556119674775E-2</v>
      </c>
      <c r="I16">
        <f t="shared" si="1"/>
        <v>0.78567067427485804</v>
      </c>
      <c r="Q16">
        <v>13</v>
      </c>
      <c r="R16" s="9">
        <v>2.0000000000000001E-4</v>
      </c>
      <c r="S16">
        <f t="shared" si="2"/>
        <v>8.6206896551724154E-3</v>
      </c>
      <c r="T16">
        <f t="shared" si="6"/>
        <v>1.2376635094309902E-2</v>
      </c>
      <c r="U16">
        <f t="shared" si="4"/>
        <v>1.0121456575177844E-2</v>
      </c>
      <c r="V16">
        <f>(P_hospital[[#This Row],[P_o]]-E15)/100</f>
        <v>2.1000000000000085E-3</v>
      </c>
      <c r="W16">
        <f t="shared" si="3"/>
        <v>6.5913370998117032E-3</v>
      </c>
      <c r="X16">
        <f t="shared" si="7"/>
        <v>7.4810962457286401E-3</v>
      </c>
      <c r="Y16">
        <f t="shared" si="5"/>
        <v>5.8236300981367927E-3</v>
      </c>
    </row>
    <row r="17" spans="1:25" x14ac:dyDescent="0.3">
      <c r="A17">
        <v>14</v>
      </c>
      <c r="B17">
        <v>2.2599999999999998</v>
      </c>
      <c r="C17">
        <v>2.14</v>
      </c>
      <c r="D17">
        <v>2.38</v>
      </c>
      <c r="E17">
        <v>31.37</v>
      </c>
      <c r="F17">
        <v>30.32</v>
      </c>
      <c r="G17">
        <v>32.42</v>
      </c>
      <c r="H17">
        <f t="shared" si="0"/>
        <v>1.0939796465948212E-2</v>
      </c>
      <c r="I17">
        <f t="shared" si="1"/>
        <v>0.76791451703624625</v>
      </c>
      <c r="Q17">
        <v>14</v>
      </c>
      <c r="R17" s="9">
        <v>2.0000000000000001E-4</v>
      </c>
      <c r="S17">
        <f t="shared" si="2"/>
        <v>8.6206896551724154E-3</v>
      </c>
      <c r="T17">
        <f t="shared" si="6"/>
        <v>9.9352705588705362E-3</v>
      </c>
      <c r="U17">
        <f t="shared" si="4"/>
        <v>8.124939352092778E-3</v>
      </c>
      <c r="V17">
        <f>(P_hospital[[#This Row],[P_o]]-E16)/100</f>
        <v>1.7999999999999971E-3</v>
      </c>
      <c r="W17">
        <f t="shared" si="3"/>
        <v>5.6497175141242851E-3</v>
      </c>
      <c r="X17">
        <f t="shared" si="7"/>
        <v>6.9027528008826309E-3</v>
      </c>
      <c r="Y17">
        <f t="shared" si="5"/>
        <v>5.3734209066177898E-3</v>
      </c>
    </row>
    <row r="18" spans="1:25" x14ac:dyDescent="0.3">
      <c r="A18">
        <v>15</v>
      </c>
      <c r="B18">
        <v>2.27</v>
      </c>
      <c r="C18">
        <v>2.15</v>
      </c>
      <c r="D18">
        <v>2.39</v>
      </c>
      <c r="E18">
        <v>31.48</v>
      </c>
      <c r="F18">
        <v>30.42</v>
      </c>
      <c r="G18">
        <v>32.53</v>
      </c>
      <c r="H18">
        <f t="shared" si="0"/>
        <v>7.5079823145802567E-3</v>
      </c>
      <c r="I18">
        <f t="shared" si="1"/>
        <v>0.75055964895122707</v>
      </c>
      <c r="Q18">
        <v>15</v>
      </c>
      <c r="R18" s="9">
        <v>1.4999999999999999E-4</v>
      </c>
      <c r="S18">
        <f t="shared" si="2"/>
        <v>6.4655172413793103E-3</v>
      </c>
      <c r="T18">
        <f t="shared" si="6"/>
        <v>9.0807929714667585E-3</v>
      </c>
      <c r="U18">
        <f t="shared" si="4"/>
        <v>7.4261583240130052E-3</v>
      </c>
      <c r="V18">
        <f>(P_hospital[[#This Row],[P_o]]-E17)/100</f>
        <v>1.0999999999999942E-3</v>
      </c>
      <c r="W18">
        <f t="shared" si="3"/>
        <v>3.4526051475203836E-3</v>
      </c>
      <c r="X18">
        <f t="shared" si="7"/>
        <v>6.0882798644897058E-3</v>
      </c>
      <c r="Y18">
        <f t="shared" si="5"/>
        <v>4.7393976364047069E-3</v>
      </c>
    </row>
    <row r="19" spans="1:25" x14ac:dyDescent="0.3">
      <c r="A19">
        <v>16</v>
      </c>
      <c r="B19">
        <v>2.2799999999999998</v>
      </c>
      <c r="C19">
        <v>2.16</v>
      </c>
      <c r="D19">
        <v>2.4</v>
      </c>
      <c r="E19">
        <v>31.54</v>
      </c>
      <c r="F19">
        <v>30.48</v>
      </c>
      <c r="G19">
        <v>32.590000000000003</v>
      </c>
      <c r="H19">
        <f t="shared" si="0"/>
        <v>5.1444694819503924E-3</v>
      </c>
      <c r="I19">
        <f t="shared" si="1"/>
        <v>0.7335219449200342</v>
      </c>
      <c r="Q19">
        <v>16</v>
      </c>
      <c r="R19" s="9">
        <f>(P_hospital[[#This Row],[P_y]]-B18)/100</f>
        <v>9.9999999999997863E-5</v>
      </c>
      <c r="S19">
        <f t="shared" si="2"/>
        <v>4.3103448275861149E-3</v>
      </c>
      <c r="T19">
        <f t="shared" si="6"/>
        <v>7.3808637469099173E-3</v>
      </c>
      <c r="U19">
        <f t="shared" si="4"/>
        <v>6.0359775764899501E-3</v>
      </c>
      <c r="V19">
        <f>(P_hospital[[#This Row],[P_o]]-E18)/100</f>
        <v>5.9999999999998726E-4</v>
      </c>
      <c r="W19">
        <f t="shared" si="3"/>
        <v>1.8832391713747246E-3</v>
      </c>
      <c r="X19">
        <f t="shared" si="7"/>
        <v>4.3750912984596461E-3</v>
      </c>
      <c r="Y19">
        <f t="shared" si="5"/>
        <v>3.4057727010734897E-3</v>
      </c>
    </row>
    <row r="20" spans="1:25" x14ac:dyDescent="0.3">
      <c r="A20">
        <v>17</v>
      </c>
      <c r="B20">
        <v>2.2799999999999998</v>
      </c>
      <c r="C20">
        <v>2.16</v>
      </c>
      <c r="D20">
        <v>2.4</v>
      </c>
      <c r="E20">
        <v>31.66</v>
      </c>
      <c r="F20">
        <v>30.6</v>
      </c>
      <c r="G20">
        <v>32.72</v>
      </c>
      <c r="H20">
        <f t="shared" si="0"/>
        <v>3.5219038073432385E-3</v>
      </c>
      <c r="I20">
        <f t="shared" si="1"/>
        <v>0.71679764457585737</v>
      </c>
      <c r="Q20">
        <v>17</v>
      </c>
      <c r="R20" s="9">
        <v>5.0000000000000002E-5</v>
      </c>
      <c r="S20">
        <f t="shared" si="2"/>
        <v>2.1551724137931039E-3</v>
      </c>
      <c r="T20">
        <f t="shared" si="6"/>
        <v>5.3850264493494459E-3</v>
      </c>
      <c r="U20">
        <f t="shared" si="4"/>
        <v>4.4038069271616995E-3</v>
      </c>
      <c r="V20">
        <f>(P_hospital[[#This Row],[P_o]]-E19)/100</f>
        <v>1.2000000000000099E-3</v>
      </c>
      <c r="W20">
        <f t="shared" si="3"/>
        <v>3.7664783427495603E-3</v>
      </c>
      <c r="X20">
        <f t="shared" si="7"/>
        <v>2.755387415854447E-3</v>
      </c>
      <c r="Y20">
        <f t="shared" si="5"/>
        <v>2.1449205517385292E-3</v>
      </c>
    </row>
    <row r="21" spans="1:25" x14ac:dyDescent="0.3">
      <c r="A21">
        <v>18</v>
      </c>
      <c r="B21">
        <v>2.2999999999999998</v>
      </c>
      <c r="C21">
        <v>2.1800000000000002</v>
      </c>
      <c r="D21">
        <v>2.42</v>
      </c>
      <c r="E21">
        <v>31.72</v>
      </c>
      <c r="F21">
        <v>30.66</v>
      </c>
      <c r="G21">
        <v>32.79</v>
      </c>
      <c r="H21">
        <f t="shared" si="0"/>
        <v>2.4068690619383692E-3</v>
      </c>
      <c r="I21">
        <f t="shared" si="1"/>
        <v>0.7004546582795278</v>
      </c>
      <c r="Q21">
        <v>18</v>
      </c>
      <c r="R21" s="9">
        <v>5.0000000000000002E-5</v>
      </c>
      <c r="S21">
        <f t="shared" si="2"/>
        <v>2.1551724137931039E-3</v>
      </c>
      <c r="T21">
        <f t="shared" si="6"/>
        <v>3.2856213262378235E-3</v>
      </c>
      <c r="U21">
        <f t="shared" si="4"/>
        <v>2.6869398122017279E-3</v>
      </c>
      <c r="V21">
        <f>(P_hospital[[#This Row],[P_o]]-E20)/100</f>
        <v>5.9999999999998726E-4</v>
      </c>
      <c r="W21">
        <f t="shared" si="3"/>
        <v>1.8832391713747246E-3</v>
      </c>
      <c r="X21">
        <f t="shared" si="7"/>
        <v>3.412596518336271E-3</v>
      </c>
      <c r="Y21">
        <f t="shared" si="5"/>
        <v>2.6565224058341581E-3</v>
      </c>
    </row>
    <row r="22" spans="1:25" x14ac:dyDescent="0.3">
      <c r="A22">
        <v>19</v>
      </c>
      <c r="B22">
        <v>2.2999999999999998</v>
      </c>
      <c r="C22">
        <v>2.1800000000000002</v>
      </c>
      <c r="D22">
        <v>2.4300000000000002</v>
      </c>
      <c r="E22">
        <v>31.82</v>
      </c>
      <c r="F22">
        <v>30.75</v>
      </c>
      <c r="G22">
        <v>32.89</v>
      </c>
      <c r="H22">
        <f t="shared" si="0"/>
        <v>1.6434101954915187E-3</v>
      </c>
      <c r="I22">
        <f t="shared" si="1"/>
        <v>0.68434420113909866</v>
      </c>
      <c r="Q22">
        <v>19</v>
      </c>
      <c r="R22" s="9">
        <f>(P_hospital[[#This Row],[P_y]]-B21)/100</f>
        <v>0</v>
      </c>
      <c r="S22">
        <f t="shared" si="2"/>
        <v>0</v>
      </c>
      <c r="T22">
        <f t="shared" si="6"/>
        <v>2.5508295331487557E-3</v>
      </c>
      <c r="U22">
        <f t="shared" si="4"/>
        <v>2.0860363219657378E-3</v>
      </c>
      <c r="V22">
        <f>(P_hospital[[#This Row],[P_o]]-E21)/100</f>
        <v>1.0000000000000141E-3</v>
      </c>
      <c r="W22">
        <f t="shared" si="3"/>
        <v>3.1387319522913188E-3</v>
      </c>
      <c r="X22">
        <f t="shared" si="7"/>
        <v>2.418514242811266E-3</v>
      </c>
      <c r="Y22">
        <f t="shared" si="5"/>
        <v>1.8826829484047635E-3</v>
      </c>
    </row>
    <row r="23" spans="1:25" x14ac:dyDescent="0.3">
      <c r="A23">
        <v>20</v>
      </c>
      <c r="B23">
        <v>2.31</v>
      </c>
      <c r="C23">
        <v>2.19</v>
      </c>
      <c r="D23">
        <v>2.4300000000000002</v>
      </c>
      <c r="E23">
        <v>31.82</v>
      </c>
      <c r="F23">
        <v>30.75</v>
      </c>
      <c r="G23">
        <v>32.89</v>
      </c>
      <c r="H23">
        <f t="shared" si="0"/>
        <v>1.1204770712861173E-3</v>
      </c>
      <c r="I23">
        <f t="shared" si="1"/>
        <v>0.66860428451289933</v>
      </c>
      <c r="Q23">
        <v>20</v>
      </c>
      <c r="R23" s="9">
        <v>0</v>
      </c>
      <c r="S23">
        <f t="shared" si="2"/>
        <v>0</v>
      </c>
      <c r="T23">
        <f t="shared" si="6"/>
        <v>8.9279033660206444E-4</v>
      </c>
      <c r="U23">
        <f t="shared" si="4"/>
        <v>7.3011271268800821E-4</v>
      </c>
      <c r="V23">
        <v>4.0000000000000002E-4</v>
      </c>
      <c r="W23">
        <f t="shared" si="3"/>
        <v>1.2554927809165098E-3</v>
      </c>
      <c r="X23">
        <f t="shared" si="7"/>
        <v>2.8866557539733006E-3</v>
      </c>
      <c r="Y23">
        <f t="shared" si="5"/>
        <v>2.2471058758797369E-3</v>
      </c>
    </row>
    <row r="24" spans="1:25" x14ac:dyDescent="0.3">
      <c r="A24">
        <v>21</v>
      </c>
      <c r="B24">
        <v>2.31</v>
      </c>
      <c r="C24">
        <v>2.19</v>
      </c>
      <c r="D24">
        <v>2.4300000000000002</v>
      </c>
      <c r="E24">
        <v>31.86</v>
      </c>
      <c r="F24">
        <v>30.79</v>
      </c>
      <c r="G24">
        <v>32.93</v>
      </c>
      <c r="H24">
        <f t="shared" si="0"/>
        <v>7.6394126720287481E-4</v>
      </c>
      <c r="I24">
        <f t="shared" si="1"/>
        <v>0.65315952554065138</v>
      </c>
      <c r="Q24">
        <v>21</v>
      </c>
      <c r="R24" s="9">
        <f>(P_hospital[[#This Row],[P_y]]-B23)/100</f>
        <v>0</v>
      </c>
      <c r="S24">
        <f t="shared" si="2"/>
        <v>0</v>
      </c>
      <c r="T24">
        <f t="shared" si="6"/>
        <v>3.1247661781072251E-4</v>
      </c>
      <c r="U24">
        <f t="shared" si="4"/>
        <v>2.5553944944080282E-4</v>
      </c>
      <c r="V24">
        <v>0</v>
      </c>
      <c r="W24">
        <f t="shared" si="3"/>
        <v>0</v>
      </c>
      <c r="X24">
        <f t="shared" si="7"/>
        <v>1.8263998214863865E-3</v>
      </c>
      <c r="Y24">
        <f t="shared" si="5"/>
        <v>1.4217537941331269E-3</v>
      </c>
    </row>
    <row r="25" spans="1:25" x14ac:dyDescent="0.3">
      <c r="A25">
        <v>22</v>
      </c>
      <c r="B25">
        <v>2.31</v>
      </c>
      <c r="C25">
        <v>2.19</v>
      </c>
      <c r="D25">
        <v>2.4300000000000002</v>
      </c>
      <c r="E25">
        <v>31.86</v>
      </c>
      <c r="F25">
        <v>30.79</v>
      </c>
      <c r="G25">
        <v>32.93</v>
      </c>
      <c r="H25">
        <f t="shared" si="0"/>
        <v>5.2054957947203885E-4</v>
      </c>
      <c r="I25">
        <f t="shared" si="1"/>
        <v>0.63807154050066228</v>
      </c>
      <c r="Q25">
        <v>22</v>
      </c>
      <c r="R25" s="9">
        <f>(P_hospital[[#This Row],[P_y]]-B24)/100</f>
        <v>0</v>
      </c>
      <c r="S25">
        <f t="shared" si="2"/>
        <v>0</v>
      </c>
      <c r="T25">
        <f t="shared" si="6"/>
        <v>1.0936681623375287E-4</v>
      </c>
      <c r="U25">
        <f t="shared" si="4"/>
        <v>8.9438807304280981E-5</v>
      </c>
      <c r="V25">
        <f>(P_hospital[[#This Row],[P_o]]-E24)/100</f>
        <v>0</v>
      </c>
      <c r="W25">
        <f t="shared" si="3"/>
        <v>0</v>
      </c>
      <c r="X25">
        <f t="shared" si="7"/>
        <v>6.3923993752023527E-4</v>
      </c>
      <c r="Y25">
        <f t="shared" si="5"/>
        <v>4.9761382794659436E-4</v>
      </c>
    </row>
    <row r="26" spans="1:25" x14ac:dyDescent="0.3">
      <c r="A26">
        <v>23</v>
      </c>
      <c r="B26">
        <v>2.31</v>
      </c>
      <c r="C26">
        <v>2.19</v>
      </c>
      <c r="D26">
        <v>2.4300000000000002</v>
      </c>
      <c r="E26">
        <v>31.86</v>
      </c>
      <c r="F26">
        <v>30.79</v>
      </c>
      <c r="G26">
        <v>32.93</v>
      </c>
      <c r="H26">
        <f t="shared" si="0"/>
        <v>3.5470248345224729E-4</v>
      </c>
      <c r="I26">
        <f t="shared" si="1"/>
        <v>0.62333208791509698</v>
      </c>
      <c r="Q26">
        <v>23</v>
      </c>
      <c r="R26" s="9">
        <f>(P_hospital[[#This Row],[P_y]]-B25)/100</f>
        <v>0</v>
      </c>
      <c r="S26">
        <f t="shared" si="2"/>
        <v>0</v>
      </c>
      <c r="T26">
        <f t="shared" si="6"/>
        <v>3.8278385681813501E-5</v>
      </c>
      <c r="U26">
        <f t="shared" si="4"/>
        <v>3.1303582556498343E-5</v>
      </c>
      <c r="V26">
        <f>(P_hospital[[#This Row],[P_o]]-E25)/100</f>
        <v>0</v>
      </c>
      <c r="W26">
        <f t="shared" si="3"/>
        <v>0</v>
      </c>
      <c r="X26">
        <f t="shared" si="7"/>
        <v>2.2373397813208232E-4</v>
      </c>
      <c r="Y26">
        <f t="shared" si="5"/>
        <v>1.74164839781308E-4</v>
      </c>
    </row>
    <row r="27" spans="1:25" x14ac:dyDescent="0.3">
      <c r="A27">
        <v>24</v>
      </c>
      <c r="B27">
        <v>2.31</v>
      </c>
      <c r="C27">
        <v>2.19</v>
      </c>
      <c r="D27">
        <v>2.4300000000000002</v>
      </c>
      <c r="E27">
        <v>31.86</v>
      </c>
      <c r="F27">
        <v>30.79</v>
      </c>
      <c r="G27">
        <v>32.93</v>
      </c>
      <c r="H27">
        <f t="shared" si="0"/>
        <v>2.4169427222436131E-4</v>
      </c>
      <c r="I27">
        <f t="shared" si="1"/>
        <v>0.6089331166842582</v>
      </c>
      <c r="Q27">
        <v>24</v>
      </c>
      <c r="R27" s="9">
        <f>(P_hospital[[#This Row],[P_y]]-B26)/100</f>
        <v>0</v>
      </c>
      <c r="S27">
        <f t="shared" si="2"/>
        <v>0</v>
      </c>
      <c r="T27">
        <f t="shared" si="6"/>
        <v>1.3397434988634724E-5</v>
      </c>
      <c r="U27">
        <f t="shared" si="4"/>
        <v>1.0956253894774418E-5</v>
      </c>
      <c r="V27">
        <f>(P_hospital[[#This Row],[P_o]]-E26)/100</f>
        <v>0</v>
      </c>
      <c r="W27">
        <f t="shared" si="3"/>
        <v>0</v>
      </c>
      <c r="X27">
        <f t="shared" si="7"/>
        <v>7.8306892346228802E-5</v>
      </c>
      <c r="Y27">
        <f t="shared" si="5"/>
        <v>6.0957693923457798E-5</v>
      </c>
    </row>
    <row r="28" spans="1:25" x14ac:dyDescent="0.3">
      <c r="A28">
        <v>25</v>
      </c>
      <c r="B28">
        <v>2.3199999999999998</v>
      </c>
      <c r="C28">
        <v>2.2000000000000002</v>
      </c>
      <c r="D28">
        <v>2.44</v>
      </c>
      <c r="E28">
        <v>31.86</v>
      </c>
      <c r="F28">
        <v>30.79</v>
      </c>
      <c r="G28">
        <v>32.93</v>
      </c>
      <c r="H28">
        <f t="shared" si="0"/>
        <v>1.646904770936798E-4</v>
      </c>
      <c r="I28">
        <f t="shared" si="1"/>
        <v>0.59486676168885189</v>
      </c>
      <c r="Q28">
        <v>25</v>
      </c>
      <c r="R28" s="9">
        <v>0</v>
      </c>
      <c r="S28">
        <f t="shared" si="2"/>
        <v>0</v>
      </c>
      <c r="T28">
        <f t="shared" si="6"/>
        <v>4.6891022460221529E-6</v>
      </c>
      <c r="U28">
        <f t="shared" si="4"/>
        <v>3.8346888631710463E-6</v>
      </c>
      <c r="V28">
        <f>(P_hospital[[#This Row],[P_o]]-E27)/100</f>
        <v>0</v>
      </c>
      <c r="W28">
        <f t="shared" si="3"/>
        <v>0</v>
      </c>
      <c r="X28">
        <f t="shared" si="7"/>
        <v>2.7407412321180078E-5</v>
      </c>
      <c r="Y28">
        <f t="shared" si="5"/>
        <v>2.1335192873210226E-5</v>
      </c>
    </row>
    <row r="29" spans="1:25" x14ac:dyDescent="0.3">
      <c r="A29">
        <v>26</v>
      </c>
      <c r="B29">
        <v>2.3199999999999998</v>
      </c>
      <c r="C29">
        <v>2.2000000000000002</v>
      </c>
      <c r="D29">
        <v>2.44</v>
      </c>
      <c r="E29">
        <v>31.86</v>
      </c>
      <c r="F29">
        <v>30.79</v>
      </c>
      <c r="G29">
        <v>32.93</v>
      </c>
      <c r="H29">
        <f t="shared" si="0"/>
        <v>1.1222009109163342E-4</v>
      </c>
      <c r="I29">
        <f t="shared" si="1"/>
        <v>0.58106585281767054</v>
      </c>
      <c r="Q29">
        <v>26</v>
      </c>
      <c r="R29" s="9">
        <f>(P_hospital[[#This Row],[P_y]]-B28)/100</f>
        <v>0</v>
      </c>
      <c r="S29">
        <f t="shared" si="2"/>
        <v>0</v>
      </c>
      <c r="T29">
        <f t="shared" si="6"/>
        <v>1.6411857861077533E-6</v>
      </c>
      <c r="U29">
        <f t="shared" si="4"/>
        <v>1.3421411021098659E-6</v>
      </c>
      <c r="V29">
        <f>(P_hospital[[#This Row],[P_o]]-E28)/100</f>
        <v>0</v>
      </c>
      <c r="W29">
        <f t="shared" si="3"/>
        <v>0</v>
      </c>
      <c r="X29">
        <f t="shared" si="7"/>
        <v>9.5925943124130259E-6</v>
      </c>
      <c r="Y29">
        <f t="shared" si="5"/>
        <v>7.4673175056235788E-6</v>
      </c>
    </row>
    <row r="30" spans="1:25" x14ac:dyDescent="0.3">
      <c r="A30">
        <v>27</v>
      </c>
      <c r="B30">
        <v>2.3199999999999998</v>
      </c>
      <c r="C30">
        <v>2.2000000000000002</v>
      </c>
      <c r="D30">
        <v>2.44</v>
      </c>
      <c r="E30">
        <v>31.86</v>
      </c>
      <c r="F30">
        <v>30.79</v>
      </c>
      <c r="G30">
        <v>32.93</v>
      </c>
      <c r="H30">
        <f t="shared" si="0"/>
        <v>7.6466770069839014E-5</v>
      </c>
      <c r="I30">
        <f t="shared" si="1"/>
        <v>0.56758512503230063</v>
      </c>
      <c r="Q30">
        <v>27</v>
      </c>
      <c r="R30" s="9">
        <f>(P_hospital[[#This Row],[P_y]]-B29)/100</f>
        <v>0</v>
      </c>
      <c r="S30">
        <f t="shared" si="2"/>
        <v>0</v>
      </c>
      <c r="T30">
        <f t="shared" si="6"/>
        <v>5.7441502513771362E-7</v>
      </c>
      <c r="U30">
        <f t="shared" si="4"/>
        <v>4.6974938573845304E-7</v>
      </c>
      <c r="V30">
        <f>(P_hospital[[#This Row],[P_o]]-E29)/100</f>
        <v>0</v>
      </c>
      <c r="W30">
        <f t="shared" si="3"/>
        <v>0</v>
      </c>
      <c r="X30">
        <f t="shared" si="7"/>
        <v>3.357408009344559E-6</v>
      </c>
      <c r="Y30">
        <f t="shared" si="5"/>
        <v>2.6135611269682523E-6</v>
      </c>
    </row>
    <row r="31" spans="1:25" x14ac:dyDescent="0.3">
      <c r="A31">
        <v>28</v>
      </c>
      <c r="B31">
        <v>2.3199999999999998</v>
      </c>
      <c r="C31">
        <v>2.2000000000000002</v>
      </c>
      <c r="D31">
        <v>2.44</v>
      </c>
      <c r="E31">
        <v>31.86</v>
      </c>
      <c r="F31">
        <v>30.79</v>
      </c>
      <c r="G31">
        <v>32.93</v>
      </c>
      <c r="H31">
        <f t="shared" si="0"/>
        <v>5.2104457125588306E-5</v>
      </c>
      <c r="I31">
        <f t="shared" si="1"/>
        <v>0.55441715013155124</v>
      </c>
      <c r="Q31">
        <v>28</v>
      </c>
      <c r="R31" s="9">
        <f>(P_hospital[[#This Row],[P_y]]-B30)/100</f>
        <v>0</v>
      </c>
      <c r="S31">
        <f t="shared" si="2"/>
        <v>0</v>
      </c>
      <c r="T31">
        <f t="shared" si="6"/>
        <v>2.0104525879819975E-7</v>
      </c>
      <c r="U31">
        <f t="shared" si="4"/>
        <v>1.6441228500845856E-7</v>
      </c>
      <c r="V31">
        <f>(P_hospital[[#This Row],[P_o]]-E30)/100</f>
        <v>0</v>
      </c>
      <c r="W31">
        <f t="shared" si="3"/>
        <v>0</v>
      </c>
      <c r="X31">
        <f t="shared" si="7"/>
        <v>1.1750928032705955E-6</v>
      </c>
      <c r="Y31">
        <f t="shared" si="5"/>
        <v>9.1474639443888827E-7</v>
      </c>
    </row>
    <row r="32" spans="1:25" x14ac:dyDescent="0.3">
      <c r="A32">
        <v>29</v>
      </c>
      <c r="B32">
        <v>2.3199999999999998</v>
      </c>
      <c r="C32">
        <v>2.2000000000000002</v>
      </c>
      <c r="D32">
        <v>2.44</v>
      </c>
      <c r="E32">
        <v>31.86</v>
      </c>
      <c r="F32">
        <v>30.79</v>
      </c>
      <c r="G32">
        <v>32.93</v>
      </c>
      <c r="H32">
        <f t="shared" si="0"/>
        <v>3.5503977085375874E-5</v>
      </c>
      <c r="I32">
        <f t="shared" si="1"/>
        <v>0.54155467224849929</v>
      </c>
      <c r="Q32">
        <v>29</v>
      </c>
      <c r="R32" s="9">
        <f>(P_hospital[[#This Row],[P_y]]-B31)/100</f>
        <v>0</v>
      </c>
      <c r="S32">
        <f t="shared" si="2"/>
        <v>0</v>
      </c>
      <c r="T32">
        <f t="shared" si="6"/>
        <v>7.0365840579369912E-8</v>
      </c>
      <c r="U32">
        <f t="shared" si="4"/>
        <v>5.754429975296049E-8</v>
      </c>
      <c r="V32">
        <f>(P_hospital[[#This Row],[P_o]]-E31)/100</f>
        <v>0</v>
      </c>
      <c r="W32">
        <f t="shared" si="3"/>
        <v>0</v>
      </c>
      <c r="X32">
        <f t="shared" si="7"/>
        <v>4.1128248114470839E-7</v>
      </c>
      <c r="Y32">
        <f t="shared" si="5"/>
        <v>3.2016123805361085E-7</v>
      </c>
    </row>
    <row r="33" spans="1:25" x14ac:dyDescent="0.3">
      <c r="A33">
        <v>30</v>
      </c>
      <c r="B33">
        <v>2.3199999999999998</v>
      </c>
      <c r="C33">
        <v>2.2000000000000002</v>
      </c>
      <c r="D33">
        <v>2.44</v>
      </c>
      <c r="E33">
        <v>31.86</v>
      </c>
      <c r="F33">
        <v>30.79</v>
      </c>
      <c r="G33">
        <v>32.93</v>
      </c>
      <c r="H33">
        <f t="shared" si="0"/>
        <v>2.419240998597512E-5</v>
      </c>
      <c r="I33">
        <f t="shared" si="1"/>
        <v>0.5289906038523341</v>
      </c>
      <c r="Q33">
        <v>30</v>
      </c>
      <c r="R33" s="9">
        <f>(P_hospital[[#This Row],[P_y]]-B32)/100</f>
        <v>0</v>
      </c>
      <c r="S33">
        <f t="shared" si="2"/>
        <v>0</v>
      </c>
      <c r="T33">
        <f t="shared" si="6"/>
        <v>2.4628044202779467E-8</v>
      </c>
      <c r="U33">
        <f t="shared" si="4"/>
        <v>2.014050491353617E-8</v>
      </c>
      <c r="V33">
        <f>(P_hospital[[#This Row],[P_o]]-E32)/100</f>
        <v>0</v>
      </c>
      <c r="W33">
        <f t="shared" si="3"/>
        <v>0</v>
      </c>
      <c r="X33">
        <f t="shared" si="7"/>
        <v>1.4394886840064792E-7</v>
      </c>
      <c r="Y33">
        <f t="shared" si="5"/>
        <v>1.1205643331876378E-7</v>
      </c>
    </row>
    <row r="34" spans="1:25" x14ac:dyDescent="0.3">
      <c r="H34" cm="1">
        <f t="array" ref="H34">SUMPRODUCT(P_hospital[day],P_hospital[P_o]/100,P_hospital[oo])</f>
        <v>3.2388427721866391</v>
      </c>
      <c r="I34" cm="1">
        <f t="array" ref="I34">SUMPRODUCT(P_hospital[yy],P_hospital[day],P_hospital[P_y]/100)</f>
        <v>7.0155900025080742</v>
      </c>
      <c r="R34" s="9">
        <f>SUM(R3:R33)</f>
        <v>2.3199999999999998E-2</v>
      </c>
      <c r="S34">
        <f>SUMPRODUCT(Q3:Q33,S3:S33)</f>
        <v>2.7456896551724119</v>
      </c>
      <c r="T34">
        <f>SUMPRODUCT(Q3:Q33,T3:T33)</f>
        <v>4.6269379616828941</v>
      </c>
      <c r="U34" s="16">
        <f>SUMPRODUCT(Q3:Q33,U3:U33)</f>
        <v>3.7838516929973798</v>
      </c>
      <c r="V34" s="9">
        <f>SUM(V3:V33)</f>
        <v>0.31860000000000005</v>
      </c>
      <c r="W34">
        <f>SUMPRODUCT(U3:U33,W3:W33)</f>
        <v>8.3970309395984988E-2</v>
      </c>
      <c r="X34">
        <f>SUMPRODUCT(U3:U33,X3:X33)</f>
        <v>0.26833311233625434</v>
      </c>
      <c r="Y34" s="16">
        <f>SUMPRODUCT(U3:U33,Y3:Y33)</f>
        <v>0.20888286128123892</v>
      </c>
    </row>
    <row r="35" spans="1:25" x14ac:dyDescent="0.3">
      <c r="H35">
        <f>SUMPRODUCT(P_hospital[oo],P_hospital[P_o])</f>
        <v>99.998351529183608</v>
      </c>
      <c r="I35">
        <f>young!D28</f>
        <v>0.03</v>
      </c>
      <c r="S35">
        <f>1/S34</f>
        <v>0.36420722135007871</v>
      </c>
      <c r="T35">
        <f>1/T34</f>
        <v>0.21612565551587457</v>
      </c>
      <c r="U35" s="16">
        <f>1/U34</f>
        <v>0.26428097112015758</v>
      </c>
      <c r="W35">
        <f>1/W34</f>
        <v>11.908971244636318</v>
      </c>
      <c r="X35">
        <f>1/X34</f>
        <v>3.7267111438221505</v>
      </c>
      <c r="Y35" s="16">
        <f>1/Y34</f>
        <v>4.7873721848993851</v>
      </c>
    </row>
    <row r="36" spans="1:25" x14ac:dyDescent="0.3">
      <c r="S36">
        <f>SUM(S3:S33)</f>
        <v>0.99999999999999989</v>
      </c>
      <c r="T36">
        <f>SUM(T3:T33)</f>
        <v>1.2228116578262782</v>
      </c>
      <c r="U36">
        <f>SUM(U3:U33)</f>
        <v>1.0000000000000004</v>
      </c>
      <c r="X36">
        <f>SUM(X3:X33)</f>
        <v>1.284610478286067</v>
      </c>
      <c r="Y36">
        <f>SUM(Y3:Y33)</f>
        <v>1</v>
      </c>
    </row>
  </sheetData>
  <mergeCells count="3">
    <mergeCell ref="R1:U1"/>
    <mergeCell ref="Q1:Q2"/>
    <mergeCell ref="V1:Y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A7B3-3A18-4806-8017-0F99CBD4A9CA}">
  <dimension ref="A1:D9"/>
  <sheetViews>
    <sheetView workbookViewId="0">
      <selection activeCell="D8" sqref="D8"/>
    </sheetView>
  </sheetViews>
  <sheetFormatPr defaultRowHeight="14.4" x14ac:dyDescent="0.3"/>
  <cols>
    <col min="1" max="1" width="21.88671875" customWidth="1"/>
  </cols>
  <sheetData>
    <row r="1" spans="1:4" x14ac:dyDescent="0.3">
      <c r="A1" s="4"/>
      <c r="B1" s="4" t="s">
        <v>12</v>
      </c>
      <c r="C1" s="4" t="s">
        <v>13</v>
      </c>
      <c r="D1" s="4" t="s">
        <v>11</v>
      </c>
    </row>
    <row r="2" spans="1:4" x14ac:dyDescent="0.3">
      <c r="A2" s="3" t="s">
        <v>1</v>
      </c>
      <c r="B2" s="5">
        <f>young!J3</f>
        <v>4.5640142304033455</v>
      </c>
      <c r="C2" s="5">
        <f>old!J2</f>
        <v>5.6533128722692334</v>
      </c>
      <c r="D2" s="5">
        <f t="shared" ref="D2:D8" si="0">(B2*$B$9+C2*$C$9)/($B$9+C$9)</f>
        <v>4.6740333932318006</v>
      </c>
    </row>
    <row r="3" spans="1:4" x14ac:dyDescent="0.3">
      <c r="A3" s="3" t="s">
        <v>2</v>
      </c>
      <c r="B3" s="6">
        <f>young!J4</f>
        <v>5.151830716398012E-2</v>
      </c>
      <c r="C3" s="6">
        <f>old!J3</f>
        <v>0.37161160021454559</v>
      </c>
      <c r="D3" s="6">
        <f t="shared" si="0"/>
        <v>8.3847729762087236E-2</v>
      </c>
    </row>
    <row r="4" spans="1:4" x14ac:dyDescent="0.3">
      <c r="A4" s="3" t="s">
        <v>4</v>
      </c>
      <c r="B4" s="6">
        <f>young!J5</f>
        <v>0.94848169283601969</v>
      </c>
      <c r="C4" s="6">
        <f>old!J4</f>
        <v>0.62765674035457053</v>
      </c>
      <c r="D4" s="6">
        <f t="shared" si="0"/>
        <v>0.91607837263539338</v>
      </c>
    </row>
    <row r="5" spans="1:4" x14ac:dyDescent="0.3">
      <c r="A5" s="3" t="s">
        <v>3</v>
      </c>
      <c r="B5" s="5">
        <f>young!J6</f>
        <v>4.4855881123386894</v>
      </c>
      <c r="C5" s="5">
        <f>old!J5</f>
        <v>5.2099817543944464</v>
      </c>
      <c r="D5" s="5">
        <f t="shared" si="0"/>
        <v>4.5587518701863203</v>
      </c>
    </row>
    <row r="6" spans="1:4" x14ac:dyDescent="0.3">
      <c r="A6" s="3" t="s">
        <v>5</v>
      </c>
      <c r="B6" s="5">
        <f>young!J7</f>
        <v>3.407570328175872</v>
      </c>
      <c r="C6" s="5">
        <f>old!J6</f>
        <v>4.5926361058787624</v>
      </c>
      <c r="D6" s="5">
        <f t="shared" si="0"/>
        <v>3.5272619717238642</v>
      </c>
    </row>
    <row r="7" spans="1:4" x14ac:dyDescent="0.3">
      <c r="A7" s="3" t="s">
        <v>23</v>
      </c>
      <c r="B7" s="6">
        <f>admission!C33/100</f>
        <v>2.2000000000000002E-2</v>
      </c>
      <c r="C7" s="6">
        <f>admission!E33/100</f>
        <v>0.31859999999999999</v>
      </c>
      <c r="D7" s="6">
        <f t="shared" si="0"/>
        <v>5.1956600000000006E-2</v>
      </c>
    </row>
    <row r="8" spans="1:4" x14ac:dyDescent="0.3">
      <c r="A8" s="3" t="s">
        <v>24</v>
      </c>
      <c r="B8">
        <f>P_hospital[[#Totals],[yy]]</f>
        <v>7.0155900025080742</v>
      </c>
      <c r="C8">
        <f>P_hospital[[#Totals],[oo]]</f>
        <v>3.2388427721866391</v>
      </c>
      <c r="D8" s="5">
        <f t="shared" si="0"/>
        <v>6.6341385322456095</v>
      </c>
    </row>
    <row r="9" spans="1:4" x14ac:dyDescent="0.3">
      <c r="A9" s="3" t="s">
        <v>10</v>
      </c>
      <c r="B9">
        <f>1-C9</f>
        <v>0.89900000000000002</v>
      </c>
      <c r="C9">
        <v>0.10100000000000001</v>
      </c>
      <c r="D9">
        <f>B9+C9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8B102-7DD5-444F-9204-BAAA9F174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young</vt:lpstr>
      <vt:lpstr>old</vt:lpstr>
      <vt:lpstr>admission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Mucka</dc:creator>
  <cp:lastModifiedBy>Zuzana Mucka</cp:lastModifiedBy>
  <dcterms:created xsi:type="dcterms:W3CDTF">2020-12-12T07:40:07Z</dcterms:created>
  <dcterms:modified xsi:type="dcterms:W3CDTF">2021-01-16T08:21:05Z</dcterms:modified>
</cp:coreProperties>
</file>