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af6e07d32d517d/Dokumenty/FiR/"/>
    </mc:Choice>
  </mc:AlternateContent>
  <xr:revisionPtr revIDLastSave="0" documentId="8_{54D06612-E472-4FBA-A709-FEC376584D12}" xr6:coauthVersionLast="47" xr6:coauthVersionMax="47" xr10:uidLastSave="{00000000-0000-0000-0000-000000000000}"/>
  <bookViews>
    <workbookView xWindow="-108" yWindow="-108" windowWidth="23256" windowHeight="12456" activeTab="4" xr2:uid="{FFCCCB74-C63D-4BC0-B22B-A540FC713AAF}"/>
  </bookViews>
  <sheets>
    <sheet name="Rachunek Przepływów pieniężnych" sheetId="2" r:id="rId1"/>
    <sheet name="Pasywa" sheetId="7" r:id="rId2"/>
    <sheet name="Aktywa" sheetId="8" r:id="rId3"/>
    <sheet name="Rachunek Zysków i strat" sheetId="9" r:id="rId4"/>
    <sheet name="Wnioski Ogólne" sheetId="10" r:id="rId5"/>
  </sheets>
  <definedNames>
    <definedName name="ExternalData_1" localSheetId="2" hidden="1">Aktywa!$A$1:$D$27</definedName>
    <definedName name="ExternalData_1" localSheetId="0" hidden="1">'Rachunek Przepływów pieniężnych'!$A$1:$D$58</definedName>
    <definedName name="ExternalData_1" localSheetId="3" hidden="1">'Rachunek Zysków i strat'!$A$1:$D$31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9" l="1"/>
  <c r="D33" i="9"/>
  <c r="F5" i="9" l="1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9" i="9"/>
  <c r="G29" i="9"/>
  <c r="F31" i="9"/>
  <c r="G31" i="9"/>
  <c r="D43" i="9"/>
  <c r="C33" i="9"/>
  <c r="C44" i="9" s="1"/>
  <c r="B33" i="9"/>
  <c r="B43" i="9" s="1"/>
  <c r="D34" i="9"/>
  <c r="D49" i="9" s="1"/>
  <c r="C34" i="9"/>
  <c r="C51" i="9" s="1"/>
  <c r="C37" i="9"/>
  <c r="B37" i="9"/>
  <c r="D38" i="9"/>
  <c r="C38" i="9"/>
  <c r="B38" i="9"/>
  <c r="D39" i="9"/>
  <c r="C39" i="9"/>
  <c r="B39" i="9"/>
  <c r="B49" i="9"/>
  <c r="B50" i="9"/>
  <c r="B51" i="9"/>
  <c r="B52" i="9"/>
  <c r="B53" i="9"/>
  <c r="D56" i="9"/>
  <c r="C56" i="9"/>
  <c r="B56" i="9"/>
  <c r="D57" i="9"/>
  <c r="C57" i="9"/>
  <c r="B57" i="9"/>
  <c r="D58" i="9"/>
  <c r="C58" i="9"/>
  <c r="B58" i="9"/>
  <c r="D59" i="9"/>
  <c r="C59" i="9"/>
  <c r="B59" i="9"/>
  <c r="D60" i="9"/>
  <c r="C60" i="9"/>
  <c r="B60" i="9"/>
  <c r="D45" i="9" l="1"/>
  <c r="D44" i="9"/>
  <c r="D53" i="9"/>
  <c r="B45" i="9"/>
  <c r="B44" i="9"/>
  <c r="D52" i="9"/>
  <c r="D51" i="9"/>
  <c r="D50" i="9"/>
  <c r="C50" i="9"/>
  <c r="C43" i="9"/>
  <c r="C53" i="9"/>
  <c r="C49" i="9"/>
  <c r="C45" i="9"/>
  <c r="C52" i="9"/>
  <c r="G5" i="8"/>
  <c r="H5" i="8"/>
  <c r="I5" i="8"/>
  <c r="P5" i="8"/>
  <c r="Q5" i="8"/>
  <c r="T5" i="8"/>
  <c r="U5" i="8"/>
  <c r="X5" i="8"/>
  <c r="Y5" i="8"/>
  <c r="G6" i="8"/>
  <c r="H6" i="8"/>
  <c r="I6" i="8"/>
  <c r="P6" i="8"/>
  <c r="Q6" i="8"/>
  <c r="T6" i="8"/>
  <c r="U6" i="8"/>
  <c r="X6" i="8"/>
  <c r="Y6" i="8"/>
  <c r="G7" i="8"/>
  <c r="H7" i="8"/>
  <c r="I7" i="8"/>
  <c r="P7" i="8"/>
  <c r="Q7" i="8"/>
  <c r="T7" i="8"/>
  <c r="U7" i="8"/>
  <c r="X7" i="8"/>
  <c r="Y7" i="8"/>
  <c r="G8" i="8"/>
  <c r="H8" i="8"/>
  <c r="I8" i="8"/>
  <c r="P8" i="8"/>
  <c r="Q8" i="8"/>
  <c r="T8" i="8"/>
  <c r="X8" i="8"/>
  <c r="G9" i="8"/>
  <c r="H9" i="8"/>
  <c r="I9" i="8"/>
  <c r="P9" i="8"/>
  <c r="Q9" i="8"/>
  <c r="T9" i="8"/>
  <c r="U9" i="8"/>
  <c r="X9" i="8"/>
  <c r="Y9" i="8"/>
  <c r="G10" i="8"/>
  <c r="H10" i="8"/>
  <c r="I10" i="8"/>
  <c r="P10" i="8"/>
  <c r="Q10" i="8"/>
  <c r="U10" i="8"/>
  <c r="X10" i="8"/>
  <c r="Y10" i="8"/>
  <c r="G11" i="8"/>
  <c r="H11" i="8"/>
  <c r="I11" i="8"/>
  <c r="P11" i="8"/>
  <c r="Q11" i="8"/>
  <c r="T11" i="8"/>
  <c r="U11" i="8"/>
  <c r="X11" i="8"/>
  <c r="Y11" i="8"/>
  <c r="G12" i="8"/>
  <c r="H12" i="8"/>
  <c r="I12" i="8"/>
  <c r="P12" i="8"/>
  <c r="Q12" i="8"/>
  <c r="T12" i="8"/>
  <c r="U12" i="8"/>
  <c r="X12" i="8"/>
  <c r="Y12" i="8"/>
  <c r="G13" i="8"/>
  <c r="H13" i="8"/>
  <c r="I13" i="8"/>
  <c r="P13" i="8"/>
  <c r="Q13" i="8"/>
  <c r="U13" i="8"/>
  <c r="Y13" i="8"/>
  <c r="C14" i="8"/>
  <c r="G14" i="8"/>
  <c r="H14" i="8"/>
  <c r="I14" i="8"/>
  <c r="T14" i="8"/>
  <c r="U14" i="8"/>
  <c r="X14" i="8"/>
  <c r="Y14" i="8"/>
  <c r="G16" i="8"/>
  <c r="H16" i="8"/>
  <c r="I16" i="8"/>
  <c r="P16" i="8"/>
  <c r="Q16" i="8"/>
  <c r="T16" i="8"/>
  <c r="U16" i="8"/>
  <c r="X16" i="8"/>
  <c r="Y16" i="8"/>
  <c r="G17" i="8"/>
  <c r="H17" i="8"/>
  <c r="I17" i="8"/>
  <c r="P17" i="8"/>
  <c r="Q17" i="8"/>
  <c r="U17" i="8"/>
  <c r="G18" i="8"/>
  <c r="H18" i="8"/>
  <c r="I18" i="8"/>
  <c r="P18" i="8"/>
  <c r="Q18" i="8"/>
  <c r="U18" i="8"/>
  <c r="Y18" i="8"/>
  <c r="G19" i="8"/>
  <c r="H19" i="8"/>
  <c r="I19" i="8"/>
  <c r="P19" i="8"/>
  <c r="Q19" i="8"/>
  <c r="T19" i="8"/>
  <c r="U19" i="8"/>
  <c r="X19" i="8"/>
  <c r="Y19" i="8"/>
  <c r="G20" i="8"/>
  <c r="H20" i="8"/>
  <c r="I20" i="8"/>
  <c r="P20" i="8"/>
  <c r="Q20" i="8"/>
  <c r="U20" i="8"/>
  <c r="Y20" i="8"/>
  <c r="G21" i="8"/>
  <c r="H21" i="8"/>
  <c r="I21" i="8"/>
  <c r="P21" i="8"/>
  <c r="Q21" i="8"/>
  <c r="T21" i="8"/>
  <c r="U21" i="8"/>
  <c r="X21" i="8"/>
  <c r="Y21" i="8"/>
  <c r="G22" i="8"/>
  <c r="H22" i="8"/>
  <c r="I22" i="8"/>
  <c r="P22" i="8"/>
  <c r="Q22" i="8"/>
  <c r="G23" i="8"/>
  <c r="H23" i="8"/>
  <c r="I23" i="8"/>
  <c r="P23" i="8"/>
  <c r="Q23" i="8"/>
  <c r="T23" i="8"/>
  <c r="X23" i="8"/>
  <c r="G24" i="8"/>
  <c r="H24" i="8"/>
  <c r="I24" i="8"/>
  <c r="P24" i="8"/>
  <c r="Q24" i="8"/>
  <c r="T24" i="8"/>
  <c r="X24" i="8"/>
  <c r="C26" i="8"/>
  <c r="T26" i="8" s="1"/>
  <c r="G26" i="8"/>
  <c r="H26" i="8"/>
  <c r="I26" i="8"/>
  <c r="P26" i="8"/>
  <c r="Q26" i="8"/>
  <c r="U26" i="8"/>
  <c r="X26" i="8"/>
  <c r="Y26" i="8"/>
  <c r="C34" i="8"/>
  <c r="D34" i="8"/>
  <c r="E34" i="8"/>
  <c r="C36" i="8"/>
  <c r="D36" i="8"/>
  <c r="E36" i="8"/>
  <c r="C38" i="8"/>
  <c r="D38" i="8"/>
  <c r="E38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4" i="8"/>
  <c r="D64" i="8"/>
  <c r="E64" i="8"/>
  <c r="H5" i="7"/>
  <c r="I5" i="7"/>
  <c r="L5" i="7"/>
  <c r="M5" i="7"/>
  <c r="Q5" i="7"/>
  <c r="R5" i="7"/>
  <c r="U5" i="7"/>
  <c r="V5" i="7"/>
  <c r="W5" i="7"/>
  <c r="H6" i="7"/>
  <c r="I6" i="7"/>
  <c r="L6" i="7"/>
  <c r="M6" i="7"/>
  <c r="Q6" i="7"/>
  <c r="R6" i="7"/>
  <c r="U6" i="7"/>
  <c r="V6" i="7"/>
  <c r="W6" i="7"/>
  <c r="H7" i="7"/>
  <c r="I7" i="7"/>
  <c r="L7" i="7"/>
  <c r="M7" i="7"/>
  <c r="Q7" i="7"/>
  <c r="R7" i="7"/>
  <c r="U7" i="7"/>
  <c r="V7" i="7"/>
  <c r="W7" i="7"/>
  <c r="H8" i="7"/>
  <c r="I8" i="7"/>
  <c r="L8" i="7"/>
  <c r="M8" i="7"/>
  <c r="Q8" i="7"/>
  <c r="R8" i="7"/>
  <c r="U8" i="7"/>
  <c r="V8" i="7"/>
  <c r="W8" i="7"/>
  <c r="C9" i="7"/>
  <c r="H9" i="7" s="1"/>
  <c r="I9" i="7"/>
  <c r="L9" i="7"/>
  <c r="M9" i="7"/>
  <c r="Q9" i="7"/>
  <c r="R9" i="7"/>
  <c r="U9" i="7"/>
  <c r="V9" i="7"/>
  <c r="W9" i="7"/>
  <c r="H11" i="7"/>
  <c r="I11" i="7"/>
  <c r="L11" i="7"/>
  <c r="M11" i="7"/>
  <c r="Q11" i="7"/>
  <c r="R11" i="7"/>
  <c r="U11" i="7"/>
  <c r="V11" i="7"/>
  <c r="W11" i="7"/>
  <c r="H12" i="7"/>
  <c r="I12" i="7"/>
  <c r="U12" i="7"/>
  <c r="V12" i="7"/>
  <c r="W12" i="7"/>
  <c r="H13" i="7"/>
  <c r="I13" i="7"/>
  <c r="U13" i="7"/>
  <c r="V13" i="7"/>
  <c r="W13" i="7"/>
  <c r="H14" i="7"/>
  <c r="I14" i="7"/>
  <c r="U14" i="7"/>
  <c r="V14" i="7"/>
  <c r="W14" i="7"/>
  <c r="C15" i="7"/>
  <c r="Q15" i="7" s="1"/>
  <c r="H15" i="7"/>
  <c r="I15" i="7"/>
  <c r="M15" i="7"/>
  <c r="R15" i="7"/>
  <c r="V15" i="7"/>
  <c r="W15" i="7"/>
  <c r="H17" i="7"/>
  <c r="I17" i="7"/>
  <c r="L17" i="7"/>
  <c r="M17" i="7"/>
  <c r="Q17" i="7"/>
  <c r="R17" i="7"/>
  <c r="U17" i="7"/>
  <c r="V17" i="7"/>
  <c r="W17" i="7"/>
  <c r="H18" i="7"/>
  <c r="I18" i="7"/>
  <c r="U18" i="7"/>
  <c r="V18" i="7"/>
  <c r="W18" i="7"/>
  <c r="H19" i="7"/>
  <c r="I19" i="7"/>
  <c r="U19" i="7"/>
  <c r="V19" i="7"/>
  <c r="W19" i="7"/>
  <c r="H20" i="7"/>
  <c r="I20" i="7"/>
  <c r="L20" i="7"/>
  <c r="M20" i="7"/>
  <c r="Q20" i="7"/>
  <c r="R20" i="7"/>
  <c r="U20" i="7"/>
  <c r="V20" i="7"/>
  <c r="W20" i="7"/>
  <c r="H21" i="7"/>
  <c r="I21" i="7"/>
  <c r="M21" i="7"/>
  <c r="R21" i="7"/>
  <c r="U21" i="7"/>
  <c r="V21" i="7"/>
  <c r="W21" i="7"/>
  <c r="H22" i="7"/>
  <c r="I22" i="7"/>
  <c r="M22" i="7"/>
  <c r="R22" i="7"/>
  <c r="U22" i="7"/>
  <c r="V22" i="7"/>
  <c r="W22" i="7"/>
  <c r="H23" i="7"/>
  <c r="I23" i="7"/>
  <c r="L23" i="7"/>
  <c r="M23" i="7"/>
  <c r="Q23" i="7"/>
  <c r="R23" i="7"/>
  <c r="U23" i="7"/>
  <c r="V23" i="7"/>
  <c r="W23" i="7"/>
  <c r="H24" i="7"/>
  <c r="I24" i="7"/>
  <c r="L24" i="7"/>
  <c r="M24" i="7"/>
  <c r="Q24" i="7"/>
  <c r="R24" i="7"/>
  <c r="U24" i="7"/>
  <c r="V24" i="7"/>
  <c r="W24" i="7"/>
  <c r="H25" i="7"/>
  <c r="I25" i="7"/>
  <c r="L25" i="7"/>
  <c r="M25" i="7"/>
  <c r="Q25" i="7"/>
  <c r="R25" i="7"/>
  <c r="U25" i="7"/>
  <c r="V25" i="7"/>
  <c r="W25" i="7"/>
  <c r="H26" i="7"/>
  <c r="I26" i="7"/>
  <c r="L26" i="7"/>
  <c r="Q26" i="7"/>
  <c r="U26" i="7"/>
  <c r="V26" i="7"/>
  <c r="W26" i="7"/>
  <c r="H27" i="7"/>
  <c r="I27" i="7"/>
  <c r="L27" i="7"/>
  <c r="U27" i="7"/>
  <c r="W27" i="7"/>
  <c r="C29" i="7"/>
  <c r="B60" i="7" s="1"/>
  <c r="H29" i="7"/>
  <c r="I29" i="7"/>
  <c r="L29" i="7"/>
  <c r="M29" i="7"/>
  <c r="Q29" i="7"/>
  <c r="R29" i="7"/>
  <c r="H30" i="7"/>
  <c r="I30" i="7"/>
  <c r="L30" i="7"/>
  <c r="M30" i="7"/>
  <c r="Q30" i="7"/>
  <c r="R30" i="7"/>
  <c r="U30" i="7"/>
  <c r="V30" i="7"/>
  <c r="W30" i="7"/>
  <c r="H31" i="7"/>
  <c r="I31" i="7"/>
  <c r="L31" i="7"/>
  <c r="M31" i="7"/>
  <c r="Q31" i="7"/>
  <c r="R31" i="7"/>
  <c r="U31" i="7"/>
  <c r="V31" i="7"/>
  <c r="W31" i="7"/>
  <c r="B40" i="7"/>
  <c r="C40" i="7"/>
  <c r="D40" i="7"/>
  <c r="B41" i="7"/>
  <c r="C41" i="7"/>
  <c r="D41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8" i="7"/>
  <c r="C58" i="7"/>
  <c r="D58" i="7"/>
  <c r="B59" i="7"/>
  <c r="C59" i="7"/>
  <c r="D59" i="7"/>
  <c r="C60" i="7"/>
  <c r="D60" i="7"/>
  <c r="B67" i="7"/>
  <c r="C67" i="7"/>
  <c r="D67" i="7"/>
  <c r="C78" i="7"/>
  <c r="D78" i="7"/>
  <c r="L15" i="7" l="1"/>
  <c r="U15" i="7"/>
  <c r="L29" i="2" l="1"/>
  <c r="T20" i="2" s="1"/>
  <c r="K29" i="2"/>
  <c r="N20" i="2" s="1"/>
  <c r="J29" i="2"/>
  <c r="H20" i="2" s="1"/>
  <c r="L30" i="2"/>
  <c r="V20" i="2" s="1"/>
  <c r="K30" i="2"/>
  <c r="P20" i="2" s="1"/>
  <c r="J30" i="2"/>
  <c r="J20" i="2"/>
  <c r="C29" i="2"/>
  <c r="V17" i="2"/>
  <c r="U17" i="2"/>
  <c r="P17" i="2"/>
  <c r="O17" i="2"/>
  <c r="J17" i="2"/>
  <c r="J26" i="2"/>
  <c r="I17" i="2" s="1"/>
  <c r="L25" i="2"/>
  <c r="T17" i="2" s="1"/>
  <c r="K25" i="2"/>
  <c r="N17" i="2" s="1"/>
  <c r="J25" i="2"/>
  <c r="H1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447D63-1AA1-4B88-ACE7-97EB87CC848C}" keepAlive="1" name="Zapytanie — Table006 (Page 5)" description="Połączenie z zapytaniem „Table006 (Page 5)” w skoroszycie." type="5" refreshedVersion="8" background="1" saveData="1">
    <dbPr connection="Provider=Microsoft.Mashup.OleDb.1;Data Source=$Workbook$;Location=&quot;Table006 (Page 5)&quot;;Extended Properties=&quot;&quot;" command="SELECT * FROM [Table006 (Page 5)]"/>
  </connection>
  <connection id="2" xr16:uid="{68CE1B66-3EF2-4E6B-8F3D-EFD76113FA80}" keepAlive="1" name="Zapytanie — Table006 (Page 6)" description="Połączenie z zapytaniem „Table006 (Page 6)” w skoroszycie." type="5" refreshedVersion="8" background="1" saveData="1">
    <dbPr connection="Provider=Microsoft.Mashup.OleDb.1;Data Source=$Workbook$;Location=&quot;Table006 (Page 6)&quot;;Extended Properties=&quot;&quot;" command="SELECT * FROM [Table006 (Page 6)]"/>
  </connection>
  <connection id="3" xr16:uid="{2651C1B7-4A7D-4AA0-B4A5-A7176887AEFD}" keepAlive="1" name="Zapytanie — Table009 (Page 8)" description="Połączenie z zapytaniem „Table009 (Page 8)” w skoroszycie." type="5" refreshedVersion="8" background="1" saveData="1">
    <dbPr connection="Provider=Microsoft.Mashup.OleDb.1;Data Source=$Workbook$;Location=&quot;Table009 (Page 8)&quot;;Extended Properties=&quot;&quot;" command="SELECT * FROM [Table009 (Page 8)]"/>
  </connection>
  <connection id="4" xr16:uid="{BD00AB3C-F9AA-442F-9F96-F9ADEA5C1B6A}" keepAlive="1" name="Zapytanie — Table014 (Page 9)" description="Połączenie z zapytaniem „Table014 (Page 9)” w skoroszycie." type="5" refreshedVersion="8" background="1" saveData="1">
    <dbPr connection="Provider=Microsoft.Mashup.OleDb.1;Data Source=$Workbook$;Location=&quot;Table014 (Page 9)&quot;;Extended Properties=&quot;&quot;" command="SELECT * FROM [Table014 (Page 9)]"/>
  </connection>
</connections>
</file>

<file path=xl/sharedStrings.xml><?xml version="1.0" encoding="utf-8"?>
<sst xmlns="http://schemas.openxmlformats.org/spreadsheetml/2006/main" count="532" uniqueCount="378">
  <si>
    <t>Column1</t>
  </si>
  <si>
    <t>Column2</t>
  </si>
  <si>
    <t>Column3</t>
  </si>
  <si>
    <t>Column4</t>
  </si>
  <si>
    <t>12 miesięcy do</t>
  </si>
  <si>
    <t>31 grudnia 2019</t>
  </si>
  <si>
    <t>31 grudnia 2018</t>
  </si>
  <si>
    <t>tys. PLN</t>
  </si>
  <si>
    <t>Przepływy środków pieniężnych z działalności operacyjnej</t>
  </si>
  <si>
    <t>Zysk brutto</t>
  </si>
  <si>
    <t>43 042</t>
  </si>
  <si>
    <t>30 831</t>
  </si>
  <si>
    <t>Korekty o pozycje:</t>
  </si>
  <si>
    <t>(35 903)</t>
  </si>
  <si>
    <t>(26 868)</t>
  </si>
  <si>
    <t>Amortyzacja</t>
  </si>
  <si>
    <t>604</t>
  </si>
  <si>
    <t>488</t>
  </si>
  <si>
    <t>Zmiana stanu należności</t>
  </si>
  <si>
    <t>1 745</t>
  </si>
  <si>
    <t>(3 188)</t>
  </si>
  <si>
    <t>Zmiana stanu zobowiązań, rozliczeń międzyokresowych i rezerw</t>
  </si>
  <si>
    <t>757</t>
  </si>
  <si>
    <t>3 447</t>
  </si>
  <si>
    <t>Przychody/koszty z tytułu odsetek</t>
  </si>
  <si>
    <t>(505)</t>
  </si>
  <si>
    <t>(502)</t>
  </si>
  <si>
    <t>Zyski/straty z tytułu różnic kursowych</t>
  </si>
  <si>
    <t>233</t>
  </si>
  <si>
    <t>(1 046)</t>
  </si>
  <si>
    <t>Zyski/straty z działalności inwestycyjnej</t>
  </si>
  <si>
    <t>(39 554)</t>
  </si>
  <si>
    <t>(27 181)</t>
  </si>
  <si>
    <t>Wycena programu płatności na bazie akcji</t>
  </si>
  <si>
    <t>946</t>
  </si>
  <si>
    <t>1 127</t>
  </si>
  <si>
    <t>Inne</t>
  </si>
  <si>
    <t>(129)</t>
  </si>
  <si>
    <t>(13)</t>
  </si>
  <si>
    <t>Wybrane przepływy operacyjne</t>
  </si>
  <si>
    <t>13 501</t>
  </si>
  <si>
    <t>30 120</t>
  </si>
  <si>
    <t>Wpływy ze sprzedaży akcji/udziałów w jednostkach zależnych</t>
  </si>
  <si>
    <t>1 385</t>
  </si>
  <si>
    <t>1 748</t>
  </si>
  <si>
    <t>Nabycie akcji/udziałów w jednostkach powiązanych</t>
  </si>
  <si>
    <t>(25 773)</t>
  </si>
  <si>
    <t>-</t>
  </si>
  <si>
    <t>Dywidendy otrzymane</t>
  </si>
  <si>
    <t>37 889</t>
  </si>
  <si>
    <t>28 372</t>
  </si>
  <si>
    <t>Środki pieniężne wygenerowane z działalności operacyjnej</t>
  </si>
  <si>
    <t>20 640</t>
  </si>
  <si>
    <t>34 083</t>
  </si>
  <si>
    <t>(Zapłacony podatek dochodowy)/Otrzymane zwroty podatku dochodowego</t>
  </si>
  <si>
    <t>(1 820)</t>
  </si>
  <si>
    <t>(2 164)</t>
  </si>
  <si>
    <t>Środki pieniężne netto z działalności operacyjnej</t>
  </si>
  <si>
    <t>18 820</t>
  </si>
  <si>
    <t>31 919</t>
  </si>
  <si>
    <t>Przepływy środków pieniężnych z działalności inwestycyjnej</t>
  </si>
  <si>
    <t>Wpływy:</t>
  </si>
  <si>
    <t>7 744</t>
  </si>
  <si>
    <t>14 969</t>
  </si>
  <si>
    <t>Wpływy ze sprzedaży aktywów trwałych i wartości niematerialnych</t>
  </si>
  <si>
    <t>43</t>
  </si>
  <si>
    <t>13</t>
  </si>
  <si>
    <t>Zbycie/rozliczenie aktywów finansowych w wartości godziwej przez wynik
finansowy</t>
  </si>
  <si>
    <t>140</t>
  </si>
  <si>
    <t>89</t>
  </si>
  <si>
    <t>Pożyczki spłacone</t>
  </si>
  <si>
    <t>6 880</t>
  </si>
  <si>
    <t>14 037</t>
  </si>
  <si>
    <t>Otrzymane odsetki</t>
  </si>
  <si>
    <t>674</t>
  </si>
  <si>
    <t>830</t>
  </si>
  <si>
    <t>Pozostałe wpływy</t>
  </si>
  <si>
    <t>7</t>
  </si>
  <si>
    <t>Wydatki:</t>
  </si>
  <si>
    <t>(37 440)</t>
  </si>
  <si>
    <t>(7 967)</t>
  </si>
  <si>
    <t>Nabycie aktywów trwałych oraz wartości niematerialnych</t>
  </si>
  <si>
    <t>(383)</t>
  </si>
  <si>
    <t>(587)</t>
  </si>
  <si>
    <t>(46)</t>
  </si>
  <si>
    <t>Pożyczki udzielone</t>
  </si>
  <si>
    <t>(37 011)</t>
  </si>
  <si>
    <t>(7 380)</t>
  </si>
  <si>
    <t>Środki pieniężne netto wykorzystane w działalności inwestycyjnej</t>
  </si>
  <si>
    <t>(29 696)</t>
  </si>
  <si>
    <t>7 002</t>
  </si>
  <si>
    <t>Przepływy środków pieniężnych z działalności finansowej</t>
  </si>
  <si>
    <t>17 538</t>
  </si>
  <si>
    <t>3 865</t>
  </si>
  <si>
    <t>Wpływy z tytułu zaciągnięcia kredytów i pożyczek</t>
  </si>
  <si>
    <t>(32 585)</t>
  </si>
  <si>
    <t>(32 204)</t>
  </si>
  <si>
    <t>Wypłacona dywidenda</t>
  </si>
  <si>
    <t>(26 985)</t>
  </si>
  <si>
    <t>Wydatki z tytułu spłaty kredytów</t>
  </si>
  <si>
    <t>(5 207)</t>
  </si>
  <si>
    <t>(4 946)</t>
  </si>
  <si>
    <t>Spłata zobowiązań z tytułu leasingu</t>
  </si>
  <si>
    <t>(105)</t>
  </si>
  <si>
    <t>Zapłacone odsetki</t>
  </si>
  <si>
    <t>(288)</t>
  </si>
  <si>
    <t>(273)</t>
  </si>
  <si>
    <t>Środki pieniężne netto z działalności finansowej</t>
  </si>
  <si>
    <t>(15 047)</t>
  </si>
  <si>
    <t>(28 339)</t>
  </si>
  <si>
    <t>Zmiana netto stanu środków pieniężnych i ich ekwiwalentów</t>
  </si>
  <si>
    <t>(25 923)</t>
  </si>
  <si>
    <t>10 582</t>
  </si>
  <si>
    <t>Różnice kursowe netto</t>
  </si>
  <si>
    <t>23</t>
  </si>
  <si>
    <t>288</t>
  </si>
  <si>
    <t>Środki pieniężne i ich ekwiwalenty na dzień 1 stycznia</t>
  </si>
  <si>
    <t>36 944</t>
  </si>
  <si>
    <t>26 074</t>
  </si>
  <si>
    <t>Środki pieniężne i ich ekwiwalenty na dzień 31 grudnia</t>
  </si>
  <si>
    <t>5.9</t>
  </si>
  <si>
    <t>11 044</t>
  </si>
  <si>
    <t>Column5</t>
  </si>
  <si>
    <t>Column7</t>
  </si>
  <si>
    <t>31 grudnia</t>
  </si>
  <si>
    <t>2017</t>
  </si>
  <si>
    <t>(badane)</t>
  </si>
  <si>
    <t>Działalność holdingowa</t>
  </si>
  <si>
    <t>39 404</t>
  </si>
  <si>
    <t>Przychody z tytułu dywidend</t>
  </si>
  <si>
    <t>30 527</t>
  </si>
  <si>
    <t>19 831</t>
  </si>
  <si>
    <t>Przychody ze sprzedaży usług</t>
  </si>
  <si>
    <t>8 877</t>
  </si>
  <si>
    <t>Działalność operacyjna</t>
  </si>
  <si>
    <t>7 650</t>
  </si>
  <si>
    <t>2</t>
  </si>
  <si>
    <t>SUMA DOCHODÓW CAŁKOWITYCH ZA OKRES</t>
  </si>
  <si>
    <t>Przychody ze sprzedaży razem</t>
  </si>
  <si>
    <t>3</t>
  </si>
  <si>
    <t>Zysk brutto ze sprzedaży</t>
  </si>
  <si>
    <t>34 822</t>
  </si>
  <si>
    <t>(3 256)</t>
  </si>
  <si>
    <t>(61)</t>
  </si>
  <si>
    <t>Zysk netto ze sprzedaży</t>
  </si>
  <si>
    <t>31 505</t>
  </si>
  <si>
    <t>Pozostałe przychody operacyjne</t>
  </si>
  <si>
    <t>283</t>
  </si>
  <si>
    <t>(223)</t>
  </si>
  <si>
    <t>Zysk z działalności operacyjnej</t>
  </si>
  <si>
    <t>31 565</t>
  </si>
  <si>
    <t>Przychody finansowe</t>
  </si>
  <si>
    <t>3 524</t>
  </si>
  <si>
    <t>(12 925)</t>
  </si>
  <si>
    <t>22 164</t>
  </si>
  <si>
    <t>(2 333)</t>
  </si>
  <si>
    <t>(20 273)</t>
  </si>
  <si>
    <t>389</t>
  </si>
  <si>
    <t>Zmiana stanu zapasów</t>
  </si>
  <si>
    <t>(781)</t>
  </si>
  <si>
    <t>344</t>
  </si>
  <si>
    <t>(562)</t>
  </si>
  <si>
    <t>528</t>
  </si>
  <si>
    <t>2 277</t>
  </si>
  <si>
    <t>(24 909)</t>
  </si>
  <si>
    <t>Zmiana odpisów aktualizujących wartość inwestycji</t>
  </si>
  <si>
    <t>9 000</t>
  </si>
  <si>
    <t>(31 473)</t>
  </si>
  <si>
    <t>29 495</t>
  </si>
  <si>
    <t>1 701</t>
  </si>
  <si>
    <t>Zaliczki na udziały w jednostkach zależnych</t>
  </si>
  <si>
    <t>(84)</t>
  </si>
  <si>
    <t>27 878</t>
  </si>
  <si>
    <t>31 386</t>
  </si>
  <si>
    <t>(937)</t>
  </si>
  <si>
    <t>30 449</t>
  </si>
  <si>
    <t>(710)</t>
  </si>
  <si>
    <t>80</t>
  </si>
  <si>
    <t>(83)</t>
  </si>
  <si>
    <t>(10 896)</t>
  </si>
  <si>
    <t>21 522</t>
  </si>
  <si>
    <t>751</t>
  </si>
  <si>
    <t>10 664</t>
  </si>
  <si>
    <t>7 227</t>
  </si>
  <si>
    <t>(8 343)</t>
  </si>
  <si>
    <t>(253)</t>
  </si>
  <si>
    <t>(26 278)</t>
  </si>
  <si>
    <t>14 835</t>
  </si>
  <si>
    <t>31</t>
  </si>
  <si>
    <t>11 208</t>
  </si>
  <si>
    <t>Nabycie/rozliczenie aktywów finansowych w wartości godziwej przez wynik finansowy</t>
  </si>
  <si>
    <t>Działalność 
operacyjna</t>
  </si>
  <si>
    <t>Działalność 
inwestycyjna</t>
  </si>
  <si>
    <t>Działalność 
finansowa</t>
  </si>
  <si>
    <t>Wariant</t>
  </si>
  <si>
    <t>+</t>
  </si>
  <si>
    <t>IV</t>
  </si>
  <si>
    <t>Wynik fanansowy netto</t>
  </si>
  <si>
    <t>Przepływy pieniężne netto</t>
  </si>
  <si>
    <t>II</t>
  </si>
  <si>
    <t>Operacyjna</t>
  </si>
  <si>
    <t>Inwestycyjna</t>
  </si>
  <si>
    <t>Finansowa</t>
  </si>
  <si>
    <t>Wynik finansowy netto</t>
  </si>
  <si>
    <t>Przepływy
pieniężne netto</t>
  </si>
  <si>
    <t>I</t>
  </si>
  <si>
    <t xml:space="preserve">  </t>
  </si>
  <si>
    <t>PASYWA</t>
  </si>
  <si>
    <t>Noty</t>
  </si>
  <si>
    <t>31 grudnia 2017</t>
  </si>
  <si>
    <t>Bezwzględna zmiana stanu</t>
  </si>
  <si>
    <t>Tempo Zmian</t>
  </si>
  <si>
    <t>Dynamika</t>
  </si>
  <si>
    <t>Struktura pasyw</t>
  </si>
  <si>
    <t>tys.PLN</t>
  </si>
  <si>
    <t>KAPITAŁ WŁASNY OGÓŁEM</t>
  </si>
  <si>
    <t>Kapitał podstawowy</t>
  </si>
  <si>
    <t>Nadwyżka ze sprzedaży akcji powyżej ich wartości nominalnej</t>
  </si>
  <si>
    <t>Pozostałe kapitały</t>
  </si>
  <si>
    <t>Zyski zatrzymane</t>
  </si>
  <si>
    <t>Zobowiązania długoterminowe</t>
  </si>
  <si>
    <t>Kredyty bankowe</t>
  </si>
  <si>
    <t>5.11</t>
  </si>
  <si>
    <t>Zobowiązania z tytułu leasingu</t>
  </si>
  <si>
    <t>5.12</t>
  </si>
  <si>
    <t>Inne zobowiązania finansowe</t>
  </si>
  <si>
    <t>5.13</t>
  </si>
  <si>
    <t>Rezerwa z tytułu odroczonego podatku dochodowego</t>
  </si>
  <si>
    <t>4.5</t>
  </si>
  <si>
    <t>7 811</t>
  </si>
  <si>
    <t>Zobowiązania krótkoterminowe</t>
  </si>
  <si>
    <t>Zobowiązania handlowe</t>
  </si>
  <si>
    <t>Zobowiązania z tytułu umów z klientami</t>
  </si>
  <si>
    <t>Zobowiązania z tytułu podatku dochodowego od osób prawnych</t>
  </si>
  <si>
    <t>Zobowiązania budżetowe</t>
  </si>
  <si>
    <t>Pozostałe zobowiązania</t>
  </si>
  <si>
    <t>Rozliczenia międzyokresowe kosztów</t>
  </si>
  <si>
    <t>Rozliczenia międzyokresowe przychodów</t>
  </si>
  <si>
    <t>Rezerwy krótkoterminowe</t>
  </si>
  <si>
    <t>SUMA ZOBOWIĄZAŃ</t>
  </si>
  <si>
    <t>SUMA PASYWÓW</t>
  </si>
  <si>
    <t>Wskaźnik udziału kapitałów własnych</t>
  </si>
  <si>
    <t>Wskaźnik udziału kapitałów obcych</t>
  </si>
  <si>
    <t>Stopień wyposażenia przedsiębiorstwa w kapitał własny</t>
  </si>
  <si>
    <t>Stopień obciążenia przedsiębiorstwazobowiązaniami</t>
  </si>
  <si>
    <t>Stopień wyposażenia przedsiębiorstwa w kapitał stały</t>
  </si>
  <si>
    <t>Udział rezerw w pasywach ogółem</t>
  </si>
  <si>
    <t>Udział zobowiązań długoterminowych w pasywach</t>
  </si>
  <si>
    <t>Udział zobowiązań krótkoterminowych w pasywach ogółem</t>
  </si>
  <si>
    <t>Udział rozliczeń międzyokresowych w pasywach ogółem</t>
  </si>
  <si>
    <t>Aktywa Trwałe</t>
  </si>
  <si>
    <t>Aktywa obrotowe</t>
  </si>
  <si>
    <t>Wskaźnik pokrycia aktywów stałych kapitałem własnym</t>
  </si>
  <si>
    <t>Wskaźnik pokrycia aktywów trwałych z kapitałem stałym</t>
  </si>
  <si>
    <t>Wskaźnik pokrycia aktywów obrotowych zobowiązaniami krót.</t>
  </si>
  <si>
    <t>Aktywa stałe</t>
  </si>
  <si>
    <t>591 941</t>
  </si>
  <si>
    <t>646 229</t>
  </si>
  <si>
    <t>52 322</t>
  </si>
  <si>
    <t>33 526</t>
  </si>
  <si>
    <t>Aktywa ogółem</t>
  </si>
  <si>
    <t>679 755</t>
  </si>
  <si>
    <t>Wskaźnik struktury kapitału</t>
  </si>
  <si>
    <t>Wskaźnik dynamiki majątku całkowitego</t>
  </si>
  <si>
    <t>Udział krótkoterminowych rozliczeń miedzyokresowych w aktywach ogółem</t>
  </si>
  <si>
    <t>Udział inwestycji krótkoterminowych w aktywach ogółem</t>
  </si>
  <si>
    <t>Udział należności w aktywach ogółem</t>
  </si>
  <si>
    <t>Udział zapasów w aktywach ogółem</t>
  </si>
  <si>
    <t>Udział długoterminowych rozliczeń międzyokresowych w aktywach ogółem</t>
  </si>
  <si>
    <t>Udział inwestycji długoterminowych w aktywach ogółem</t>
  </si>
  <si>
    <t>Udział należności długoterminowych w aktywach ogółem</t>
  </si>
  <si>
    <t>Udział rzeczowych aktywów trwałych w aktywach ogółem</t>
  </si>
  <si>
    <t>Udział wartości niematerialnych i prawnych w aktywach ogółem</t>
  </si>
  <si>
    <t>Udział aktywów obrotowych w aktywach ogółem</t>
  </si>
  <si>
    <t>Udział aktywów trwałych w aktywach ogółem</t>
  </si>
  <si>
    <t>wsk. unieruchomienia majątku</t>
  </si>
  <si>
    <t>wsk. udziału aktywów obrotowych</t>
  </si>
  <si>
    <t>wsk. udziału aktywów trwałych</t>
  </si>
  <si>
    <t>relacji</t>
  </si>
  <si>
    <t>Wskaźniki struktury aktywów- wskaźniki</t>
  </si>
  <si>
    <t>SUMA AKTYWÓW</t>
  </si>
  <si>
    <t>Krótkoterminowe aktywa finansowe</t>
  </si>
  <si>
    <t>Inne należności krótkoterminowe</t>
  </si>
  <si>
    <t>Zapasy</t>
  </si>
  <si>
    <t>Środki pieniężne i depozyty krótkoterminowe</t>
  </si>
  <si>
    <t>5.8</t>
  </si>
  <si>
    <t>Pozostałe aktywa finansowe</t>
  </si>
  <si>
    <t>5.6</t>
  </si>
  <si>
    <t>Rozliczenia międzyokresowe</t>
  </si>
  <si>
    <t>5.7</t>
  </si>
  <si>
    <t>Pozostałe należności</t>
  </si>
  <si>
    <t>Aktywa z tytułu umów z klientami</t>
  </si>
  <si>
    <t>Należności handlowe</t>
  </si>
  <si>
    <t xml:space="preserve"> </t>
  </si>
  <si>
    <t>Aktywa z tytułu odroczonego podatku dochodowego</t>
  </si>
  <si>
    <t>5.4</t>
  </si>
  <si>
    <t>Inwestycje w jednostki zależne</t>
  </si>
  <si>
    <t>5.3</t>
  </si>
  <si>
    <t>Aktywa z tytułu prawa do użytkowania</t>
  </si>
  <si>
    <t>5.2</t>
  </si>
  <si>
    <t>w tym wartość firmy z połączenia</t>
  </si>
  <si>
    <t>Wartości niematerialne</t>
  </si>
  <si>
    <t>5.1</t>
  </si>
  <si>
    <t>Rzeczowe aktywa trwałe</t>
  </si>
  <si>
    <t>Aktywa trwałe</t>
  </si>
  <si>
    <t>AKTYWA</t>
  </si>
  <si>
    <t>Zmiana Stanu</t>
  </si>
  <si>
    <t>Struktura aktywów</t>
  </si>
  <si>
    <t>Efektywna stopa opodatkowania</t>
  </si>
  <si>
    <t>Wynik netto/wynik ze sprzedaży</t>
  </si>
  <si>
    <t>Wynik brutto/wynik ze sprzedaży</t>
  </si>
  <si>
    <t>Wynik brutto/wynik z dzialalnosci operacyjnej</t>
  </si>
  <si>
    <t>Wynik z dzialalnosci operacyjnej/wynik ze sprzedaży</t>
  </si>
  <si>
    <t>Wskaźniki</t>
  </si>
  <si>
    <t>Koszty finansowe</t>
  </si>
  <si>
    <t>Pozostałe koszty operacyjne</t>
  </si>
  <si>
    <t>Koszty ogólnego zarządu</t>
  </si>
  <si>
    <t>Koszty sprzedaży</t>
  </si>
  <si>
    <t>Koszt własny sprzedaży</t>
  </si>
  <si>
    <t>Struktura kosztów</t>
  </si>
  <si>
    <t>Przychody ze sprzedaży</t>
  </si>
  <si>
    <t>Struktura przychodów</t>
  </si>
  <si>
    <t>Sprzedaż</t>
  </si>
  <si>
    <t>Analiza udziału kosztów w porównaniu do przychodów</t>
  </si>
  <si>
    <t>28697</t>
  </si>
  <si>
    <t>Koszty razem</t>
  </si>
  <si>
    <t>Przychody razem</t>
  </si>
  <si>
    <t>28 501</t>
  </si>
  <si>
    <t>40 245</t>
  </si>
  <si>
    <t>Pozostałe dochody całkowite:</t>
  </si>
  <si>
    <t>Zysk netto</t>
  </si>
  <si>
    <t>DOCHODY CAŁKOWITE:</t>
  </si>
  <si>
    <t>0,55</t>
  </si>
  <si>
    <t>0,78</t>
  </si>
  <si>
    <t>rozwodniony z zysku netto</t>
  </si>
  <si>
    <t>podstawowy z zysku netto</t>
  </si>
  <si>
    <t>(2 330)</t>
  </si>
  <si>
    <t>(2 797)</t>
  </si>
  <si>
    <t>Podatek dochodowy</t>
  </si>
  <si>
    <t>(1 544)</t>
  </si>
  <si>
    <t>(873)</t>
  </si>
  <si>
    <t>2 879</t>
  </si>
  <si>
    <t>1 267</t>
  </si>
  <si>
    <t>29 496</t>
  </si>
  <si>
    <t>42 675</t>
  </si>
  <si>
    <t>(28)</t>
  </si>
  <si>
    <t>(29)</t>
  </si>
  <si>
    <t>87</t>
  </si>
  <si>
    <t>48</t>
  </si>
  <si>
    <t>29 437</t>
  </si>
  <si>
    <t>42 656</t>
  </si>
  <si>
    <t>(1 036)</t>
  </si>
  <si>
    <t>(1 163)</t>
  </si>
  <si>
    <t>(1 063)</t>
  </si>
  <si>
    <t>(828)</t>
  </si>
  <si>
    <t>31 536</t>
  </si>
  <si>
    <t>44 647</t>
  </si>
  <si>
    <t>(12232)</t>
  </si>
  <si>
    <t>(18 186)</t>
  </si>
  <si>
    <t>(20 082)</t>
  </si>
  <si>
    <t>49 722</t>
  </si>
  <si>
    <t>64 729</t>
  </si>
  <si>
    <t>8 666</t>
  </si>
  <si>
    <t>9 877</t>
  </si>
  <si>
    <t>Przychody ze sprzedaży usług IT i oprogramowania</t>
  </si>
  <si>
    <t>13 224</t>
  </si>
  <si>
    <t>15 298</t>
  </si>
  <si>
    <t>27 832</t>
  </si>
  <si>
    <t>39 554</t>
  </si>
  <si>
    <t>41 056</t>
  </si>
  <si>
    <t>54 852</t>
  </si>
  <si>
    <t>2018/19</t>
  </si>
  <si>
    <t>2017/18</t>
  </si>
  <si>
    <t>31 grudnia 2018
przekształcone</t>
  </si>
  <si>
    <t>RACHUNEK ZYSKÓW I STRAT</t>
  </si>
  <si>
    <t>Przyrosty łańcuchowe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</si>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</sst>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_ ;\-0.00\ "/>
    <numFmt numFmtId="166" formatCode="#,##0.00_ ;\-#,##0.00\ "/>
    <numFmt numFmtId="167" formatCode="#,##0_ ;[Red]\-#,##0\ "/>
  </numFmts>
  <fonts count="8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top" wrapText="1"/>
    </xf>
    <xf numFmtId="0" fontId="5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7" fillId="0" borderId="0" xfId="0" applyFont="1"/>
    <xf numFmtId="43" fontId="7" fillId="0" borderId="0" xfId="1" applyFont="1"/>
    <xf numFmtId="164" fontId="7" fillId="0" borderId="0" xfId="1" applyNumberFormat="1" applyFont="1" applyAlignment="1">
      <alignment horizontal="left"/>
    </xf>
    <xf numFmtId="0" fontId="0" fillId="6" borderId="0" xfId="0" applyFill="1"/>
    <xf numFmtId="16" fontId="0" fillId="0" borderId="0" xfId="0" applyNumberFormat="1"/>
    <xf numFmtId="3" fontId="0" fillId="0" borderId="0" xfId="0" applyNumberFormat="1"/>
    <xf numFmtId="3" fontId="7" fillId="0" borderId="0" xfId="0" applyNumberFormat="1" applyFont="1"/>
    <xf numFmtId="17" fontId="0" fillId="0" borderId="0" xfId="0" applyNumberFormat="1"/>
    <xf numFmtId="10" fontId="0" fillId="0" borderId="0" xfId="0" applyNumberFormat="1"/>
    <xf numFmtId="10" fontId="7" fillId="0" borderId="0" xfId="0" applyNumberFormat="1" applyFont="1"/>
    <xf numFmtId="0" fontId="0" fillId="3" borderId="0" xfId="0" applyFill="1"/>
    <xf numFmtId="0" fontId="0" fillId="4" borderId="0" xfId="0" applyFill="1"/>
    <xf numFmtId="0" fontId="0" fillId="4" borderId="11" xfId="0" applyFill="1" applyBorder="1"/>
    <xf numFmtId="0" fontId="7" fillId="0" borderId="0" xfId="0" applyFont="1" applyAlignment="1">
      <alignment wrapText="1"/>
    </xf>
    <xf numFmtId="2" fontId="0" fillId="0" borderId="0" xfId="0" applyNumberFormat="1"/>
    <xf numFmtId="2" fontId="7" fillId="0" borderId="0" xfId="0" applyNumberFormat="1" applyFont="1"/>
    <xf numFmtId="0" fontId="0" fillId="0" borderId="11" xfId="0" applyBorder="1"/>
    <xf numFmtId="0" fontId="7" fillId="0" borderId="11" xfId="0" applyFont="1" applyBorder="1"/>
    <xf numFmtId="2" fontId="7" fillId="0" borderId="0" xfId="0" applyNumberFormat="1" applyFont="1" applyAlignment="1">
      <alignment horizontal="right"/>
    </xf>
    <xf numFmtId="0" fontId="0" fillId="3" borderId="11" xfId="0" applyFill="1" applyBorder="1"/>
    <xf numFmtId="0" fontId="0" fillId="5" borderId="11" xfId="0" applyFill="1" applyBorder="1"/>
    <xf numFmtId="10" fontId="0" fillId="5" borderId="11" xfId="0" applyNumberFormat="1" applyFill="1" applyBorder="1"/>
    <xf numFmtId="10" fontId="7" fillId="5" borderId="11" xfId="0" applyNumberFormat="1" applyFont="1" applyFill="1" applyBorder="1"/>
    <xf numFmtId="2" fontId="0" fillId="5" borderId="11" xfId="0" applyNumberFormat="1" applyFill="1" applyBorder="1"/>
    <xf numFmtId="0" fontId="7" fillId="5" borderId="11" xfId="0" applyFont="1" applyFill="1" applyBorder="1"/>
    <xf numFmtId="167" fontId="0" fillId="5" borderId="11" xfId="0" applyNumberFormat="1" applyFill="1" applyBorder="1"/>
    <xf numFmtId="167" fontId="7" fillId="5" borderId="11" xfId="0" applyNumberFormat="1" applyFont="1" applyFill="1" applyBorder="1"/>
    <xf numFmtId="10" fontId="0" fillId="5" borderId="12" xfId="0" applyNumberFormat="1" applyFill="1" applyBorder="1"/>
    <xf numFmtId="10" fontId="7" fillId="5" borderId="12" xfId="0" applyNumberFormat="1" applyFont="1" applyFill="1" applyBorder="1"/>
    <xf numFmtId="0" fontId="0" fillId="5" borderId="12" xfId="0" applyFill="1" applyBorder="1"/>
    <xf numFmtId="0" fontId="0" fillId="6" borderId="11" xfId="0" applyFill="1" applyBorder="1"/>
    <xf numFmtId="3" fontId="7" fillId="7" borderId="11" xfId="0" applyNumberFormat="1" applyFont="1" applyFill="1" applyBorder="1"/>
    <xf numFmtId="2" fontId="7" fillId="7" borderId="11" xfId="0" applyNumberFormat="1" applyFont="1" applyFill="1" applyBorder="1"/>
    <xf numFmtId="0" fontId="7" fillId="9" borderId="11" xfId="0" applyFont="1" applyFill="1" applyBorder="1"/>
    <xf numFmtId="0" fontId="7" fillId="8" borderId="11" xfId="0" applyFont="1" applyFill="1" applyBorder="1"/>
    <xf numFmtId="166" fontId="7" fillId="8" borderId="11" xfId="0" applyNumberFormat="1" applyFont="1" applyFill="1" applyBorder="1"/>
    <xf numFmtId="0" fontId="7" fillId="7" borderId="11" xfId="0" applyFont="1" applyFill="1" applyBorder="1"/>
    <xf numFmtId="165" fontId="7" fillId="7" borderId="11" xfId="0" applyNumberFormat="1" applyFont="1" applyFill="1" applyBorder="1"/>
    <xf numFmtId="2" fontId="7" fillId="7" borderId="11" xfId="0" applyNumberFormat="1" applyFont="1" applyFill="1" applyBorder="1" applyAlignment="1">
      <alignment horizontal="right"/>
    </xf>
    <xf numFmtId="10" fontId="0" fillId="0" borderId="11" xfId="0" applyNumberFormat="1" applyBorder="1"/>
    <xf numFmtId="10" fontId="7" fillId="4" borderId="0" xfId="0" applyNumberFormat="1" applyFont="1" applyFill="1"/>
    <xf numFmtId="10" fontId="0" fillId="4" borderId="11" xfId="0" applyNumberFormat="1" applyFill="1" applyBorder="1"/>
    <xf numFmtId="10" fontId="0" fillId="6" borderId="0" xfId="0" applyNumberFormat="1" applyFill="1" applyAlignment="1">
      <alignment horizontal="center"/>
    </xf>
    <xf numFmtId="0" fontId="7" fillId="6" borderId="0" xfId="0" applyFont="1" applyFill="1"/>
    <xf numFmtId="0" fontId="7" fillId="7" borderId="0" xfId="0" applyFont="1" applyFill="1" applyAlignment="1">
      <alignment horizontal="center"/>
    </xf>
    <xf numFmtId="0" fontId="7" fillId="7" borderId="0" xfId="0" applyFont="1" applyFill="1"/>
    <xf numFmtId="10" fontId="0" fillId="10" borderId="0" xfId="0" applyNumberFormat="1" applyFill="1" applyAlignment="1">
      <alignment horizontal="center"/>
    </xf>
    <xf numFmtId="0" fontId="7" fillId="10" borderId="0" xfId="0" applyFont="1" applyFill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12" borderId="0" xfId="0" applyNumberFormat="1" applyFill="1" applyAlignment="1">
      <alignment horizontal="center"/>
    </xf>
    <xf numFmtId="0" fontId="7" fillId="12" borderId="0" xfId="0" applyFont="1" applyFill="1"/>
    <xf numFmtId="0" fontId="7" fillId="13" borderId="0" xfId="0" applyFont="1" applyFill="1" applyAlignment="1">
      <alignment horizontal="center"/>
    </xf>
    <xf numFmtId="0" fontId="7" fillId="13" borderId="0" xfId="0" applyFont="1" applyFill="1"/>
    <xf numFmtId="10" fontId="0" fillId="14" borderId="0" xfId="0" applyNumberFormat="1" applyFill="1" applyAlignment="1">
      <alignment horizontal="center"/>
    </xf>
    <xf numFmtId="0" fontId="7" fillId="14" borderId="0" xfId="0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/>
    <xf numFmtId="49" fontId="0" fillId="6" borderId="0" xfId="1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10" fontId="0" fillId="15" borderId="0" xfId="0" applyNumberFormat="1" applyFill="1" applyAlignment="1">
      <alignment horizontal="center"/>
    </xf>
    <xf numFmtId="10" fontId="0" fillId="16" borderId="0" xfId="0" applyNumberFormat="1" applyFill="1" applyAlignment="1">
      <alignment horizontal="center"/>
    </xf>
    <xf numFmtId="10" fontId="0" fillId="17" borderId="0" xfId="0" applyNumberFormat="1" applyFill="1" applyAlignment="1">
      <alignment horizontal="center"/>
    </xf>
    <xf numFmtId="49" fontId="0" fillId="0" borderId="0" xfId="0" applyNumberFormat="1"/>
    <xf numFmtId="3" fontId="0" fillId="0" borderId="0" xfId="0" applyNumberFormat="1" applyAlignment="1">
      <alignment horizontal="left"/>
    </xf>
    <xf numFmtId="0" fontId="0" fillId="15" borderId="0" xfId="0" applyFill="1"/>
    <xf numFmtId="0" fontId="7" fillId="15" borderId="0" xfId="0" applyFont="1" applyFill="1" applyAlignment="1">
      <alignment horizontal="center"/>
    </xf>
    <xf numFmtId="0" fontId="7" fillId="15" borderId="0" xfId="0" applyFont="1" applyFill="1"/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</cellXfs>
  <cellStyles count="2">
    <cellStyle name="Dziesiętny" xfId="1" builtinId="3"/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 pasywów 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Pasywa!$U$3:$W$3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Pasywa!$U$9:$W$9</c:f>
              <c:numCache>
                <c:formatCode>0.00%</c:formatCode>
                <c:ptCount val="3"/>
                <c:pt idx="0">
                  <c:v>0.97420451228812366</c:v>
                </c:pt>
                <c:pt idx="1">
                  <c:v>0.96775074775363479</c:v>
                </c:pt>
                <c:pt idx="2">
                  <c:v>0.93811005435782013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4-4A78-AAE5-B34D5778D8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Pasywa!$U$3:$W$3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Pasywa!$U$30:$W$30</c:f>
              <c:numCache>
                <c:formatCode>0.00%</c:formatCode>
                <c:ptCount val="3"/>
                <c:pt idx="0">
                  <c:v>2.5795487711876376E-2</c:v>
                </c:pt>
                <c:pt idx="1">
                  <c:v>3.2249252246365226E-2</c:v>
                </c:pt>
                <c:pt idx="2">
                  <c:v>6.1889945642179901E-2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4-4A78-AAE5-B34D5778D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60875776"/>
        <c:axId val="860872864"/>
      </c:barChart>
      <c:catAx>
        <c:axId val="8608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872864"/>
        <c:crosses val="autoZero"/>
        <c:auto val="1"/>
        <c:lblAlgn val="ctr"/>
        <c:lblOffset val="100"/>
        <c:noMultiLvlLbl val="0"/>
      </c:catAx>
      <c:valAx>
        <c:axId val="8608728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608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 aktywów trwałych/obrotowych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Aktywa!$A$54</c:f>
              <c:strCache>
                <c:ptCount val="1"/>
                <c:pt idx="0">
                  <c:v>Udział aktywów trwałych w aktywach ogółem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Aktywa!$B$53:$E$53</c:f>
              <c:numCache>
                <c:formatCode>General</c:formatCode>
                <c:ptCount val="4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Aktywa!$B$54:$E$54</c:f>
              <c:numCache>
                <c:formatCode>0.00%</c:formatCode>
                <c:ptCount val="4"/>
                <c:pt idx="1">
                  <c:v>0.93359454684111587</c:v>
                </c:pt>
                <c:pt idx="2">
                  <c:v>0.91878782422706251</c:v>
                </c:pt>
                <c:pt idx="3">
                  <c:v>0.95067928886142805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1-47A7-8CB4-89AB6C0DB276}"/>
            </c:ext>
          </c:extLst>
        </c:ser>
        <c:ser>
          <c:idx val="1"/>
          <c:order val="1"/>
          <c:tx>
            <c:strRef>
              <c:f>Aktywa!$A$55</c:f>
              <c:strCache>
                <c:ptCount val="1"/>
                <c:pt idx="0">
                  <c:v>Udział aktywów obrotowych w aktywach ogółem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Aktywa!$B$53:$E$53</c:f>
              <c:numCache>
                <c:formatCode>General</c:formatCode>
                <c:ptCount val="4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Aktywa!$B$55:$E$55</c:f>
              <c:numCache>
                <c:formatCode>0.00%</c:formatCode>
                <c:ptCount val="4"/>
                <c:pt idx="1">
                  <c:v>6.6405453158884131E-2</c:v>
                </c:pt>
                <c:pt idx="2">
                  <c:v>8.1212175772937448E-2</c:v>
                </c:pt>
                <c:pt idx="3">
                  <c:v>4.9320711138571983E-2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1-47A7-8CB4-89AB6C0D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608384"/>
        <c:axId val="1209599232"/>
      </c:barChart>
      <c:catAx>
        <c:axId val="1209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9599232"/>
        <c:crosses val="autoZero"/>
        <c:auto val="1"/>
        <c:lblAlgn val="ctr"/>
        <c:lblOffset val="100"/>
        <c:noMultiLvlLbl val="0"/>
      </c:catAx>
      <c:valAx>
        <c:axId val="12095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9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408456</xdr:colOff>
      <xdr:row>21</xdr:row>
      <xdr:rowOff>143995</xdr:rowOff>
    </xdr:from>
    <xdr:to>
      <xdr:col>23</xdr:col>
      <xdr:colOff>381561</xdr:colOff>
      <xdr:row>56</xdr:row>
      <xdr:rowOff>100851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9DAB07AD-A821-BD69-FDB9-FD87081B4E2E}"/>
            </a:ext>
          </a:extLst>
        </xdr:cNvPr>
        <xdr:cNvSpPr txBox="1"/>
      </xdr:nvSpPr>
      <xdr:spPr>
        <a:xfrm>
          <a:off x="14180485" y="5231466"/>
          <a:ext cx="7044017" cy="7296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Przepływy</a:t>
          </a:r>
          <a:r>
            <a:rPr lang="pl-PL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środków pienięznych</a:t>
          </a:r>
          <a:endParaRPr lang="pl-PL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Wariant nr 2 (2018 i 2017):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tych latach Asseco SEE SA wydaje się utrzymywać swoją działalność, korzystając z pieniędzy, które zarabia z codziennego biznesu. To wskazuje na to, że firma rozwija się w umiarkowanym tempie. Działa ostrożnie, inwestując część zysków z głównej działalności w spłatę zobowiązań finansowych. Prawdopodobnie chce uniknąć przesadnej ekspansji, co może prowadzić do problemów z zyskownością.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Jednak w sytuacji sprzyjających warunków rynkowych, firma ma elastyczność finansową, aby szybko zareagować i przyspieszyć rozwój, pozyskując dodatkowe środki. Ważne jest również, że taki scenariusz często charakteryzuje firmy o solidnej rentowności, gdzie inwestycje i spłata zobowiązań finansowych są finansowane z zysków generowanych z codziennej działalności.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Dodatkowo, obecność dodatnich przepływów z operacji operacyjnej i inwestycyjnej może sygnalizować, że firma jest w trakcie restrukturyzacji. Choć to może być pozytywny sygnał, utrzymanie takiej sytuacji może wskazywać, że dochody z codziennej działalności nie są wystarczające do spłaty zobowiązań finansowych. Firma może zatem napotykać trudności w utrzymaniu stabilnej sytuacji finansowej w dłuższej perspektywie.</a:t>
          </a:r>
          <a:endParaRPr lang="pl-PL">
            <a:effectLst/>
          </a:endParaRP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Wariant nr 4 (2019):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ostatnim przypadku, Asseco SEE SA generuje środki z głównej działalności, co samo w sobie jest korzystne. Jednak istnieje pewne niepokojące zjawisko - te środki mogą być niewystarczające do obsługi zadłużenia, co zmusza firmę do sprzedaży majątku. Choć spłata długów z dochodów operacyjnych i inwestycyjnych jest korzystna w krótkim okresie, długotrwała zależność od tego sposobu finansowania może oznaczać trudności w obsłudze zobowiązań finansowych z bieżącej działalności.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Dodatkowo, obecność dodatnich przepływów z operacji operacyjnej i inwestycyjnej może sygnalizować, że firma jest w trakcie restrukturyzacji. Choć to może być pozytywny sygnał, utrzymanie takiej sytuacji może wskazywać, że dochody z codziennej działalności nie są wystarczające do spłaty zobowiązań finansowych. Firma może zatem napotykać trudności w utrzymaniu stabilnej sytuacji finansowej w dłuższej perspektywie.</a:t>
          </a:r>
        </a:p>
        <a:p>
          <a:endParaRPr lang="pl-PL" sz="1100"/>
        </a:p>
        <a:p>
          <a:r>
            <a:rPr lang="pl-PL" sz="1400" b="1"/>
            <a:t>Wynik księgowy,</a:t>
          </a:r>
          <a:r>
            <a:rPr lang="pl-PL" sz="1400" b="1" baseline="0"/>
            <a:t> a przepływy pieniężne</a:t>
          </a:r>
        </a:p>
        <a:p>
          <a:br>
            <a:rPr lang="pl-PL" sz="1400" b="1"/>
          </a:br>
          <a:r>
            <a:rPr lang="pl-PL" sz="1100" b="0"/>
            <a:t>Firma Asseco SEE w 2019 roku doświadczyła tzw. "zysku papierowego" (wariant II), gdzie mimo dodatniego wyniku finansowego netto, przepływy gotówkowe były ujemne. To może sugerować problemy z zarządzaniem kapitałem obrotowym, takie jak długi okres ściągania należności lub nadmierny stan zapasów. Warianty I w 2018 i 2017 roku wskazują natomiast na pozytywne przepływy gotówkowe i dodatni wynik netto. </a:t>
          </a:r>
          <a:endParaRPr lang="pl-PL" sz="1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606317</xdr:colOff>
      <xdr:row>32</xdr:row>
      <xdr:rowOff>18342</xdr:rowOff>
    </xdr:from>
    <xdr:to>
      <xdr:col>24</xdr:col>
      <xdr:colOff>21771</xdr:colOff>
      <xdr:row>46</xdr:row>
      <xdr:rowOff>128243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FFDD46-0893-4898-B201-909423CC7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217715</xdr:colOff>
      <xdr:row>32</xdr:row>
      <xdr:rowOff>1</xdr:rowOff>
    </xdr:from>
    <xdr:to>
      <xdr:col>13</xdr:col>
      <xdr:colOff>457200</xdr:colOff>
      <xdr:row>45</xdr:row>
      <xdr:rowOff>21773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21156A29-AF6B-43F7-9713-487C4703E2C2}"/>
            </a:ext>
          </a:extLst>
        </xdr:cNvPr>
        <xdr:cNvSpPr txBox="1"/>
      </xdr:nvSpPr>
      <xdr:spPr>
        <a:xfrm>
          <a:off x="6313715" y="6096001"/>
          <a:ext cx="2068285" cy="24982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Tempo zmian w różnych kategoriach między 2018 a 2019 rokiem jest zróżnicowane. W niektórych przypadkach wystąpiły znaczące wzrosty, takie jak 213,45%, podczas gdy inne kategorie pozostały stabilne z tempem zmian na poziomie 0,00%. W niektórych przypadkach odnotowano spadki, na przykład -17,68%. Ogólnie rzecz biorąc, dane odzwierciedlają różnorodność tendencji w badanych kategoriach w tym okresie.</a:t>
          </a:r>
        </a:p>
        <a:p>
          <a:endParaRPr lang="pl-PL" sz="1100"/>
        </a:p>
      </xdr:txBody>
    </xdr:sp>
    <xdr:clientData/>
  </xdr:twoCellAnchor>
  <xdr:twoCellAnchor>
    <xdr:from>
      <xdr:col>15</xdr:col>
      <xdr:colOff>381000</xdr:colOff>
      <xdr:row>31</xdr:row>
      <xdr:rowOff>163285</xdr:rowOff>
    </xdr:from>
    <xdr:to>
      <xdr:col>19</xdr:col>
      <xdr:colOff>43542</xdr:colOff>
      <xdr:row>42</xdr:row>
      <xdr:rowOff>141513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504042E8-6D94-4216-85E5-AF5A370AA63D}"/>
            </a:ext>
          </a:extLst>
        </xdr:cNvPr>
        <xdr:cNvSpPr txBox="1"/>
      </xdr:nvSpPr>
      <xdr:spPr>
        <a:xfrm>
          <a:off x="9525000" y="6068785"/>
          <a:ext cx="2100942" cy="2073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Porównując dynamikę między 2018 a 2019 rokiem w różnych kategoriach, widzimy, że większość z nich utrzymała się na poziomie 100%, co oznaczało stabilność. W niektórych przypadkach, jak pozostałe kapitały, wystąpił znaczący wzrost o 313,45%, sugerujący dynamiczny rozwój. w niektórych kategoriach wystąpiły spadki, a następnie ponowne wzrosty, co sugeruje pewną nieregularność w dynamice tych zmian.</a:t>
          </a:r>
        </a:p>
        <a:p>
          <a:endParaRPr lang="pl-PL" sz="1100"/>
        </a:p>
      </xdr:txBody>
    </xdr:sp>
    <xdr:clientData/>
  </xdr:twoCellAnchor>
  <xdr:twoCellAnchor>
    <xdr:from>
      <xdr:col>4</xdr:col>
      <xdr:colOff>206828</xdr:colOff>
      <xdr:row>38</xdr:row>
      <xdr:rowOff>65315</xdr:rowOff>
    </xdr:from>
    <xdr:to>
      <xdr:col>9</xdr:col>
      <xdr:colOff>185056</xdr:colOff>
      <xdr:row>48</xdr:row>
      <xdr:rowOff>21771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FE4FDEC5-F756-4A41-A40D-D97DCC3D8E4B}"/>
            </a:ext>
          </a:extLst>
        </xdr:cNvPr>
        <xdr:cNvSpPr txBox="1"/>
      </xdr:nvSpPr>
      <xdr:spPr>
        <a:xfrm>
          <a:off x="2645228" y="7304315"/>
          <a:ext cx="3026228" cy="1861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Wskaźnik udziału kapitałów własnych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Wskaźnik udziału kapitałów własnych spadł z 97,42% w 2017 roku do 93,81% w 2019 roku, co sugeruje zwiększenie roli kapitałów obcych.</a:t>
          </a: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Wskaźnik udziałów kapitałów obcych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Wskaźnik udziału kapitałów obcych wzrósł z 2,58% w 2017 roku do 6,19% w 2019 roku, co oznacza zwiększoną zależność od kapitałów obcych.</a:t>
          </a: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Udział zobowiązań długoterminowych i krótkoterminowych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 pasywach ogółem wzrósł, co może sugerować zwiększone zobowiązania przedsiębiorstwa.</a:t>
          </a:r>
        </a:p>
        <a:p>
          <a:endParaRPr lang="pl-PL" sz="1100"/>
        </a:p>
      </xdr:txBody>
    </xdr:sp>
    <xdr:clientData/>
  </xdr:twoCellAnchor>
  <xdr:twoCellAnchor>
    <xdr:from>
      <xdr:col>4</xdr:col>
      <xdr:colOff>206829</xdr:colOff>
      <xdr:row>49</xdr:row>
      <xdr:rowOff>130629</xdr:rowOff>
    </xdr:from>
    <xdr:to>
      <xdr:col>9</xdr:col>
      <xdr:colOff>54429</xdr:colOff>
      <xdr:row>66</xdr:row>
      <xdr:rowOff>163286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42CCAFB1-5257-4FD8-8ED0-EDCF51126F6B}"/>
            </a:ext>
          </a:extLst>
        </xdr:cNvPr>
        <xdr:cNvSpPr txBox="1"/>
      </xdr:nvSpPr>
      <xdr:spPr>
        <a:xfrm>
          <a:off x="2645229" y="9465129"/>
          <a:ext cx="2895600" cy="3271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Wskaźnik pokrycia aktywów stałych kapitałem własnym: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latach 2018-2019 wskaźnik utrzymywał się na stosunkowo stabilnym poziomie między 104,35%,% a 105,33%, co sugeruje, że przedsiębiorstwo jest w stanie pokryć swoje aktywa stałe za pomocą kapitału własnego.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Jednak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 roku 2019, przedsiębiorstwo nie pokryło swoich aktywów trwałych kapitałem własnym.</a:t>
          </a: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Wskaźnik pokrycia aktywów trwałych kapitałem stałym</a:t>
          </a:r>
          <a:r>
            <a:rPr lang="pl-PL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Obserwuje się spadek wskaźnika z 87,22% w 2017 roku do 80,30% w 2019 roku, co może sugerować pewne zmniejszenie zdolności kapitału stałego do pokrywania aktywów trwałych.</a:t>
          </a: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Wskaźnik pokrycia aktywów obrotowych zobowiązaniami krótkoterminowymi: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Obserwujemy znaczący wzrost wskaźnika z 16,42% w 2017 roku do 65,82% w 2019 roku, co sugeruje zwiększoną zdolność przedsiębiorstwa do pokrywania zobowiązań krótkoterminowych za pomocą aktywów obrotowych.</a:t>
          </a:r>
        </a:p>
        <a:p>
          <a:endParaRPr lang="pl-PL" sz="1100"/>
        </a:p>
      </xdr:txBody>
    </xdr:sp>
    <xdr:clientData/>
  </xdr:twoCellAnchor>
  <xdr:twoCellAnchor>
    <xdr:from>
      <xdr:col>0</xdr:col>
      <xdr:colOff>0</xdr:colOff>
      <xdr:row>67</xdr:row>
      <xdr:rowOff>174171</xdr:rowOff>
    </xdr:from>
    <xdr:to>
      <xdr:col>4</xdr:col>
      <xdr:colOff>587829</xdr:colOff>
      <xdr:row>74</xdr:row>
      <xdr:rowOff>97971</xdr:rowOff>
    </xdr:to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DF279EB3-BE38-40F4-BD3F-1A9054B424EB}"/>
            </a:ext>
          </a:extLst>
        </xdr:cNvPr>
        <xdr:cNvSpPr txBox="1"/>
      </xdr:nvSpPr>
      <xdr:spPr>
        <a:xfrm>
          <a:off x="0" y="12937671"/>
          <a:ext cx="3026229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2017 roku wskaźnik struktury kapitału wyniósł bardzo wysokie 3776,65%, co oznacza, że kapitał własny był znacznie większy niż zobowiązania.</a:t>
          </a:r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2018 roku wskaźnik struktury kapitału zmniejszył się do 3000,85%, ale nadal utrzymywał się na stosunkowo wysokim poziomie.</a:t>
          </a:r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2019 roku spadek wskaźnika do 1515,77%, co sugeruje, że zobowiązania mogły wzrosnąć w znaczeniu w strukturze kapitałowej przedsiębiorstwa.</a:t>
          </a:r>
        </a:p>
        <a:p>
          <a:endParaRPr lang="pl-PL" sz="1100"/>
        </a:p>
      </xdr:txBody>
    </xdr:sp>
    <xdr:clientData/>
  </xdr:twoCellAnchor>
  <xdr:twoCellAnchor>
    <xdr:from>
      <xdr:col>0</xdr:col>
      <xdr:colOff>0</xdr:colOff>
      <xdr:row>78</xdr:row>
      <xdr:rowOff>87086</xdr:rowOff>
    </xdr:from>
    <xdr:to>
      <xdr:col>3</xdr:col>
      <xdr:colOff>1001485</xdr:colOff>
      <xdr:row>82</xdr:row>
      <xdr:rowOff>76199</xdr:rowOff>
    </xdr:to>
    <xdr:sp macro="" textlink="">
      <xdr:nvSpPr>
        <xdr:cNvPr id="8" name="pole tekstowe 7">
          <a:extLst>
            <a:ext uri="{FF2B5EF4-FFF2-40B4-BE49-F238E27FC236}">
              <a16:creationId xmlns:a16="http://schemas.microsoft.com/office/drawing/2014/main" id="{47D6D336-36BF-49A9-AC8E-513D6A1F9BCB}"/>
            </a:ext>
          </a:extLst>
        </xdr:cNvPr>
        <xdr:cNvSpPr txBox="1"/>
      </xdr:nvSpPr>
      <xdr:spPr>
        <a:xfrm>
          <a:off x="0" y="14946086"/>
          <a:ext cx="2439760" cy="751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Wskaźnik dynamiki majątku całkowitego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który wynosił 101,10% w 2018 roku i wzrósł do 105,51% w 2019 roku, sugeruje pozytywny trend w rozwoju majątku przedsiębiorstwa między tymi dwoma latami. </a:t>
          </a:r>
          <a:endParaRPr lang="pl-PL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75411</xdr:colOff>
      <xdr:row>4</xdr:row>
      <xdr:rowOff>34235</xdr:rowOff>
    </xdr:from>
    <xdr:to>
      <xdr:col>14</xdr:col>
      <xdr:colOff>225777</xdr:colOff>
      <xdr:row>22</xdr:row>
      <xdr:rowOff>169334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6CEB6A-7E3B-4F1A-BEEB-51A4CB2B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155222</xdr:colOff>
      <xdr:row>65</xdr:row>
      <xdr:rowOff>127002</xdr:rowOff>
    </xdr:from>
    <xdr:to>
      <xdr:col>4</xdr:col>
      <xdr:colOff>860778</xdr:colOff>
      <xdr:row>75</xdr:row>
      <xdr:rowOff>28223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58A3FF12-4426-4227-8D33-3574AF6D0E4E}"/>
            </a:ext>
          </a:extLst>
        </xdr:cNvPr>
        <xdr:cNvSpPr txBox="1"/>
      </xdr:nvSpPr>
      <xdr:spPr>
        <a:xfrm>
          <a:off x="155222" y="12509502"/>
          <a:ext cx="2896306" cy="1806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Udział aktywów trwałych w ogólnej strukturze wzrósł z 93,36% w 2017 roku do 95,07% w 2019 roku, co może wskazywać na długoterminowe inwestycje i rozwój infrastruktury. Jednocześnie obserwujemy redukcję udziału aktywów obrotowych, co sugeruje, że rola aktywów krótkoterminowych zmniejszyła się w strukturze majątku. Wartości niematerialnych i prawnych utrzymują się na stosunkowo stałym poziomie, co wskazuje na ich stałe znaczenie w strukturze aktywów. Maleje udział rzeczowych aktywów trwałych, co może oznaczać mniej znaczący udział fizycznych aktywów trwałych w ogólnym majątku. Inne kategorie, takie jak należności, inwestycje długoterminowe czy krótkoterminowe rozliczenia międzyokresowe, wykazują zmienne udziały, co może wynikać z różnych czynników wpływających na strategię finansową przedsiębiorstwa.</a:t>
          </a:r>
        </a:p>
        <a:p>
          <a:endParaRPr lang="pl-PL" sz="1100"/>
        </a:p>
      </xdr:txBody>
    </xdr:sp>
    <xdr:clientData/>
  </xdr:twoCellAnchor>
  <xdr:twoCellAnchor>
    <xdr:from>
      <xdr:col>0</xdr:col>
      <xdr:colOff>141110</xdr:colOff>
      <xdr:row>38</xdr:row>
      <xdr:rowOff>155222</xdr:rowOff>
    </xdr:from>
    <xdr:to>
      <xdr:col>4</xdr:col>
      <xdr:colOff>945443</xdr:colOff>
      <xdr:row>45</xdr:row>
      <xdr:rowOff>112889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55786934-0B22-4E9C-BC00-D7954A34956E}"/>
            </a:ext>
          </a:extLst>
        </xdr:cNvPr>
        <xdr:cNvSpPr txBox="1"/>
      </xdr:nvSpPr>
      <xdr:spPr>
        <a:xfrm>
          <a:off x="141110" y="7394222"/>
          <a:ext cx="2909358" cy="1291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Wskaźnik udziału aktywów trwałych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 ciągu trzech lat wskaźnik wzrósł z 93,36% w 2017 roku do 95,07% w 2019 roku. Wzrost ten może sugerować zwiększenie roli aktywów trwałych w strukturze aktywów przedsiębiorstwa.</a:t>
          </a: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Wskaźnik udziału aktywów obrotowych: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 ciągu trzech lat wskaźnik zmniejszył się z 6,64% w 2017 roku do 4,93% w 2019 roku. Spadek ten może sugerować zmniejszenie roli aktywów obrotowych w strukturze aktywów.</a:t>
          </a: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Wskaźnik unieruchomienia majątku: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Wartości wskaźnika wzrosły z 1405,90% w 2017 roku do 1927,55% w 2019 roku. Wzrost ten może oznaczać, że przedsiębiorstwo zainwestowało więcej w aktywa trwałe w porównaniu do innych rodzajów aktywów.</a:t>
          </a:r>
        </a:p>
        <a:p>
          <a:endParaRPr lang="pl-PL" sz="1100"/>
        </a:p>
      </xdr:txBody>
    </xdr:sp>
    <xdr:clientData/>
  </xdr:twoCellAnchor>
  <xdr:twoCellAnchor>
    <xdr:from>
      <xdr:col>18</xdr:col>
      <xdr:colOff>197556</xdr:colOff>
      <xdr:row>27</xdr:row>
      <xdr:rowOff>1</xdr:rowOff>
    </xdr:from>
    <xdr:to>
      <xdr:col>22</xdr:col>
      <xdr:colOff>211668</xdr:colOff>
      <xdr:row>38</xdr:row>
      <xdr:rowOff>84668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49FCA63-ACE3-4FCB-BBE1-4D618104C38C}"/>
            </a:ext>
          </a:extLst>
        </xdr:cNvPr>
        <xdr:cNvSpPr txBox="1"/>
      </xdr:nvSpPr>
      <xdr:spPr>
        <a:xfrm>
          <a:off x="11170356" y="5143501"/>
          <a:ext cx="2452512" cy="2180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Analiza tempa zmian między 2018 a 2019 rokiem wskazuje na zróżnicowane trendy w różnych kategoriach. Niektóre obszary doświadczyły znaczących spadków, podczas gdy inne odnotowały wzrosty. To sugeruje, że przedsiębiorstwo przeszło przez dynamiczne zmiany w różnych dziedzinach swojej działalności.</a:t>
          </a:r>
        </a:p>
        <a:p>
          <a:endParaRPr lang="pl-PL" sz="1100"/>
        </a:p>
      </xdr:txBody>
    </xdr:sp>
    <xdr:clientData/>
  </xdr:twoCellAnchor>
  <xdr:twoCellAnchor>
    <xdr:from>
      <xdr:col>22</xdr:col>
      <xdr:colOff>592667</xdr:colOff>
      <xdr:row>27</xdr:row>
      <xdr:rowOff>98777</xdr:rowOff>
    </xdr:from>
    <xdr:to>
      <xdr:col>28</xdr:col>
      <xdr:colOff>437444</xdr:colOff>
      <xdr:row>37</xdr:row>
      <xdr:rowOff>0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60B27A63-6A08-409D-B3D6-C604A46EC6FC}"/>
            </a:ext>
          </a:extLst>
        </xdr:cNvPr>
        <xdr:cNvSpPr txBox="1"/>
      </xdr:nvSpPr>
      <xdr:spPr>
        <a:xfrm>
          <a:off x="14003867" y="5242277"/>
          <a:ext cx="3502377" cy="18062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analizie dynamiki aktywów między 2018 a 2019 rokiem zauważalne są zmienne tendencje w różnych kategoriach. Niektóre aktywa straciły na dynamice, co może wskazywać na trudności lub zmiany w ich wartości. Jednocześnie inne aktywa zanotowały wzrost dynamiki, co sugeruje pozytywne zmiany lub zwiększoną wartość w tych obszarach.</a:t>
          </a:r>
        </a:p>
        <a:p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32</xdr:row>
      <xdr:rowOff>83820</xdr:rowOff>
    </xdr:from>
    <xdr:to>
      <xdr:col>15</xdr:col>
      <xdr:colOff>304800</xdr:colOff>
      <xdr:row>67</xdr:row>
      <xdr:rowOff>160020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365D8742-6FB3-49EE-A383-FD16B6FBD029}"/>
            </a:ext>
          </a:extLst>
        </xdr:cNvPr>
        <xdr:cNvSpPr txBox="1"/>
      </xdr:nvSpPr>
      <xdr:spPr>
        <a:xfrm>
          <a:off x="3055620" y="6179820"/>
          <a:ext cx="6393180" cy="674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Warto zauważyć, że w roku 2019 zanotowano znaczny wzrost przychodów z tytułu dywidend w porównaniu do roku 2018, który był okresem ujemnego przyrostu. Jednocześnie, przez trzy lata sukcesywnie rosły przychody ze sprzedaży i działalność operacyjna, co wskazuje na stabilną kondycję operacyjną firmy. 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2017 na 2018 znacząco wzrósł koszt sprzedaży (49%), przyrost przychodów ze sprzedaży nie był aż tak znaczący – niecałe 6%. Za to z 2018 na 2019 koszty wzrosły o 10%, zaś przychody ze sprzedaży o 30%.  Co ważne, cały czas obserwowano jednak nadwyżkę przychodów ze sprzedaży nad kosztami z nimi związanymi. 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2017 na 2018 zaobserwowano bardzo znaczący wzrost kosztów ogólnego zarządu. Mogło to oznaczać ekspansję firmy, restrukturyzację lub wprowadzenie nowych technologii w systemach zarządzania i administracji. 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roku 2018 zmalały pozostałe przychody i koszty operacyjne. Nie traktuję tego jednak jak zjawisko negatywne – często zysk wygenerowany z tego typu działalności może być chwilowy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Zysk ze sprzedaży, mimo nieznacznego spadku w 2018, znacznie wzrósł w 2019 roku. Spadały (i tak niskie już) przychody operacyjne. Z 2017 na 2018 zmalały również istotnie koszty operacyjne. 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Drastycznie zmalały także koszty finansowe, przychody finansowe zanotowały spadek, jednak w mniejszym stopniu. Oznacza to brak znaczącego zadłużenia firmy – co jest pozytywną informacją.</a:t>
          </a: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Zysk z działalności operacyjnej w 2018 nieznacznie zmalał, ale rok później zaliczył już duży wzrost.</a:t>
          </a: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 ważne, zysk netto sukcesywnie wzrastał z roku na rok o około 40%. Świadczy to o korzystnej sytuacji jednostki gospodarczej. </a:t>
          </a: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analizy pionowej dowiadujemy się, że przedsiębiorstwo osiąga znaczną nadwyżkę przychodów nad kosztami. Poza rokiem 2017, kiedy wystąpiła ponad trzykrotna nadwyżka kosztów finansowych nad przychodami finansowymi –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udział kosztów w przychodach jest na akceptowalnym poziomie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(między 30%a 79%). Najmniejszy udział kosztów w przychodach występuje w przypadku sprzedaży. </a:t>
          </a: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Analiza pokazuje nam również, że główna działalność operacyjna jest w przypadku tej firmy gałęzią dominującą, udział pozostałych elementów jest śladowy.  </a:t>
          </a: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Interpretacja wskaźników:</a:t>
          </a: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Pierwszy wskaźnik mówi nam o tym, że nie utracano zysku na działalność operacyjną (ponieważ wartości nie są mniejsze niż 100%). Drugi wskaźnik świadczy o tym, że w roku 2017 firma straciła 30% zysku przez koszty operacyjne, jednak w 2018 i 2019 pozyskano część zysku brutto z zysków nadzwyczajnych i operacji finansowych. Relacja zysku netto do zysku ze sprzedaży, pokazuje, że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niewielką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część zysku ze sprzedaży pochłonęły wyniki na pozostałym poziomie operacyjnym, poziomie finansowym i nadzwyczajnym oraz podatek dochodowy. Spadek efektywnej stopy opodatkowania jest pozytywnym zjawiskiem – zmniejsza obciążenie podatkowe zysku przedsiębiorstwa. 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l-P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142876</xdr:rowOff>
    </xdr:from>
    <xdr:to>
      <xdr:col>16</xdr:col>
      <xdr:colOff>142875</xdr:colOff>
      <xdr:row>16</xdr:row>
      <xdr:rowOff>161925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B849CBBB-7A81-ED4B-6743-1B0EBB56C61C}"/>
            </a:ext>
          </a:extLst>
        </xdr:cNvPr>
        <xdr:cNvSpPr txBox="1"/>
      </xdr:nvSpPr>
      <xdr:spPr>
        <a:xfrm>
          <a:off x="495300" y="142876"/>
          <a:ext cx="9401175" cy="3067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Asseco SEE SA to dynamicznie rozwijające się przedsiębiorstwo, które odnosi sukcesy w różnych dziedzinach działalności. Wyjątkowo pozytywnym aspektem jest utrzymanie nadwyżki przychodów nad kosztami, co świadczy o skutecznym zarządzaniu operacyjnym. Szczególnie istotne jest to, że główna gałąź działalności operacyjnej stanowi dominujący obszar w strukturze firmy, a pozostałe elementy mają niewielki udział.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Ekspansja</a:t>
          </a: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firmy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choć związana z zwiększeniem kosztów zarządu i aktywów trwałych, pozostaje kluczowym elementem strategii rozwoju. Warto jednak zauważyć, że mimo wzrostu zobowiązań w porównaniu do 2017 roku, firma utrzymuje stosunkowo niski poziom zadłużenia, szczególnie w porównaniu z innymi wartościami, takimi jak inwestycje.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Pozytywnym aspektem jest również sukcesywny wzrost zysku netto, co jest dowodem na korzystną sytuację finansową Asseco SEE SA. Duży nacisk na inwestycje, zwłaszcza te długoterminowe, podkreśla zaangażowanie firmy w rozwój i przyszłość.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Choć firma wykazuje elastyczność finansową, to w dłuższej perspektywie pojawiają się pewne wyzwania. Istnieje ryzyko utraty stabilności sytuacji finansowej, zwłaszcza związane z potencjalnie niewystarczającymi środkami do obsługi zadłużenia. Dodatkowo, istnieje potencjalne ryzyko związane z niemożnością terminowej realizacji należności lub zbyt dużym stanem zapasów, co może wymagać dostosowania strategii zarządczej.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Mimo tych potencjalnych wyzwań, Asseco SEE SA prezentuje się jako firma o silnej pozycji rynkowej, zdolnej do efektywnego reagowania na zmieniające się warunki ekonomiczne i utrzymania pozytywnego trendu w rozwoju majątku przedsiębiorstwa.</a:t>
          </a:r>
        </a:p>
        <a:p>
          <a:endParaRPr lang="pl-PL" sz="1100"/>
        </a:p>
        <a:p>
          <a:endParaRPr lang="pl-PL" sz="1100"/>
        </a:p>
        <a:p>
          <a:r>
            <a:rPr lang="pl-PL" sz="1100" b="1"/>
            <a:t>Filip Głogowski</a:t>
          </a:r>
          <a:r>
            <a:rPr lang="pl-PL" sz="1100" b="1" baseline="0"/>
            <a:t>, Zuzanna Bosak, Damian Grochowiec</a:t>
          </a:r>
          <a:endParaRPr lang="pl-PL" sz="11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CDFDA80-82BB-4148-8E50-F79950AF88A1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4F97B4-CB6B-4CDE-A48E-813ABEED4749}" autoFormatId="16" applyNumberFormats="0" applyBorderFormats="0" applyFontFormats="0" applyPatternFormats="0" applyAlignmentFormats="0" applyWidthHeightFormats="0">
  <queryTableRefresh nextId="11">
    <queryTableFields count="4">
      <queryTableField id="1" name="Column1" tableColumnId="1"/>
      <queryTableField id="7" dataBound="0" tableColumnId="7"/>
      <queryTableField id="4" name="Column4" tableColumnId="4"/>
      <queryTableField id="3" name="Column3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612B5-FAEC-41A9-8F5A-FE04EE528CDE}" name="Table014__Page_9" displayName="Table014__Page_9" ref="A1:E58" tableType="queryTable" totalsRowShown="0">
  <autoFilter ref="A1:E58" xr:uid="{986612B5-FAEC-41A9-8F5A-FE04EE528CDE}"/>
  <tableColumns count="5">
    <tableColumn id="1" xr3:uid="{9F362701-7413-4DFA-8EF0-2008C3BFD239}" uniqueName="1" name="Column1" queryTableFieldId="1" dataDxfId="8"/>
    <tableColumn id="2" xr3:uid="{DFFC720A-4504-4B64-A6A7-EC6BEB457A9C}" uniqueName="2" name="Column2" queryTableFieldId="2" dataDxfId="7"/>
    <tableColumn id="3" xr3:uid="{6482D19D-E667-4D1B-ABC1-BFF999A369EA}" uniqueName="3" name="Column3" queryTableFieldId="3" dataDxfId="6"/>
    <tableColumn id="4" xr3:uid="{0E59FD98-B231-49EC-AB8B-4908858800EE}" uniqueName="4" name="Column4" queryTableFieldId="4" dataDxfId="5"/>
    <tableColumn id="7" xr3:uid="{24D0BFE6-27D0-4593-81BF-6A5558F87B8B}" uniqueName="7" name="Column7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3DEC11-A07E-4D1A-B14D-DA032510B259}" name="Table006__Page_5" displayName="Table006__Page_5" ref="A1:D31" tableType="queryTable" totalsRowShown="0">
  <autoFilter ref="A1:D31" xr:uid="{0F1BE053-3B93-4A8E-9D42-550B24177B45}"/>
  <tableColumns count="4">
    <tableColumn id="1" xr3:uid="{980CD1C5-42C3-40C1-8622-924F3ECEC277}" uniqueName="1" name="Column1" queryTableFieldId="1" dataDxfId="3"/>
    <tableColumn id="7" xr3:uid="{7510E728-3510-4194-818D-7C1138E9586C}" uniqueName="7" name="2017" queryTableFieldId="7" dataDxfId="2"/>
    <tableColumn id="4" xr3:uid="{0D17B725-C6D1-49B4-A663-9D359CBE5D00}" uniqueName="4" name="2018" queryTableFieldId="4" dataDxfId="1"/>
    <tableColumn id="3" xr3:uid="{882F71FB-1495-4D25-A0DA-B7E107EB3785}" uniqueName="3" name="2019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A1A2-670E-4C2F-A380-7C35A4203D1F}">
  <dimension ref="A1:X58"/>
  <sheetViews>
    <sheetView zoomScale="85" zoomScaleNormal="85" workbookViewId="0">
      <selection activeCell="L30" sqref="L30"/>
    </sheetView>
  </sheetViews>
  <sheetFormatPr defaultRowHeight="14.4" x14ac:dyDescent="0.3"/>
  <cols>
    <col min="1" max="1" width="77.44140625" bestFit="1" customWidth="1"/>
    <col min="2" max="2" width="11.109375" bestFit="1" customWidth="1"/>
    <col min="3" max="4" width="14.6640625" bestFit="1" customWidth="1"/>
    <col min="7" max="7" width="10.33203125" customWidth="1"/>
    <col min="8" max="8" width="11.33203125" customWidth="1"/>
    <col min="9" max="9" width="11" customWidth="1"/>
    <col min="13" max="13" width="10.5546875" customWidth="1"/>
    <col min="14" max="14" width="11.5546875" customWidth="1"/>
    <col min="15" max="15" width="12.44140625" customWidth="1"/>
    <col min="19" max="19" width="12.109375" customWidth="1"/>
    <col min="20" max="20" width="12.6640625" customWidth="1"/>
    <col min="21" max="21" width="11.66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123</v>
      </c>
    </row>
    <row r="2" spans="1:24" x14ac:dyDescent="0.3">
      <c r="C2" t="s">
        <v>124</v>
      </c>
      <c r="D2" t="s">
        <v>4</v>
      </c>
      <c r="E2" t="s">
        <v>4</v>
      </c>
    </row>
    <row r="3" spans="1:24" x14ac:dyDescent="0.3">
      <c r="C3" t="s">
        <v>125</v>
      </c>
      <c r="D3" t="s">
        <v>6</v>
      </c>
      <c r="E3" t="s">
        <v>5</v>
      </c>
    </row>
    <row r="4" spans="1:24" x14ac:dyDescent="0.3">
      <c r="C4" t="s">
        <v>126</v>
      </c>
      <c r="D4" t="s">
        <v>7</v>
      </c>
      <c r="E4" t="s">
        <v>7</v>
      </c>
    </row>
    <row r="5" spans="1:24" x14ac:dyDescent="0.3">
      <c r="A5" s="3" t="s">
        <v>8</v>
      </c>
    </row>
    <row r="6" spans="1:24" x14ac:dyDescent="0.3">
      <c r="A6" t="s">
        <v>9</v>
      </c>
      <c r="C6" t="s">
        <v>154</v>
      </c>
      <c r="D6" t="s">
        <v>11</v>
      </c>
      <c r="E6" t="s">
        <v>10</v>
      </c>
      <c r="H6">
        <v>2019</v>
      </c>
      <c r="N6">
        <v>2018</v>
      </c>
      <c r="T6">
        <v>2017</v>
      </c>
    </row>
    <row r="7" spans="1:24" ht="15" thickBot="1" x14ac:dyDescent="0.35">
      <c r="A7" t="s">
        <v>12</v>
      </c>
      <c r="C7" t="s">
        <v>156</v>
      </c>
      <c r="D7" t="s">
        <v>14</v>
      </c>
      <c r="E7" t="s">
        <v>13</v>
      </c>
      <c r="S7" t="s">
        <v>206</v>
      </c>
    </row>
    <row r="8" spans="1:24" ht="40.200000000000003" thickBot="1" x14ac:dyDescent="0.35">
      <c r="A8" t="s">
        <v>15</v>
      </c>
      <c r="C8" t="s">
        <v>157</v>
      </c>
      <c r="D8" t="s">
        <v>17</v>
      </c>
      <c r="E8" t="s">
        <v>16</v>
      </c>
      <c r="H8" s="4" t="s">
        <v>191</v>
      </c>
      <c r="I8" s="5" t="s">
        <v>192</v>
      </c>
      <c r="J8" s="5" t="s">
        <v>193</v>
      </c>
      <c r="K8" s="6"/>
      <c r="L8" s="7" t="s">
        <v>194</v>
      </c>
      <c r="M8" s="8"/>
      <c r="N8" s="9" t="s">
        <v>191</v>
      </c>
      <c r="O8" s="9" t="s">
        <v>192</v>
      </c>
      <c r="P8" s="9" t="s">
        <v>193</v>
      </c>
      <c r="Q8" s="6"/>
      <c r="R8" s="7" t="s">
        <v>194</v>
      </c>
      <c r="S8" s="8"/>
      <c r="T8" s="9" t="s">
        <v>191</v>
      </c>
      <c r="U8" s="9" t="s">
        <v>192</v>
      </c>
      <c r="V8" s="9" t="s">
        <v>193</v>
      </c>
      <c r="W8" s="6"/>
      <c r="X8" s="7" t="s">
        <v>194</v>
      </c>
    </row>
    <row r="9" spans="1:24" ht="15" thickBot="1" x14ac:dyDescent="0.35">
      <c r="A9" t="s">
        <v>158</v>
      </c>
      <c r="C9" t="s">
        <v>136</v>
      </c>
      <c r="D9" t="s">
        <v>47</v>
      </c>
      <c r="E9" t="s">
        <v>47</v>
      </c>
      <c r="H9" s="10" t="s">
        <v>195</v>
      </c>
      <c r="I9" s="11" t="s">
        <v>47</v>
      </c>
      <c r="J9" s="11" t="s">
        <v>47</v>
      </c>
      <c r="K9" s="12"/>
      <c r="L9" s="13" t="s">
        <v>196</v>
      </c>
      <c r="M9" s="8"/>
      <c r="N9" s="14" t="s">
        <v>195</v>
      </c>
      <c r="O9" s="14" t="s">
        <v>195</v>
      </c>
      <c r="P9" s="14" t="s">
        <v>47</v>
      </c>
      <c r="Q9" s="12"/>
      <c r="R9" s="13" t="s">
        <v>199</v>
      </c>
      <c r="S9" s="8"/>
      <c r="T9" s="14" t="s">
        <v>195</v>
      </c>
      <c r="U9" s="14" t="s">
        <v>195</v>
      </c>
      <c r="V9" s="14" t="s">
        <v>47</v>
      </c>
      <c r="W9" s="12"/>
      <c r="X9" s="13" t="s">
        <v>199</v>
      </c>
    </row>
    <row r="10" spans="1:24" ht="15" thickBot="1" x14ac:dyDescent="0.35">
      <c r="A10" t="s">
        <v>18</v>
      </c>
      <c r="C10" t="s">
        <v>159</v>
      </c>
      <c r="D10" t="s">
        <v>20</v>
      </c>
      <c r="E10" t="s">
        <v>19</v>
      </c>
      <c r="H10" s="15"/>
      <c r="I10" s="15"/>
      <c r="J10" s="15"/>
      <c r="K10" s="15"/>
      <c r="L10" s="15"/>
      <c r="M10" s="16"/>
      <c r="N10" s="15"/>
      <c r="O10" s="15"/>
      <c r="P10" s="15"/>
      <c r="Q10" s="15"/>
      <c r="R10" s="15"/>
      <c r="S10" s="16"/>
      <c r="T10" s="15"/>
      <c r="U10" s="15"/>
      <c r="V10" s="15"/>
      <c r="W10" s="15"/>
      <c r="X10" s="15"/>
    </row>
    <row r="11" spans="1:24" ht="40.200000000000003" thickBot="1" x14ac:dyDescent="0.35">
      <c r="A11" t="s">
        <v>21</v>
      </c>
      <c r="C11" t="s">
        <v>160</v>
      </c>
      <c r="D11" t="s">
        <v>23</v>
      </c>
      <c r="E11" t="s">
        <v>22</v>
      </c>
      <c r="H11" s="17" t="s">
        <v>197</v>
      </c>
      <c r="I11" s="18"/>
      <c r="J11" s="17" t="s">
        <v>198</v>
      </c>
      <c r="K11" s="18"/>
      <c r="L11" s="13" t="s">
        <v>194</v>
      </c>
      <c r="M11" s="8"/>
      <c r="N11" s="17" t="s">
        <v>197</v>
      </c>
      <c r="O11" s="18"/>
      <c r="P11" s="17" t="s">
        <v>198</v>
      </c>
      <c r="Q11" s="18"/>
      <c r="R11" s="13" t="s">
        <v>194</v>
      </c>
      <c r="S11" s="8"/>
      <c r="T11" s="17" t="s">
        <v>197</v>
      </c>
      <c r="U11" s="18"/>
      <c r="V11" s="17" t="s">
        <v>198</v>
      </c>
      <c r="W11" s="18"/>
      <c r="X11" s="13" t="s">
        <v>194</v>
      </c>
    </row>
    <row r="12" spans="1:24" ht="15" thickBot="1" x14ac:dyDescent="0.35">
      <c r="A12" t="s">
        <v>24</v>
      </c>
      <c r="C12" t="s">
        <v>161</v>
      </c>
      <c r="D12" t="s">
        <v>26</v>
      </c>
      <c r="E12" t="s">
        <v>25</v>
      </c>
      <c r="H12" s="17" t="s">
        <v>195</v>
      </c>
      <c r="I12" s="18"/>
      <c r="J12" s="17" t="s">
        <v>47</v>
      </c>
      <c r="K12" s="18"/>
      <c r="L12" s="13" t="s">
        <v>199</v>
      </c>
      <c r="M12" s="8"/>
      <c r="N12" s="17" t="s">
        <v>195</v>
      </c>
      <c r="O12" s="18"/>
      <c r="P12" s="17" t="s">
        <v>195</v>
      </c>
      <c r="Q12" s="18"/>
      <c r="R12" s="13" t="s">
        <v>205</v>
      </c>
      <c r="S12" s="8"/>
      <c r="T12" s="17" t="s">
        <v>195</v>
      </c>
      <c r="U12" s="18"/>
      <c r="V12" s="17" t="s">
        <v>195</v>
      </c>
      <c r="W12" s="18"/>
      <c r="X12" s="13" t="s">
        <v>205</v>
      </c>
    </row>
    <row r="13" spans="1:24" ht="15" thickBot="1" x14ac:dyDescent="0.35">
      <c r="A13" t="s">
        <v>27</v>
      </c>
      <c r="C13" t="s">
        <v>163</v>
      </c>
      <c r="D13" t="s">
        <v>29</v>
      </c>
      <c r="E13" t="s">
        <v>28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" thickBot="1" x14ac:dyDescent="0.35">
      <c r="A14" s="2" t="s">
        <v>165</v>
      </c>
      <c r="C14" t="s">
        <v>166</v>
      </c>
      <c r="D14" t="s">
        <v>47</v>
      </c>
      <c r="E14" t="s">
        <v>47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" thickBot="1" x14ac:dyDescent="0.35">
      <c r="A15" t="s">
        <v>30</v>
      </c>
      <c r="C15" t="s">
        <v>167</v>
      </c>
      <c r="D15" t="s">
        <v>32</v>
      </c>
      <c r="E15" t="s">
        <v>31</v>
      </c>
      <c r="H15" s="15"/>
      <c r="I15" s="15"/>
      <c r="J15" s="15"/>
      <c r="K15" s="15"/>
      <c r="L15" s="15"/>
      <c r="M15" s="16"/>
      <c r="N15" s="15"/>
      <c r="O15" s="15"/>
      <c r="P15" s="15"/>
      <c r="Q15" s="15"/>
      <c r="R15" s="15"/>
      <c r="S15" s="16"/>
      <c r="T15" s="15"/>
      <c r="U15" s="15"/>
      <c r="V15" s="15"/>
      <c r="W15" s="15"/>
      <c r="X15" s="15"/>
    </row>
    <row r="16" spans="1:24" ht="40.200000000000003" thickBot="1" x14ac:dyDescent="0.35">
      <c r="A16" t="s">
        <v>33</v>
      </c>
      <c r="C16" t="s">
        <v>162</v>
      </c>
      <c r="D16" t="s">
        <v>35</v>
      </c>
      <c r="E16" t="s">
        <v>34</v>
      </c>
      <c r="H16" s="10" t="s">
        <v>191</v>
      </c>
      <c r="I16" s="11" t="s">
        <v>192</v>
      </c>
      <c r="J16" s="11" t="s">
        <v>193</v>
      </c>
      <c r="K16" s="12"/>
      <c r="L16" s="13" t="s">
        <v>194</v>
      </c>
      <c r="M16" s="8"/>
      <c r="N16" s="14" t="s">
        <v>191</v>
      </c>
      <c r="O16" s="14" t="s">
        <v>192</v>
      </c>
      <c r="P16" s="14" t="s">
        <v>193</v>
      </c>
      <c r="Q16" s="12"/>
      <c r="R16" s="13" t="s">
        <v>194</v>
      </c>
      <c r="S16" s="8"/>
      <c r="T16" s="14" t="s">
        <v>191</v>
      </c>
      <c r="U16" s="14" t="s">
        <v>192</v>
      </c>
      <c r="V16" s="14" t="s">
        <v>193</v>
      </c>
      <c r="W16" s="12"/>
      <c r="X16" s="13" t="s">
        <v>194</v>
      </c>
    </row>
    <row r="17" spans="1:24" ht="15" thickBot="1" x14ac:dyDescent="0.35">
      <c r="A17" t="s">
        <v>36</v>
      </c>
      <c r="C17" t="s">
        <v>139</v>
      </c>
      <c r="D17" t="s">
        <v>38</v>
      </c>
      <c r="E17" t="s">
        <v>37</v>
      </c>
      <c r="H17" s="10" t="str">
        <f>J25</f>
        <v>30 449</v>
      </c>
      <c r="I17" s="11">
        <f>J26</f>
        <v>-29696</v>
      </c>
      <c r="J17" s="11">
        <f>J27</f>
        <v>-15047</v>
      </c>
      <c r="K17" s="12"/>
      <c r="L17" s="13" t="s">
        <v>196</v>
      </c>
      <c r="M17" s="8"/>
      <c r="N17" s="14" t="str">
        <f>K25</f>
        <v>31 919</v>
      </c>
      <c r="O17" s="14">
        <f>K26</f>
        <v>7002</v>
      </c>
      <c r="P17" s="14">
        <f>K27</f>
        <v>-28339</v>
      </c>
      <c r="Q17" s="12"/>
      <c r="R17" s="13" t="s">
        <v>199</v>
      </c>
      <c r="S17" s="8"/>
      <c r="T17" s="14" t="str">
        <f>L25</f>
        <v>18 820</v>
      </c>
      <c r="U17" s="14">
        <f>L26</f>
        <v>10664</v>
      </c>
      <c r="V17" s="14">
        <f>L27</f>
        <v>-26278</v>
      </c>
      <c r="W17" s="12"/>
      <c r="X17" s="13" t="s">
        <v>199</v>
      </c>
    </row>
    <row r="18" spans="1:24" ht="15" thickBot="1" x14ac:dyDescent="0.35">
      <c r="A18" s="3" t="s">
        <v>39</v>
      </c>
      <c r="C18" t="s">
        <v>168</v>
      </c>
      <c r="D18" t="s">
        <v>41</v>
      </c>
      <c r="E18" t="s">
        <v>40</v>
      </c>
      <c r="H18" s="15"/>
      <c r="I18" s="15"/>
      <c r="J18" s="15"/>
      <c r="K18" s="15"/>
      <c r="L18" s="15"/>
      <c r="M18" s="16"/>
      <c r="N18" s="15"/>
      <c r="O18" s="15"/>
      <c r="P18" s="15"/>
      <c r="Q18" s="15"/>
      <c r="R18" s="15"/>
      <c r="S18" s="16"/>
      <c r="T18" s="15"/>
      <c r="U18" s="15"/>
      <c r="V18" s="15"/>
      <c r="W18" s="15"/>
      <c r="X18" s="15"/>
    </row>
    <row r="19" spans="1:24" ht="15" thickBot="1" x14ac:dyDescent="0.35">
      <c r="A19" t="s">
        <v>42</v>
      </c>
      <c r="C19" t="s">
        <v>169</v>
      </c>
      <c r="D19" t="s">
        <v>44</v>
      </c>
      <c r="E19" t="s">
        <v>43</v>
      </c>
      <c r="H19" s="95" t="s">
        <v>197</v>
      </c>
      <c r="I19" s="96"/>
      <c r="J19" s="95" t="s">
        <v>198</v>
      </c>
      <c r="K19" s="96"/>
      <c r="L19" s="13" t="s">
        <v>194</v>
      </c>
      <c r="M19" s="8"/>
      <c r="N19" s="95" t="s">
        <v>197</v>
      </c>
      <c r="O19" s="96"/>
      <c r="P19" s="95" t="s">
        <v>198</v>
      </c>
      <c r="Q19" s="96"/>
      <c r="R19" s="13" t="s">
        <v>194</v>
      </c>
      <c r="S19" s="8"/>
      <c r="T19" s="95" t="s">
        <v>197</v>
      </c>
      <c r="U19" s="96"/>
      <c r="V19" s="95" t="s">
        <v>198</v>
      </c>
      <c r="W19" s="96"/>
      <c r="X19" s="13" t="s">
        <v>194</v>
      </c>
    </row>
    <row r="20" spans="1:24" ht="15" thickBot="1" x14ac:dyDescent="0.35">
      <c r="A20" s="1" t="s">
        <v>170</v>
      </c>
      <c r="C20" t="s">
        <v>171</v>
      </c>
      <c r="D20" t="s">
        <v>47</v>
      </c>
      <c r="E20" t="s">
        <v>47</v>
      </c>
      <c r="H20" s="95">
        <f>J29</f>
        <v>21227</v>
      </c>
      <c r="I20" s="96"/>
      <c r="J20" s="95">
        <f>30449-29696-15047</f>
        <v>-14294</v>
      </c>
      <c r="K20" s="96"/>
      <c r="L20" s="13" t="s">
        <v>199</v>
      </c>
      <c r="M20" s="8"/>
      <c r="N20" s="95">
        <f>K29</f>
        <v>28667</v>
      </c>
      <c r="O20" s="96"/>
      <c r="P20" s="95">
        <f>K30</f>
        <v>10582</v>
      </c>
      <c r="Q20" s="96"/>
      <c r="R20" s="13" t="s">
        <v>205</v>
      </c>
      <c r="S20" s="8"/>
      <c r="T20" s="95">
        <f>L29</f>
        <v>41222</v>
      </c>
      <c r="U20" s="96"/>
      <c r="V20" s="95">
        <f>L30</f>
        <v>3206</v>
      </c>
      <c r="W20" s="96"/>
      <c r="X20" s="13" t="s">
        <v>205</v>
      </c>
    </row>
    <row r="21" spans="1:24" ht="19.5" customHeight="1" x14ac:dyDescent="0.3">
      <c r="A21" t="s">
        <v>45</v>
      </c>
      <c r="C21" t="s">
        <v>47</v>
      </c>
      <c r="D21" t="s">
        <v>47</v>
      </c>
      <c r="E21" t="s">
        <v>46</v>
      </c>
    </row>
    <row r="22" spans="1:24" x14ac:dyDescent="0.3">
      <c r="A22" t="s">
        <v>48</v>
      </c>
      <c r="C22" t="s">
        <v>172</v>
      </c>
      <c r="D22" t="s">
        <v>50</v>
      </c>
      <c r="E22" t="s">
        <v>49</v>
      </c>
    </row>
    <row r="23" spans="1:24" ht="15" thickBot="1" x14ac:dyDescent="0.35"/>
    <row r="24" spans="1:24" ht="15" thickBot="1" x14ac:dyDescent="0.35">
      <c r="A24" s="3" t="s">
        <v>51</v>
      </c>
      <c r="C24" t="s">
        <v>173</v>
      </c>
      <c r="D24" t="s">
        <v>53</v>
      </c>
      <c r="E24" t="s">
        <v>52</v>
      </c>
      <c r="I24" s="19"/>
      <c r="J24" s="20">
        <v>2019</v>
      </c>
      <c r="K24" s="20">
        <v>2018</v>
      </c>
      <c r="L24" s="20">
        <v>2017</v>
      </c>
    </row>
    <row r="25" spans="1:24" ht="15" thickBot="1" x14ac:dyDescent="0.35">
      <c r="A25" t="s">
        <v>54</v>
      </c>
      <c r="C25" t="s">
        <v>174</v>
      </c>
      <c r="D25" t="s">
        <v>56</v>
      </c>
      <c r="E25" t="s">
        <v>55</v>
      </c>
      <c r="I25" s="21" t="s">
        <v>200</v>
      </c>
      <c r="J25" s="22" t="str">
        <f>C26</f>
        <v>30 449</v>
      </c>
      <c r="K25" s="22" t="str">
        <f>D26</f>
        <v>31 919</v>
      </c>
      <c r="L25" s="22" t="str">
        <f>E26</f>
        <v>18 820</v>
      </c>
    </row>
    <row r="26" spans="1:24" ht="27" thickBot="1" x14ac:dyDescent="0.35">
      <c r="A26" s="3" t="s">
        <v>57</v>
      </c>
      <c r="C26" t="s">
        <v>175</v>
      </c>
      <c r="D26" t="s">
        <v>59</v>
      </c>
      <c r="E26" t="s">
        <v>58</v>
      </c>
      <c r="I26" s="21" t="s">
        <v>201</v>
      </c>
      <c r="J26" s="22">
        <f>-29696</f>
        <v>-29696</v>
      </c>
      <c r="K26" s="22">
        <v>7002</v>
      </c>
      <c r="L26" s="22">
        <v>10664</v>
      </c>
    </row>
    <row r="27" spans="1:24" ht="15" thickBot="1" x14ac:dyDescent="0.35">
      <c r="I27" s="21" t="s">
        <v>202</v>
      </c>
      <c r="J27" s="22">
        <v>-15047</v>
      </c>
      <c r="K27" s="22">
        <v>-28339</v>
      </c>
      <c r="L27" s="22">
        <v>-26278</v>
      </c>
    </row>
    <row r="28" spans="1:24" ht="15" thickBot="1" x14ac:dyDescent="0.35">
      <c r="A28" s="3" t="s">
        <v>60</v>
      </c>
      <c r="I28" s="23"/>
      <c r="J28" s="12"/>
      <c r="K28" s="12"/>
      <c r="L28" s="12"/>
    </row>
    <row r="29" spans="1:24" ht="40.200000000000003" thickBot="1" x14ac:dyDescent="0.35">
      <c r="A29" s="3" t="s">
        <v>61</v>
      </c>
      <c r="C29" s="24">
        <f>-710+80+21522+751</f>
        <v>21643</v>
      </c>
      <c r="D29" s="24" t="s">
        <v>63</v>
      </c>
      <c r="E29" s="24" t="s">
        <v>62</v>
      </c>
      <c r="I29" s="21" t="s">
        <v>203</v>
      </c>
      <c r="J29" s="22">
        <f>C6-937</f>
        <v>21227</v>
      </c>
      <c r="K29" s="22">
        <f>D6-2164</f>
        <v>28667</v>
      </c>
      <c r="L29" s="22">
        <f>E6-1820</f>
        <v>41222</v>
      </c>
    </row>
    <row r="30" spans="1:24" ht="40.200000000000003" thickBot="1" x14ac:dyDescent="0.35">
      <c r="A30" t="s">
        <v>67</v>
      </c>
      <c r="C30" t="s">
        <v>176</v>
      </c>
      <c r="D30" t="s">
        <v>69</v>
      </c>
      <c r="E30" t="s">
        <v>68</v>
      </c>
      <c r="I30" s="21" t="s">
        <v>204</v>
      </c>
      <c r="J30" s="22">
        <f>30449-29696-15047</f>
        <v>-14294</v>
      </c>
      <c r="K30" s="22">
        <f>N17+O17+P17</f>
        <v>10582</v>
      </c>
      <c r="L30" s="22">
        <f>T17+U17+V17</f>
        <v>3206</v>
      </c>
    </row>
    <row r="31" spans="1:24" x14ac:dyDescent="0.3">
      <c r="A31" t="s">
        <v>64</v>
      </c>
      <c r="C31" t="s">
        <v>177</v>
      </c>
      <c r="D31" t="s">
        <v>66</v>
      </c>
      <c r="E31" t="s">
        <v>65</v>
      </c>
    </row>
    <row r="32" spans="1:24" x14ac:dyDescent="0.3">
      <c r="A32" t="s">
        <v>70</v>
      </c>
      <c r="C32" t="s">
        <v>180</v>
      </c>
      <c r="D32" t="s">
        <v>72</v>
      </c>
      <c r="E32" t="s">
        <v>71</v>
      </c>
    </row>
    <row r="33" spans="1:5" x14ac:dyDescent="0.3">
      <c r="A33" t="s">
        <v>73</v>
      </c>
      <c r="C33" t="s">
        <v>181</v>
      </c>
      <c r="D33" t="s">
        <v>75</v>
      </c>
      <c r="E33" t="s">
        <v>74</v>
      </c>
    </row>
    <row r="34" spans="1:5" x14ac:dyDescent="0.3">
      <c r="A34" t="s">
        <v>76</v>
      </c>
      <c r="C34" t="s">
        <v>47</v>
      </c>
      <c r="D34" t="s">
        <v>47</v>
      </c>
      <c r="E34" t="s">
        <v>77</v>
      </c>
    </row>
    <row r="36" spans="1:5" x14ac:dyDescent="0.3">
      <c r="A36" s="3" t="s">
        <v>78</v>
      </c>
      <c r="D36" t="s">
        <v>80</v>
      </c>
      <c r="E36" t="s">
        <v>79</v>
      </c>
    </row>
    <row r="37" spans="1:5" x14ac:dyDescent="0.3">
      <c r="A37" t="s">
        <v>81</v>
      </c>
      <c r="C37" t="s">
        <v>176</v>
      </c>
      <c r="D37" t="s">
        <v>83</v>
      </c>
      <c r="E37" t="s">
        <v>82</v>
      </c>
    </row>
    <row r="38" spans="1:5" x14ac:dyDescent="0.3">
      <c r="A38" t="s">
        <v>190</v>
      </c>
      <c r="C38" t="s">
        <v>178</v>
      </c>
      <c r="D38" t="s">
        <v>47</v>
      </c>
      <c r="E38" t="s">
        <v>84</v>
      </c>
    </row>
    <row r="39" spans="1:5" x14ac:dyDescent="0.3">
      <c r="A39" t="s">
        <v>85</v>
      </c>
      <c r="C39" t="s">
        <v>179</v>
      </c>
      <c r="D39" t="s">
        <v>87</v>
      </c>
      <c r="E39" t="s">
        <v>86</v>
      </c>
    </row>
    <row r="40" spans="1:5" x14ac:dyDescent="0.3">
      <c r="A40" s="3" t="s">
        <v>88</v>
      </c>
      <c r="C40" t="s">
        <v>182</v>
      </c>
      <c r="D40" t="s">
        <v>90</v>
      </c>
      <c r="E40" t="s">
        <v>89</v>
      </c>
    </row>
    <row r="42" spans="1:5" x14ac:dyDescent="0.3">
      <c r="A42" s="3" t="s">
        <v>91</v>
      </c>
    </row>
    <row r="43" spans="1:5" x14ac:dyDescent="0.3">
      <c r="A43" s="3" t="s">
        <v>61</v>
      </c>
      <c r="C43" s="26">
        <v>7227</v>
      </c>
      <c r="D43" s="25" t="s">
        <v>93</v>
      </c>
      <c r="E43" s="25" t="s">
        <v>92</v>
      </c>
    </row>
    <row r="44" spans="1:5" x14ac:dyDescent="0.3">
      <c r="A44" t="s">
        <v>94</v>
      </c>
      <c r="C44" t="s">
        <v>183</v>
      </c>
      <c r="D44" t="s">
        <v>93</v>
      </c>
      <c r="E44" t="s">
        <v>92</v>
      </c>
    </row>
    <row r="46" spans="1:5" x14ac:dyDescent="0.3">
      <c r="A46" s="3" t="s">
        <v>78</v>
      </c>
      <c r="D46" t="s">
        <v>96</v>
      </c>
      <c r="E46" t="s">
        <v>95</v>
      </c>
    </row>
    <row r="47" spans="1:5" x14ac:dyDescent="0.3">
      <c r="A47" t="s">
        <v>97</v>
      </c>
      <c r="C47" t="s">
        <v>164</v>
      </c>
      <c r="D47" t="s">
        <v>98</v>
      </c>
      <c r="E47" t="s">
        <v>98</v>
      </c>
    </row>
    <row r="48" spans="1:5" x14ac:dyDescent="0.3">
      <c r="A48" t="s">
        <v>99</v>
      </c>
      <c r="C48" t="s">
        <v>184</v>
      </c>
      <c r="D48" t="s">
        <v>101</v>
      </c>
      <c r="E48" t="s">
        <v>100</v>
      </c>
    </row>
    <row r="49" spans="1:5" x14ac:dyDescent="0.3">
      <c r="A49" t="s">
        <v>102</v>
      </c>
      <c r="C49" t="s">
        <v>47</v>
      </c>
      <c r="D49" t="s">
        <v>47</v>
      </c>
      <c r="E49" t="s">
        <v>103</v>
      </c>
    </row>
    <row r="50" spans="1:5" x14ac:dyDescent="0.3">
      <c r="A50" t="s">
        <v>104</v>
      </c>
      <c r="C50" t="s">
        <v>185</v>
      </c>
      <c r="D50" t="s">
        <v>106</v>
      </c>
      <c r="E50" t="s">
        <v>105</v>
      </c>
    </row>
    <row r="52" spans="1:5" x14ac:dyDescent="0.3">
      <c r="A52" s="3" t="s">
        <v>107</v>
      </c>
      <c r="C52" t="s">
        <v>186</v>
      </c>
      <c r="D52" t="s">
        <v>109</v>
      </c>
      <c r="E52" t="s">
        <v>108</v>
      </c>
    </row>
    <row r="53" spans="1:5" x14ac:dyDescent="0.3">
      <c r="A53" s="3"/>
    </row>
    <row r="54" spans="1:5" x14ac:dyDescent="0.3">
      <c r="A54" t="s">
        <v>110</v>
      </c>
      <c r="C54" t="s">
        <v>187</v>
      </c>
      <c r="D54" t="s">
        <v>112</v>
      </c>
      <c r="E54" t="s">
        <v>111</v>
      </c>
    </row>
    <row r="56" spans="1:5" x14ac:dyDescent="0.3">
      <c r="A56" t="s">
        <v>113</v>
      </c>
      <c r="C56" t="s">
        <v>188</v>
      </c>
      <c r="D56" t="s">
        <v>115</v>
      </c>
      <c r="E56" t="s">
        <v>114</v>
      </c>
    </row>
    <row r="57" spans="1:5" x14ac:dyDescent="0.3">
      <c r="A57" s="3" t="s">
        <v>116</v>
      </c>
      <c r="C57" t="s">
        <v>189</v>
      </c>
      <c r="D57" t="s">
        <v>118</v>
      </c>
      <c r="E57" t="s">
        <v>117</v>
      </c>
    </row>
    <row r="58" spans="1:5" x14ac:dyDescent="0.3">
      <c r="A58" s="3" t="s">
        <v>119</v>
      </c>
      <c r="B58" t="s">
        <v>120</v>
      </c>
      <c r="C58" t="s">
        <v>118</v>
      </c>
      <c r="D58" t="s">
        <v>117</v>
      </c>
      <c r="E58" t="s">
        <v>121</v>
      </c>
    </row>
  </sheetData>
  <mergeCells count="12">
    <mergeCell ref="V20:W20"/>
    <mergeCell ref="H19:I19"/>
    <mergeCell ref="J19:K19"/>
    <mergeCell ref="N19:O19"/>
    <mergeCell ref="P19:Q19"/>
    <mergeCell ref="T19:U19"/>
    <mergeCell ref="V19:W19"/>
    <mergeCell ref="H20:I20"/>
    <mergeCell ref="J20:K20"/>
    <mergeCell ref="N20:O20"/>
    <mergeCell ref="P20:Q20"/>
    <mergeCell ref="T20:U2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D7A0-052D-4F17-8076-DD6ACB482DFB}">
  <dimension ref="A2:W78"/>
  <sheetViews>
    <sheetView topLeftCell="A13" zoomScale="70" zoomScaleNormal="70" workbookViewId="0">
      <selection activeCell="Y62" sqref="Y62"/>
    </sheetView>
  </sheetViews>
  <sheetFormatPr defaultRowHeight="14.4" x14ac:dyDescent="0.3"/>
  <cols>
    <col min="1" max="1" width="54.6640625" customWidth="1"/>
    <col min="2" max="2" width="11.33203125" bestFit="1" customWidth="1"/>
    <col min="3" max="5" width="15" bestFit="1" customWidth="1"/>
    <col min="8" max="8" width="8.88671875" customWidth="1"/>
    <col min="9" max="9" width="12.33203125" customWidth="1"/>
    <col min="10" max="10" width="6.6640625" bestFit="1" customWidth="1"/>
    <col min="11" max="11" width="9.6640625" bestFit="1" customWidth="1"/>
    <col min="12" max="13" width="12.109375" bestFit="1" customWidth="1"/>
    <col min="14" max="14" width="11.33203125" customWidth="1"/>
    <col min="16" max="16" width="9.44140625" bestFit="1" customWidth="1"/>
    <col min="17" max="17" width="9.6640625" bestFit="1" customWidth="1"/>
    <col min="18" max="18" width="11.44140625" customWidth="1"/>
    <col min="19" max="19" width="14.6640625" bestFit="1" customWidth="1"/>
    <col min="20" max="20" width="12" bestFit="1" customWidth="1"/>
    <col min="21" max="21" width="14.6640625" bestFit="1" customWidth="1"/>
    <col min="22" max="22" width="23.33203125" customWidth="1"/>
    <col min="26" max="26" width="12" bestFit="1" customWidth="1"/>
    <col min="27" max="27" width="10.88671875" bestFit="1" customWidth="1"/>
  </cols>
  <sheetData>
    <row r="2" spans="1:23" x14ac:dyDescent="0.3">
      <c r="A2" t="s">
        <v>207</v>
      </c>
      <c r="B2" t="s">
        <v>208</v>
      </c>
      <c r="C2" t="s">
        <v>209</v>
      </c>
      <c r="D2" t="s">
        <v>6</v>
      </c>
      <c r="E2" t="s">
        <v>5</v>
      </c>
      <c r="H2" t="s">
        <v>210</v>
      </c>
      <c r="M2" t="s">
        <v>211</v>
      </c>
      <c r="R2" t="s">
        <v>212</v>
      </c>
      <c r="V2" t="s">
        <v>213</v>
      </c>
    </row>
    <row r="3" spans="1:23" x14ac:dyDescent="0.3">
      <c r="C3" t="s">
        <v>214</v>
      </c>
      <c r="D3" t="s">
        <v>7</v>
      </c>
      <c r="E3" t="s">
        <v>7</v>
      </c>
      <c r="H3" s="34">
        <v>2018</v>
      </c>
      <c r="I3" s="34">
        <v>2019</v>
      </c>
      <c r="L3" s="34">
        <v>2018</v>
      </c>
      <c r="M3" s="34">
        <v>2019</v>
      </c>
      <c r="Q3" s="34">
        <v>2018</v>
      </c>
      <c r="R3" s="34">
        <v>2019</v>
      </c>
      <c r="U3" s="34">
        <v>2017</v>
      </c>
      <c r="V3" s="34">
        <v>2018</v>
      </c>
      <c r="W3" s="34">
        <v>2019</v>
      </c>
    </row>
    <row r="4" spans="1:23" x14ac:dyDescent="0.3">
      <c r="A4" s="24" t="s">
        <v>215</v>
      </c>
      <c r="B4" s="28"/>
      <c r="N4" s="32"/>
    </row>
    <row r="5" spans="1:23" x14ac:dyDescent="0.3">
      <c r="A5" t="s">
        <v>216</v>
      </c>
      <c r="B5" s="28">
        <v>45570</v>
      </c>
      <c r="C5" s="29">
        <v>518942</v>
      </c>
      <c r="D5" s="29">
        <v>518942</v>
      </c>
      <c r="E5" s="29">
        <v>518942</v>
      </c>
      <c r="H5" s="49">
        <f t="shared" ref="H5:I9" si="0">(D5-C5)</f>
        <v>0</v>
      </c>
      <c r="I5" s="49">
        <f t="shared" si="0"/>
        <v>0</v>
      </c>
      <c r="L5" s="45">
        <f t="shared" ref="L5:M9" si="1">(D5-C5) / C5</f>
        <v>0</v>
      </c>
      <c r="M5" s="45">
        <f t="shared" si="1"/>
        <v>0</v>
      </c>
      <c r="Q5" s="45">
        <f t="shared" ref="Q5:R9" si="2">D5/C5</f>
        <v>1</v>
      </c>
      <c r="R5" s="45">
        <f t="shared" si="2"/>
        <v>1</v>
      </c>
      <c r="U5" s="45">
        <f t="shared" ref="U5:W9" si="3">C5/C$31</f>
        <v>0.81430512708659586</v>
      </c>
      <c r="V5" s="45">
        <f t="shared" si="3"/>
        <v>0.80548161232291782</v>
      </c>
      <c r="W5" s="51">
        <f t="shared" si="3"/>
        <v>0.76342505755750234</v>
      </c>
    </row>
    <row r="6" spans="1:23" x14ac:dyDescent="0.3">
      <c r="A6" t="s">
        <v>217</v>
      </c>
      <c r="B6" s="28">
        <v>45570</v>
      </c>
      <c r="C6" s="29">
        <v>38825</v>
      </c>
      <c r="D6" s="29">
        <v>38825</v>
      </c>
      <c r="E6" s="29">
        <v>38825</v>
      </c>
      <c r="H6" s="49">
        <f t="shared" si="0"/>
        <v>0</v>
      </c>
      <c r="I6" s="49">
        <f t="shared" si="0"/>
        <v>0</v>
      </c>
      <c r="L6" s="45">
        <f t="shared" si="1"/>
        <v>0</v>
      </c>
      <c r="M6" s="45">
        <f t="shared" si="1"/>
        <v>0</v>
      </c>
      <c r="Q6" s="45">
        <f t="shared" si="2"/>
        <v>1</v>
      </c>
      <c r="R6" s="45">
        <f t="shared" si="2"/>
        <v>1</v>
      </c>
      <c r="U6" s="45">
        <f t="shared" si="3"/>
        <v>6.0922793990729376E-2</v>
      </c>
      <c r="V6" s="45">
        <f t="shared" si="3"/>
        <v>6.0262656710070264E-2</v>
      </c>
      <c r="W6" s="51">
        <f t="shared" si="3"/>
        <v>5.7116166854234249E-2</v>
      </c>
    </row>
    <row r="7" spans="1:23" x14ac:dyDescent="0.3">
      <c r="A7" t="s">
        <v>218</v>
      </c>
      <c r="B7" s="28">
        <v>45570</v>
      </c>
      <c r="C7">
        <v>528</v>
      </c>
      <c r="D7" s="29">
        <v>1655</v>
      </c>
      <c r="E7" s="29">
        <v>2601</v>
      </c>
      <c r="H7" s="49">
        <f t="shared" si="0"/>
        <v>1127</v>
      </c>
      <c r="I7" s="49">
        <f t="shared" si="0"/>
        <v>946</v>
      </c>
      <c r="L7" s="45">
        <f t="shared" si="1"/>
        <v>2.1344696969696968</v>
      </c>
      <c r="M7" s="45">
        <f t="shared" si="1"/>
        <v>0.57160120845921447</v>
      </c>
      <c r="Q7" s="45">
        <f t="shared" si="2"/>
        <v>3.1344696969696968</v>
      </c>
      <c r="R7" s="45">
        <f t="shared" si="2"/>
        <v>1.5716012084592146</v>
      </c>
      <c r="U7" s="45">
        <f t="shared" si="3"/>
        <v>8.2851861499304855E-4</v>
      </c>
      <c r="V7" s="45">
        <f t="shared" si="3"/>
        <v>2.5688267058639096E-3</v>
      </c>
      <c r="W7" s="51">
        <f t="shared" si="3"/>
        <v>3.8263786217092922E-3</v>
      </c>
    </row>
    <row r="8" spans="1:23" x14ac:dyDescent="0.3">
      <c r="A8" t="s">
        <v>219</v>
      </c>
      <c r="B8" s="28"/>
      <c r="C8" s="29">
        <v>62548</v>
      </c>
      <c r="D8" s="29">
        <v>64064</v>
      </c>
      <c r="E8" s="29">
        <v>77317</v>
      </c>
      <c r="H8" s="49">
        <f t="shared" si="0"/>
        <v>1516</v>
      </c>
      <c r="I8" s="49">
        <f t="shared" si="0"/>
        <v>13253</v>
      </c>
      <c r="L8" s="45">
        <f t="shared" si="1"/>
        <v>2.4237385687791775E-2</v>
      </c>
      <c r="M8" s="45">
        <f t="shared" si="1"/>
        <v>0.20687125374625376</v>
      </c>
      <c r="Q8" s="45">
        <f t="shared" si="2"/>
        <v>1.0242373856877918</v>
      </c>
      <c r="R8" s="45">
        <f t="shared" si="2"/>
        <v>1.2068712537462538</v>
      </c>
      <c r="U8" s="45">
        <f t="shared" si="3"/>
        <v>9.8148072595805311E-2</v>
      </c>
      <c r="V8" s="45">
        <f t="shared" si="3"/>
        <v>9.9437652014782787E-2</v>
      </c>
      <c r="W8" s="51">
        <f t="shared" si="3"/>
        <v>0.11374245132437422</v>
      </c>
    </row>
    <row r="9" spans="1:23" x14ac:dyDescent="0.3">
      <c r="C9" s="30">
        <f>SUM(C5:C8)</f>
        <v>620843</v>
      </c>
      <c r="D9" s="30">
        <v>623486</v>
      </c>
      <c r="E9" s="30">
        <v>637685</v>
      </c>
      <c r="G9" s="24"/>
      <c r="H9" s="50">
        <f t="shared" si="0"/>
        <v>2643</v>
      </c>
      <c r="I9" s="50">
        <f t="shared" si="0"/>
        <v>14199</v>
      </c>
      <c r="L9" s="46">
        <f t="shared" si="1"/>
        <v>4.2571149227743571E-3</v>
      </c>
      <c r="M9" s="46">
        <f t="shared" si="1"/>
        <v>2.2773566687944877E-2</v>
      </c>
      <c r="Q9" s="46">
        <f t="shared" si="2"/>
        <v>1.0042571149227744</v>
      </c>
      <c r="R9" s="46">
        <f t="shared" si="2"/>
        <v>1.0227735666879449</v>
      </c>
      <c r="U9" s="46">
        <f t="shared" si="3"/>
        <v>0.97420451228812366</v>
      </c>
      <c r="V9" s="46">
        <f t="shared" si="3"/>
        <v>0.96775074775363479</v>
      </c>
      <c r="W9" s="52">
        <f t="shared" si="3"/>
        <v>0.93811005435782013</v>
      </c>
    </row>
    <row r="10" spans="1:23" x14ac:dyDescent="0.3">
      <c r="A10" s="24" t="s">
        <v>220</v>
      </c>
      <c r="H10" s="49"/>
      <c r="I10" s="49"/>
      <c r="L10" s="45"/>
      <c r="M10" s="45"/>
      <c r="Q10" s="45"/>
      <c r="R10" s="45"/>
      <c r="U10" s="45"/>
      <c r="V10" s="45"/>
      <c r="W10" s="51"/>
    </row>
    <row r="11" spans="1:23" x14ac:dyDescent="0.3">
      <c r="A11" t="s">
        <v>221</v>
      </c>
      <c r="B11" t="s">
        <v>222</v>
      </c>
      <c r="C11" s="29">
        <v>9489</v>
      </c>
      <c r="D11" s="29">
        <v>7811</v>
      </c>
      <c r="E11" s="29">
        <v>14747</v>
      </c>
      <c r="H11" s="49">
        <f t="shared" ref="H11:I15" si="4">(D11-C11)</f>
        <v>-1678</v>
      </c>
      <c r="I11" s="49">
        <f t="shared" si="4"/>
        <v>6936</v>
      </c>
      <c r="L11" s="45">
        <f>(D11-C11) / C11</f>
        <v>-0.17683633681104435</v>
      </c>
      <c r="M11" s="45">
        <f>(E11-D11) / D11</f>
        <v>0.88797849187043909</v>
      </c>
      <c r="Q11" s="45">
        <f>D11/C11</f>
        <v>0.82316366318895562</v>
      </c>
      <c r="R11" s="45">
        <f>E11/D11</f>
        <v>1.8879784918704392</v>
      </c>
      <c r="U11" s="45">
        <f t="shared" ref="U11:W15" si="5">C11/C$31</f>
        <v>1.4889797609221662E-2</v>
      </c>
      <c r="V11" s="45">
        <f t="shared" si="5"/>
        <v>1.2123930754986705E-2</v>
      </c>
      <c r="W11" s="51">
        <f t="shared" si="5"/>
        <v>2.1694581135850415E-2</v>
      </c>
    </row>
    <row r="12" spans="1:23" x14ac:dyDescent="0.3">
      <c r="A12" t="s">
        <v>223</v>
      </c>
      <c r="B12" t="s">
        <v>224</v>
      </c>
      <c r="C12">
        <v>0</v>
      </c>
      <c r="D12">
        <v>0</v>
      </c>
      <c r="E12">
        <v>277</v>
      </c>
      <c r="H12" s="49">
        <f t="shared" si="4"/>
        <v>0</v>
      </c>
      <c r="I12" s="49">
        <f t="shared" si="4"/>
        <v>277</v>
      </c>
      <c r="L12" s="45">
        <v>0</v>
      </c>
      <c r="M12" s="45">
        <v>0</v>
      </c>
      <c r="Q12" s="45">
        <v>0</v>
      </c>
      <c r="R12" s="45">
        <v>0</v>
      </c>
      <c r="U12" s="45">
        <f t="shared" si="5"/>
        <v>0</v>
      </c>
      <c r="V12" s="45">
        <f t="shared" si="5"/>
        <v>0</v>
      </c>
      <c r="W12" s="51">
        <f t="shared" si="5"/>
        <v>4.0749976094328101E-4</v>
      </c>
    </row>
    <row r="13" spans="1:23" x14ac:dyDescent="0.3">
      <c r="A13" t="s">
        <v>225</v>
      </c>
      <c r="B13" t="s">
        <v>226</v>
      </c>
      <c r="C13">
        <v>0</v>
      </c>
      <c r="D13">
        <v>0</v>
      </c>
      <c r="E13" s="29">
        <v>4978</v>
      </c>
      <c r="H13" s="49">
        <f t="shared" si="4"/>
        <v>0</v>
      </c>
      <c r="I13" s="49">
        <f t="shared" si="4"/>
        <v>4978</v>
      </c>
      <c r="L13" s="45">
        <v>0</v>
      </c>
      <c r="M13" s="45">
        <v>0</v>
      </c>
      <c r="Q13" s="45">
        <v>0</v>
      </c>
      <c r="R13" s="45">
        <v>0</v>
      </c>
      <c r="U13" s="45">
        <f t="shared" si="5"/>
        <v>0</v>
      </c>
      <c r="V13" s="45">
        <f t="shared" si="5"/>
        <v>0</v>
      </c>
      <c r="W13" s="51">
        <f t="shared" si="5"/>
        <v>7.3232267508146313E-3</v>
      </c>
    </row>
    <row r="14" spans="1:23" x14ac:dyDescent="0.3">
      <c r="A14" t="s">
        <v>227</v>
      </c>
      <c r="B14" t="s">
        <v>228</v>
      </c>
      <c r="C14">
        <v>0</v>
      </c>
      <c r="D14">
        <v>0</v>
      </c>
      <c r="E14">
        <v>0</v>
      </c>
      <c r="H14" s="50">
        <f t="shared" si="4"/>
        <v>0</v>
      </c>
      <c r="I14" s="50">
        <f t="shared" si="4"/>
        <v>0</v>
      </c>
      <c r="L14" s="45">
        <v>0</v>
      </c>
      <c r="M14" s="45">
        <v>0</v>
      </c>
      <c r="Q14" s="46">
        <v>0</v>
      </c>
      <c r="R14" s="46">
        <v>0</v>
      </c>
      <c r="U14" s="45">
        <f t="shared" si="5"/>
        <v>0</v>
      </c>
      <c r="V14" s="45">
        <f t="shared" si="5"/>
        <v>0</v>
      </c>
      <c r="W14" s="51">
        <f t="shared" si="5"/>
        <v>0</v>
      </c>
    </row>
    <row r="15" spans="1:23" x14ac:dyDescent="0.3">
      <c r="B15" s="24"/>
      <c r="C15" s="30">
        <f>SUM(C11:C14)</f>
        <v>9489</v>
      </c>
      <c r="D15" s="24" t="s">
        <v>229</v>
      </c>
      <c r="E15" s="30">
        <v>20002</v>
      </c>
      <c r="G15" s="24"/>
      <c r="H15" s="50">
        <f t="shared" si="4"/>
        <v>-1678</v>
      </c>
      <c r="I15" s="50">
        <f t="shared" si="4"/>
        <v>12191</v>
      </c>
      <c r="L15" s="46">
        <f>(D15-C15) / C15</f>
        <v>-0.17683633681104435</v>
      </c>
      <c r="M15" s="46">
        <f>(E15-D15) / D15</f>
        <v>1.5607476635514019</v>
      </c>
      <c r="Q15" s="46">
        <f>D15/C15</f>
        <v>0.82316366318895562</v>
      </c>
      <c r="R15" s="46">
        <f>E15/D15</f>
        <v>2.5607476635514019</v>
      </c>
      <c r="T15" s="32"/>
      <c r="U15" s="46">
        <f t="shared" si="5"/>
        <v>1.4889797609221662E-2</v>
      </c>
      <c r="V15" s="46">
        <f t="shared" si="5"/>
        <v>1.2123930754986705E-2</v>
      </c>
      <c r="W15" s="52">
        <f t="shared" si="5"/>
        <v>2.9425307647608329E-2</v>
      </c>
    </row>
    <row r="16" spans="1:23" x14ac:dyDescent="0.3">
      <c r="A16" s="24" t="s">
        <v>230</v>
      </c>
      <c r="G16" s="24"/>
      <c r="H16" s="49"/>
      <c r="I16" s="49"/>
      <c r="L16" s="45"/>
      <c r="M16" s="45"/>
      <c r="Q16" s="45"/>
      <c r="R16" s="45"/>
      <c r="U16" s="45"/>
      <c r="V16" s="45"/>
      <c r="W16" s="51"/>
    </row>
    <row r="17" spans="1:23" x14ac:dyDescent="0.3">
      <c r="A17" t="s">
        <v>221</v>
      </c>
      <c r="B17" s="28">
        <v>45601</v>
      </c>
      <c r="C17" s="29">
        <v>4085</v>
      </c>
      <c r="D17" s="29">
        <v>5207</v>
      </c>
      <c r="E17" s="29">
        <v>10023</v>
      </c>
      <c r="H17" s="49">
        <f t="shared" ref="H17:H27" si="6">(D17-C17)</f>
        <v>1122</v>
      </c>
      <c r="I17" s="49">
        <f t="shared" ref="I17:I27" si="7">(E17-D17)</f>
        <v>4816</v>
      </c>
      <c r="L17" s="45">
        <f>(D17-C17) / C17</f>
        <v>0.27466340269277845</v>
      </c>
      <c r="M17" s="45">
        <f>(E17-D17) / D17</f>
        <v>0.92490877664682158</v>
      </c>
      <c r="Q17" s="45">
        <f>D17/C17</f>
        <v>1.2746634026927786</v>
      </c>
      <c r="R17" s="45">
        <f>E17/D17</f>
        <v>1.9249087766468216</v>
      </c>
      <c r="U17" s="45">
        <f t="shared" ref="U17:U26" si="8">C17/C$31</f>
        <v>6.4100351178912945E-3</v>
      </c>
      <c r="V17" s="45">
        <f t="shared" ref="V17:V26" si="9">D17/D$31</f>
        <v>8.0821031162739438E-3</v>
      </c>
      <c r="W17" s="51">
        <f t="shared" ref="W17:W26" si="10">E17/E$31</f>
        <v>1.4745018425756339E-2</v>
      </c>
    </row>
    <row r="18" spans="1:23" x14ac:dyDescent="0.3">
      <c r="A18" t="s">
        <v>223</v>
      </c>
      <c r="B18" s="28">
        <v>45631</v>
      </c>
      <c r="C18">
        <v>0</v>
      </c>
      <c r="D18">
        <v>0</v>
      </c>
      <c r="E18">
        <v>103</v>
      </c>
      <c r="H18" s="49">
        <f t="shared" si="6"/>
        <v>0</v>
      </c>
      <c r="I18" s="49">
        <f t="shared" si="7"/>
        <v>103</v>
      </c>
      <c r="L18" s="45">
        <v>0</v>
      </c>
      <c r="M18" s="45">
        <v>0</v>
      </c>
      <c r="Q18" s="45">
        <v>0</v>
      </c>
      <c r="R18" s="45">
        <v>0</v>
      </c>
      <c r="U18" s="45">
        <f t="shared" si="8"/>
        <v>0</v>
      </c>
      <c r="V18" s="45">
        <f t="shared" si="9"/>
        <v>0</v>
      </c>
      <c r="W18" s="51">
        <f t="shared" si="10"/>
        <v>1.5152518186699619E-4</v>
      </c>
    </row>
    <row r="19" spans="1:23" x14ac:dyDescent="0.3">
      <c r="A19" t="s">
        <v>225</v>
      </c>
      <c r="B19" s="28">
        <v>41395</v>
      </c>
      <c r="C19" s="29">
        <v>0</v>
      </c>
      <c r="D19">
        <v>0</v>
      </c>
      <c r="E19" s="29">
        <v>4936</v>
      </c>
      <c r="G19" s="24"/>
      <c r="H19" s="49">
        <f t="shared" si="6"/>
        <v>0</v>
      </c>
      <c r="I19" s="49">
        <f t="shared" si="7"/>
        <v>4936</v>
      </c>
      <c r="L19" s="45">
        <v>0</v>
      </c>
      <c r="M19" s="45">
        <v>0</v>
      </c>
      <c r="Q19" s="45">
        <v>0</v>
      </c>
      <c r="R19" s="45">
        <v>0</v>
      </c>
      <c r="U19" s="45">
        <f t="shared" si="8"/>
        <v>0</v>
      </c>
      <c r="V19" s="45">
        <f t="shared" si="9"/>
        <v>0</v>
      </c>
      <c r="W19" s="51">
        <f t="shared" si="10"/>
        <v>7.2614397834513903E-3</v>
      </c>
    </row>
    <row r="20" spans="1:23" x14ac:dyDescent="0.3">
      <c r="A20" t="s">
        <v>231</v>
      </c>
      <c r="B20" s="31">
        <v>41760</v>
      </c>
      <c r="C20">
        <v>857</v>
      </c>
      <c r="D20" s="29">
        <v>2617</v>
      </c>
      <c r="E20" s="29">
        <v>2180</v>
      </c>
      <c r="H20" s="49">
        <f t="shared" si="6"/>
        <v>1760</v>
      </c>
      <c r="I20" s="49">
        <f t="shared" si="7"/>
        <v>-437</v>
      </c>
      <c r="L20" s="45">
        <f>(D20-C20) / C20</f>
        <v>2.0536756126021003</v>
      </c>
      <c r="M20" s="45">
        <f>(E20-D20) / D20</f>
        <v>-0.16698509743981657</v>
      </c>
      <c r="Q20" s="45">
        <f>D20/C20</f>
        <v>3.0536756126021003</v>
      </c>
      <c r="R20" s="45">
        <f>E20/D20</f>
        <v>0.8330149025601834</v>
      </c>
      <c r="U20" s="45">
        <f t="shared" si="8"/>
        <v>1.3447735853201566E-3</v>
      </c>
      <c r="V20" s="45">
        <f t="shared" si="9"/>
        <v>4.0620057336832943E-3</v>
      </c>
      <c r="W20" s="51">
        <f t="shared" si="10"/>
        <v>3.2070378298063272E-3</v>
      </c>
    </row>
    <row r="21" spans="1:23" x14ac:dyDescent="0.3">
      <c r="A21" t="s">
        <v>232</v>
      </c>
      <c r="B21" s="31">
        <v>41760</v>
      </c>
      <c r="C21">
        <v>0</v>
      </c>
      <c r="D21" s="29">
        <v>1665</v>
      </c>
      <c r="E21" s="29">
        <v>1391</v>
      </c>
      <c r="H21" s="49">
        <f t="shared" si="6"/>
        <v>1665</v>
      </c>
      <c r="I21" s="49">
        <f t="shared" si="7"/>
        <v>-274</v>
      </c>
      <c r="L21" s="45">
        <v>0</v>
      </c>
      <c r="M21" s="45">
        <f>(E21-D21) / D21</f>
        <v>-0.16456456456456456</v>
      </c>
      <c r="Q21" s="45">
        <v>0</v>
      </c>
      <c r="R21" s="45">
        <f>E21/D21</f>
        <v>0.83543543543543541</v>
      </c>
      <c r="U21" s="45">
        <f t="shared" si="8"/>
        <v>0</v>
      </c>
      <c r="V21" s="45">
        <f t="shared" si="9"/>
        <v>2.5843483173797034E-3</v>
      </c>
      <c r="W21" s="51">
        <f t="shared" si="10"/>
        <v>2.0463255143397252E-3</v>
      </c>
    </row>
    <row r="22" spans="1:23" x14ac:dyDescent="0.3">
      <c r="A22" t="s">
        <v>233</v>
      </c>
      <c r="B22" s="31">
        <v>41760</v>
      </c>
      <c r="C22">
        <v>0</v>
      </c>
      <c r="D22">
        <v>841</v>
      </c>
      <c r="E22">
        <v>374</v>
      </c>
      <c r="H22" s="49">
        <f t="shared" si="6"/>
        <v>841</v>
      </c>
      <c r="I22" s="49">
        <f t="shared" si="7"/>
        <v>-467</v>
      </c>
      <c r="L22" s="45">
        <v>0</v>
      </c>
      <c r="M22" s="45">
        <f>(E22-D22) / D22</f>
        <v>-0.55529131985731273</v>
      </c>
      <c r="Q22" s="45">
        <v>0</v>
      </c>
      <c r="R22" s="45">
        <f>E22/D22</f>
        <v>0.44470868014268727</v>
      </c>
      <c r="U22" s="45">
        <f t="shared" si="8"/>
        <v>0</v>
      </c>
      <c r="V22" s="45">
        <f t="shared" si="9"/>
        <v>1.3053675284782768E-3</v>
      </c>
      <c r="W22" s="51">
        <f t="shared" si="10"/>
        <v>5.5019823318695705E-4</v>
      </c>
    </row>
    <row r="23" spans="1:23" x14ac:dyDescent="0.3">
      <c r="A23" t="s">
        <v>234</v>
      </c>
      <c r="B23" s="31">
        <v>41760</v>
      </c>
      <c r="C23">
        <v>351</v>
      </c>
      <c r="D23">
        <v>290</v>
      </c>
      <c r="E23">
        <v>137</v>
      </c>
      <c r="H23" s="49">
        <f t="shared" si="6"/>
        <v>-61</v>
      </c>
      <c r="I23" s="49">
        <f t="shared" si="7"/>
        <v>-153</v>
      </c>
      <c r="L23" s="45">
        <f>(D23-C23) / C23</f>
        <v>-0.1737891737891738</v>
      </c>
      <c r="M23" s="45">
        <f>(E23-D23) / D23</f>
        <v>-0.52758620689655178</v>
      </c>
      <c r="Q23" s="45">
        <f>D23/C23</f>
        <v>0.8262108262108262</v>
      </c>
      <c r="R23" s="45">
        <f>E23/D23</f>
        <v>0.47241379310344828</v>
      </c>
      <c r="U23" s="45">
        <f t="shared" si="8"/>
        <v>5.5077657928515164E-4</v>
      </c>
      <c r="V23" s="45">
        <f t="shared" si="9"/>
        <v>4.5012673395802648E-4</v>
      </c>
      <c r="W23" s="51">
        <f t="shared" si="10"/>
        <v>2.0154320306581047E-4</v>
      </c>
    </row>
    <row r="24" spans="1:23" x14ac:dyDescent="0.3">
      <c r="A24" t="s">
        <v>235</v>
      </c>
      <c r="B24" s="31">
        <v>41760</v>
      </c>
      <c r="C24">
        <v>12</v>
      </c>
      <c r="D24">
        <v>244</v>
      </c>
      <c r="E24">
        <v>266</v>
      </c>
      <c r="H24" s="49">
        <f t="shared" si="6"/>
        <v>232</v>
      </c>
      <c r="I24" s="49">
        <f t="shared" si="7"/>
        <v>22</v>
      </c>
      <c r="L24" s="45">
        <f>(D24-C24) / C24</f>
        <v>19.333333333333332</v>
      </c>
      <c r="M24" s="45">
        <f>(E24-D24) / D24</f>
        <v>9.0163934426229511E-2</v>
      </c>
      <c r="Q24" s="45">
        <f>D24/C24</f>
        <v>20.333333333333332</v>
      </c>
      <c r="R24" s="45">
        <f>E24/D24</f>
        <v>1.0901639344262295</v>
      </c>
      <c r="U24" s="45">
        <f t="shared" si="8"/>
        <v>1.8829968522569286E-5</v>
      </c>
      <c r="V24" s="45">
        <f t="shared" si="9"/>
        <v>3.78727320985374E-4</v>
      </c>
      <c r="W24" s="51">
        <f t="shared" si="10"/>
        <v>3.9131745996719407E-4</v>
      </c>
    </row>
    <row r="25" spans="1:23" x14ac:dyDescent="0.3">
      <c r="A25" t="s">
        <v>236</v>
      </c>
      <c r="B25" s="31">
        <v>42125</v>
      </c>
      <c r="C25" s="29">
        <v>1042</v>
      </c>
      <c r="D25" s="29">
        <v>2102</v>
      </c>
      <c r="E25" s="29">
        <v>2658</v>
      </c>
      <c r="H25" s="49">
        <f t="shared" si="6"/>
        <v>1060</v>
      </c>
      <c r="I25" s="49">
        <f t="shared" si="7"/>
        <v>556</v>
      </c>
      <c r="L25" s="45">
        <f>(D25-C25) / C25</f>
        <v>1.017274472168906</v>
      </c>
      <c r="M25" s="45">
        <f>(E25-D25) / D25</f>
        <v>0.26450999048525214</v>
      </c>
      <c r="Q25" s="45">
        <f>D25/C25</f>
        <v>2.0172744721689058</v>
      </c>
      <c r="R25" s="45">
        <f>E25/D25</f>
        <v>1.2645099904852521</v>
      </c>
      <c r="U25" s="45">
        <f t="shared" si="8"/>
        <v>1.6350689333764329E-3</v>
      </c>
      <c r="V25" s="45">
        <f t="shared" si="9"/>
        <v>3.2626427406199023E-3</v>
      </c>
      <c r="W25" s="51">
        <f t="shared" si="10"/>
        <v>3.910232363130834E-3</v>
      </c>
    </row>
    <row r="26" spans="1:23" x14ac:dyDescent="0.3">
      <c r="A26" t="s">
        <v>237</v>
      </c>
      <c r="C26">
        <v>507</v>
      </c>
      <c r="D26">
        <v>0</v>
      </c>
      <c r="E26">
        <v>0</v>
      </c>
      <c r="H26" s="49">
        <f t="shared" si="6"/>
        <v>-507</v>
      </c>
      <c r="I26" s="49">
        <f t="shared" si="7"/>
        <v>0</v>
      </c>
      <c r="L26" s="45">
        <f>(D26-C26) / C26</f>
        <v>-1</v>
      </c>
      <c r="M26" s="45">
        <v>0</v>
      </c>
      <c r="Q26" s="45">
        <f>D26/C26</f>
        <v>0</v>
      </c>
      <c r="R26" s="45">
        <v>0</v>
      </c>
      <c r="U26" s="45">
        <f t="shared" si="8"/>
        <v>7.9556617007855231E-4</v>
      </c>
      <c r="V26" s="45">
        <f t="shared" si="9"/>
        <v>0</v>
      </c>
      <c r="W26" s="51">
        <f t="shared" si="10"/>
        <v>0</v>
      </c>
    </row>
    <row r="27" spans="1:23" x14ac:dyDescent="0.3">
      <c r="A27" t="s">
        <v>238</v>
      </c>
      <c r="C27">
        <v>96</v>
      </c>
      <c r="D27">
        <v>0</v>
      </c>
      <c r="E27">
        <v>0</v>
      </c>
      <c r="H27" s="49">
        <f t="shared" si="6"/>
        <v>-96</v>
      </c>
      <c r="I27" s="49">
        <f t="shared" si="7"/>
        <v>0</v>
      </c>
      <c r="L27" s="45">
        <f>(D27-C27) / C27</f>
        <v>-1</v>
      </c>
      <c r="M27" s="45">
        <v>0</v>
      </c>
      <c r="Q27" s="45">
        <v>0</v>
      </c>
      <c r="R27" s="45">
        <v>0</v>
      </c>
      <c r="U27" s="45">
        <f>C27/C$31</f>
        <v>1.5063974818055429E-4</v>
      </c>
      <c r="V27" s="45">
        <v>0</v>
      </c>
      <c r="W27" s="51">
        <f>E27/E$31</f>
        <v>0</v>
      </c>
    </row>
    <row r="28" spans="1:23" x14ac:dyDescent="0.3">
      <c r="H28" s="49"/>
      <c r="I28" s="49"/>
      <c r="L28" s="45"/>
      <c r="M28" s="45"/>
      <c r="Q28" s="45"/>
      <c r="R28" s="45"/>
      <c r="U28" s="45"/>
      <c r="V28" s="45"/>
      <c r="W28" s="51"/>
    </row>
    <row r="29" spans="1:23" x14ac:dyDescent="0.3">
      <c r="A29" s="24"/>
      <c r="B29" s="24"/>
      <c r="C29" s="30">
        <f>SUM(C17:C27)</f>
        <v>6950</v>
      </c>
      <c r="D29" s="30">
        <v>12966</v>
      </c>
      <c r="E29" s="30">
        <v>22068</v>
      </c>
      <c r="H29" s="50">
        <f t="shared" ref="H29:I31" si="11">(D29-C29)</f>
        <v>6016</v>
      </c>
      <c r="I29" s="50">
        <f t="shared" si="11"/>
        <v>9102</v>
      </c>
      <c r="L29" s="46">
        <f t="shared" ref="L29:M31" si="12">(D29-C29) / C29</f>
        <v>0.86561151079136689</v>
      </c>
      <c r="M29" s="46">
        <f t="shared" si="12"/>
        <v>0.70198981952799633</v>
      </c>
      <c r="Q29" s="46">
        <f t="shared" ref="Q29:R31" si="13">D29/C29</f>
        <v>1.8656115107913669</v>
      </c>
      <c r="R29" s="46">
        <f t="shared" si="13"/>
        <v>1.7019898195279963</v>
      </c>
      <c r="U29" s="45"/>
      <c r="V29" s="45"/>
      <c r="W29" s="53"/>
    </row>
    <row r="30" spans="1:23" x14ac:dyDescent="0.3">
      <c r="A30" s="24" t="s">
        <v>239</v>
      </c>
      <c r="B30" s="24"/>
      <c r="C30" s="30">
        <v>16439</v>
      </c>
      <c r="D30" s="30">
        <v>20777</v>
      </c>
      <c r="E30" s="30">
        <v>42070</v>
      </c>
      <c r="H30" s="50">
        <f t="shared" si="11"/>
        <v>4338</v>
      </c>
      <c r="I30" s="50">
        <f t="shared" si="11"/>
        <v>21293</v>
      </c>
      <c r="L30" s="46">
        <f t="shared" si="12"/>
        <v>0.26388466451730641</v>
      </c>
      <c r="M30" s="46">
        <f t="shared" si="12"/>
        <v>1.0248351542571112</v>
      </c>
      <c r="Q30" s="46">
        <f t="shared" si="13"/>
        <v>1.2638846645173063</v>
      </c>
      <c r="R30" s="46">
        <f t="shared" si="13"/>
        <v>2.024835154257111</v>
      </c>
      <c r="U30" s="52">
        <f t="shared" ref="U30:W31" si="14">C30/C$31</f>
        <v>2.5795487711876376E-2</v>
      </c>
      <c r="V30" s="52">
        <f t="shared" si="14"/>
        <v>3.2249252246365226E-2</v>
      </c>
      <c r="W30" s="52">
        <f t="shared" si="14"/>
        <v>6.1889945642179901E-2</v>
      </c>
    </row>
    <row r="31" spans="1:23" x14ac:dyDescent="0.3">
      <c r="A31" s="24" t="s">
        <v>240</v>
      </c>
      <c r="B31" s="24"/>
      <c r="C31" s="30">
        <v>637282</v>
      </c>
      <c r="D31" s="30">
        <v>644263</v>
      </c>
      <c r="E31" s="30">
        <v>679755</v>
      </c>
      <c r="H31" s="50">
        <f t="shared" si="11"/>
        <v>6981</v>
      </c>
      <c r="I31" s="50">
        <f t="shared" si="11"/>
        <v>35492</v>
      </c>
      <c r="L31" s="46">
        <f t="shared" si="12"/>
        <v>1.0954334188004683E-2</v>
      </c>
      <c r="M31" s="46">
        <f t="shared" si="12"/>
        <v>5.5089303591856119E-2</v>
      </c>
      <c r="Q31" s="46">
        <f t="shared" si="13"/>
        <v>1.0109543341880047</v>
      </c>
      <c r="R31" s="46">
        <f t="shared" si="13"/>
        <v>1.055089303591856</v>
      </c>
      <c r="U31" s="52">
        <f t="shared" si="14"/>
        <v>1</v>
      </c>
      <c r="V31" s="52">
        <f t="shared" si="14"/>
        <v>1</v>
      </c>
      <c r="W31" s="52">
        <f t="shared" si="14"/>
        <v>1</v>
      </c>
    </row>
    <row r="36" spans="1:14" x14ac:dyDescent="0.3">
      <c r="M36" s="33"/>
      <c r="N36" s="33"/>
    </row>
    <row r="37" spans="1:14" x14ac:dyDescent="0.3">
      <c r="A37" s="24"/>
      <c r="B37" s="63"/>
      <c r="C37" s="63"/>
      <c r="D37" s="63"/>
    </row>
    <row r="38" spans="1:14" x14ac:dyDescent="0.3">
      <c r="B38" s="40"/>
      <c r="C38" s="40"/>
      <c r="D38" s="40"/>
    </row>
    <row r="39" spans="1:14" x14ac:dyDescent="0.3">
      <c r="B39" s="43">
        <v>2017</v>
      </c>
      <c r="C39" s="43">
        <v>2018</v>
      </c>
      <c r="D39" s="43">
        <v>2019</v>
      </c>
    </row>
    <row r="40" spans="1:14" x14ac:dyDescent="0.3">
      <c r="A40" s="24" t="s">
        <v>241</v>
      </c>
      <c r="B40" s="45">
        <f>C9/C31</f>
        <v>0.97420451228812366</v>
      </c>
      <c r="C40" s="45">
        <f>D9/D31</f>
        <v>0.96775074775363479</v>
      </c>
      <c r="D40" s="45">
        <f>E9/E31</f>
        <v>0.93811005435782013</v>
      </c>
      <c r="F40" s="24"/>
    </row>
    <row r="41" spans="1:14" x14ac:dyDescent="0.3">
      <c r="A41" s="24" t="s">
        <v>242</v>
      </c>
      <c r="B41" s="45">
        <f>C30/C31</f>
        <v>2.5795487711876376E-2</v>
      </c>
      <c r="C41" s="45">
        <f>D30/D31</f>
        <v>3.2249252246365226E-2</v>
      </c>
      <c r="D41" s="45">
        <f>E30/E31</f>
        <v>6.1889945642179901E-2</v>
      </c>
      <c r="F41" s="24"/>
    </row>
    <row r="42" spans="1:14" x14ac:dyDescent="0.3">
      <c r="B42" s="41"/>
      <c r="C42" s="40"/>
      <c r="D42" s="63"/>
      <c r="F42" s="24"/>
    </row>
    <row r="43" spans="1:14" x14ac:dyDescent="0.3">
      <c r="A43" s="24" t="s">
        <v>243</v>
      </c>
      <c r="B43" s="45">
        <f>C9/C31</f>
        <v>0.97420451228812366</v>
      </c>
      <c r="C43" s="45">
        <f>D9/D31</f>
        <v>0.96775074775363479</v>
      </c>
      <c r="D43" s="45">
        <f>E9/E31</f>
        <v>0.93811005435782013</v>
      </c>
    </row>
    <row r="44" spans="1:14" x14ac:dyDescent="0.3">
      <c r="A44" s="37" t="s">
        <v>244</v>
      </c>
      <c r="B44" s="45">
        <f>C30 /C31</f>
        <v>2.5795487711876376E-2</v>
      </c>
      <c r="C44" s="45">
        <f>D30 /D31</f>
        <v>3.2249252246365226E-2</v>
      </c>
      <c r="D44" s="45">
        <f>E30 /E31</f>
        <v>6.1889945642179901E-2</v>
      </c>
    </row>
    <row r="45" spans="1:14" x14ac:dyDescent="0.3">
      <c r="A45" s="37" t="s">
        <v>245</v>
      </c>
      <c r="B45" s="45">
        <f>C5/C31</f>
        <v>0.81430512708659586</v>
      </c>
      <c r="C45" s="45">
        <f>D5/D31</f>
        <v>0.80548161232291782</v>
      </c>
      <c r="D45" s="45">
        <f>E5/E31</f>
        <v>0.76342505755750234</v>
      </c>
    </row>
    <row r="46" spans="1:14" x14ac:dyDescent="0.3">
      <c r="A46" s="24" t="s">
        <v>246</v>
      </c>
      <c r="B46" s="45">
        <f>(C14+C27) /C31</f>
        <v>1.5063974818055429E-4</v>
      </c>
      <c r="C46" s="45">
        <f>(D14+D27) /D31</f>
        <v>0</v>
      </c>
      <c r="D46" s="45">
        <f>(E14+E27) /E31</f>
        <v>0</v>
      </c>
    </row>
    <row r="47" spans="1:14" x14ac:dyDescent="0.3">
      <c r="A47" s="24" t="s">
        <v>247</v>
      </c>
      <c r="B47" s="45">
        <f>(C11+C12+C13+C14)/C31</f>
        <v>1.4889797609221662E-2</v>
      </c>
      <c r="C47" s="45">
        <f>(D11+D12+D13+D14)/D31</f>
        <v>1.2123930754986705E-2</v>
      </c>
      <c r="D47" s="45">
        <f>(E11+E12+E13+E14)/E31</f>
        <v>2.9425307647608329E-2</v>
      </c>
    </row>
    <row r="48" spans="1:14" x14ac:dyDescent="0.3">
      <c r="A48" s="24" t="s">
        <v>248</v>
      </c>
      <c r="B48" s="45">
        <f>SUM(C17:C27) / C31</f>
        <v>1.0905690102654712E-2</v>
      </c>
      <c r="C48" s="45">
        <f>SUM(D17:D27) / D31</f>
        <v>2.0125321491378519E-2</v>
      </c>
      <c r="D48" s="45">
        <f>SUM(E17:E27) / E31</f>
        <v>3.2464637994571575E-2</v>
      </c>
    </row>
    <row r="49" spans="1:5" x14ac:dyDescent="0.3">
      <c r="A49" s="37" t="s">
        <v>249</v>
      </c>
      <c r="B49" s="45">
        <f>(C25+C26)/C31</f>
        <v>2.4306351034549855E-3</v>
      </c>
      <c r="C49" s="45">
        <f>(D25+D26)/D31</f>
        <v>3.2626427406199023E-3</v>
      </c>
      <c r="D49" s="45">
        <f>(E25+E26)/E31</f>
        <v>3.910232363130834E-3</v>
      </c>
    </row>
    <row r="50" spans="1:5" x14ac:dyDescent="0.3">
      <c r="C50" s="32"/>
      <c r="D50" s="32"/>
      <c r="E50" s="32"/>
    </row>
    <row r="52" spans="1:5" x14ac:dyDescent="0.3">
      <c r="A52" s="54" t="s">
        <v>250</v>
      </c>
      <c r="B52" s="56">
        <v>594967</v>
      </c>
      <c r="C52" s="55">
        <v>591941</v>
      </c>
      <c r="D52" s="55">
        <v>646229</v>
      </c>
    </row>
    <row r="53" spans="1:5" x14ac:dyDescent="0.3">
      <c r="A53" s="54" t="s">
        <v>251</v>
      </c>
      <c r="B53" s="56">
        <v>42319</v>
      </c>
      <c r="C53" s="55">
        <v>52322</v>
      </c>
      <c r="D53" s="55">
        <v>33526</v>
      </c>
    </row>
    <row r="55" spans="1:5" x14ac:dyDescent="0.3">
      <c r="A55" s="39"/>
    </row>
    <row r="57" spans="1:5" x14ac:dyDescent="0.3">
      <c r="A57" s="24"/>
      <c r="B57" s="43">
        <v>2017</v>
      </c>
      <c r="C57" s="43">
        <v>2018</v>
      </c>
      <c r="D57" s="43">
        <v>2019</v>
      </c>
    </row>
    <row r="58" spans="1:5" x14ac:dyDescent="0.3">
      <c r="A58" s="24" t="s">
        <v>252</v>
      </c>
      <c r="B58" s="45">
        <f>C9/B62</f>
        <v>1.0434757032216426</v>
      </c>
      <c r="C58" s="45">
        <f>D9/C62</f>
        <v>1.0532907840477346</v>
      </c>
      <c r="D58" s="45">
        <f>E9/D62</f>
        <v>0.98677868062250373</v>
      </c>
    </row>
    <row r="59" spans="1:5" x14ac:dyDescent="0.3">
      <c r="A59" s="24" t="s">
        <v>253</v>
      </c>
      <c r="B59" s="45">
        <f>C5/B62</f>
        <v>0.8722066100145216</v>
      </c>
      <c r="C59" s="45">
        <f>D5/C62</f>
        <v>0.87667858789980757</v>
      </c>
      <c r="D59" s="45">
        <f>E5/D62</f>
        <v>0.80303112364192875</v>
      </c>
    </row>
    <row r="60" spans="1:5" x14ac:dyDescent="0.3">
      <c r="A60" s="24" t="s">
        <v>254</v>
      </c>
      <c r="B60" s="45">
        <f>C29/B63</f>
        <v>0.16422883338453176</v>
      </c>
      <c r="C60" s="45">
        <f>D29/C63</f>
        <v>0.24781162799587172</v>
      </c>
      <c r="D60" s="45">
        <f>E29/D63</f>
        <v>0.65823539939151698</v>
      </c>
    </row>
    <row r="62" spans="1:5" x14ac:dyDescent="0.3">
      <c r="A62" s="57" t="s">
        <v>255</v>
      </c>
      <c r="B62" s="59">
        <v>594976</v>
      </c>
      <c r="C62" s="58" t="s">
        <v>256</v>
      </c>
      <c r="D62" s="58" t="s">
        <v>257</v>
      </c>
    </row>
    <row r="63" spans="1:5" x14ac:dyDescent="0.3">
      <c r="A63" s="57" t="s">
        <v>251</v>
      </c>
      <c r="B63" s="61">
        <v>42319</v>
      </c>
      <c r="C63" s="60" t="s">
        <v>258</v>
      </c>
      <c r="D63" s="60" t="s">
        <v>259</v>
      </c>
    </row>
    <row r="64" spans="1:5" x14ac:dyDescent="0.3">
      <c r="A64" s="57" t="s">
        <v>260</v>
      </c>
      <c r="B64" s="56">
        <v>637282</v>
      </c>
      <c r="C64" s="55">
        <v>644263</v>
      </c>
      <c r="D64" s="62" t="s">
        <v>261</v>
      </c>
    </row>
    <row r="66" spans="1:4" x14ac:dyDescent="0.3">
      <c r="B66" s="43">
        <v>2017</v>
      </c>
      <c r="C66" s="43">
        <v>2018</v>
      </c>
      <c r="D66" s="43">
        <v>2019</v>
      </c>
    </row>
    <row r="67" spans="1:4" x14ac:dyDescent="0.3">
      <c r="A67" s="24" t="s">
        <v>262</v>
      </c>
      <c r="B67" s="45">
        <f>C9/C30</f>
        <v>37.766469979925787</v>
      </c>
      <c r="C67" s="45">
        <f>D9/D30</f>
        <v>30.008470905328007</v>
      </c>
      <c r="D67" s="45">
        <f>E9/E30</f>
        <v>15.157713334917993</v>
      </c>
    </row>
    <row r="77" spans="1:4" x14ac:dyDescent="0.3">
      <c r="A77" s="24" t="s">
        <v>263</v>
      </c>
      <c r="C77" s="43">
        <v>2018</v>
      </c>
      <c r="D77" s="43">
        <v>2019</v>
      </c>
    </row>
    <row r="78" spans="1:4" x14ac:dyDescent="0.3">
      <c r="C78" s="45">
        <f>C64/C31</f>
        <v>1.0109543341880047</v>
      </c>
      <c r="D78" s="45">
        <f>D64/D31</f>
        <v>1.055089303591856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A281-4A00-4E52-AC90-D33669B327CB}">
  <dimension ref="A1:Z64"/>
  <sheetViews>
    <sheetView topLeftCell="B1" zoomScale="85" zoomScaleNormal="85" workbookViewId="0">
      <selection activeCell="B51" sqref="B51"/>
    </sheetView>
  </sheetViews>
  <sheetFormatPr defaultRowHeight="14.4" x14ac:dyDescent="0.3"/>
  <cols>
    <col min="1" max="1" width="67" bestFit="1" customWidth="1"/>
    <col min="2" max="2" width="9" customWidth="1"/>
    <col min="3" max="5" width="14.109375" bestFit="1" customWidth="1"/>
    <col min="7" max="7" width="8.88671875" customWidth="1"/>
    <col min="8" max="8" width="13.6640625" customWidth="1"/>
    <col min="9" max="9" width="9.33203125" bestFit="1" customWidth="1"/>
    <col min="10" max="10" width="16.5546875" bestFit="1" customWidth="1"/>
    <col min="11" max="11" width="9.6640625" bestFit="1" customWidth="1"/>
    <col min="12" max="12" width="12.33203125" customWidth="1"/>
    <col min="13" max="13" width="16.6640625" bestFit="1" customWidth="1"/>
    <col min="14" max="14" width="9.109375" customWidth="1"/>
    <col min="15" max="15" width="9" bestFit="1" customWidth="1"/>
    <col min="16" max="16" width="11.88671875" customWidth="1"/>
    <col min="17" max="17" width="12.6640625" bestFit="1" customWidth="1"/>
    <col min="19" max="19" width="10" customWidth="1"/>
    <col min="20" max="20" width="11.88671875" customWidth="1"/>
  </cols>
  <sheetData>
    <row r="1" spans="1:26" x14ac:dyDescent="0.3">
      <c r="A1" t="s">
        <v>0</v>
      </c>
      <c r="B1" t="s">
        <v>1</v>
      </c>
      <c r="C1" t="s">
        <v>122</v>
      </c>
      <c r="D1" t="s">
        <v>3</v>
      </c>
      <c r="E1" t="s">
        <v>2</v>
      </c>
      <c r="G1" s="43"/>
      <c r="H1" s="43" t="s">
        <v>307</v>
      </c>
      <c r="I1" s="43"/>
      <c r="P1" s="43"/>
      <c r="Q1" s="43" t="s">
        <v>306</v>
      </c>
      <c r="R1" s="36"/>
      <c r="T1" s="43"/>
      <c r="U1" s="43" t="s">
        <v>211</v>
      </c>
      <c r="V1" s="36"/>
      <c r="X1" s="43"/>
      <c r="Y1" s="43" t="s">
        <v>212</v>
      </c>
      <c r="Z1" s="36"/>
    </row>
    <row r="2" spans="1:26" x14ac:dyDescent="0.3">
      <c r="A2" t="s">
        <v>305</v>
      </c>
      <c r="B2" t="s">
        <v>208</v>
      </c>
      <c r="C2" t="s">
        <v>209</v>
      </c>
      <c r="D2" t="s">
        <v>6</v>
      </c>
      <c r="E2" t="s">
        <v>5</v>
      </c>
      <c r="G2" s="43">
        <v>2017</v>
      </c>
      <c r="H2" s="43">
        <v>2018</v>
      </c>
      <c r="I2" s="43">
        <v>2019</v>
      </c>
      <c r="P2" s="43">
        <v>2018</v>
      </c>
      <c r="Q2" s="43">
        <v>2019</v>
      </c>
      <c r="R2" s="36"/>
      <c r="T2" s="43">
        <v>2018</v>
      </c>
      <c r="U2" s="43">
        <v>2019</v>
      </c>
      <c r="V2" s="36"/>
      <c r="X2" s="43">
        <v>2018</v>
      </c>
      <c r="Y2" s="43">
        <v>2019</v>
      </c>
      <c r="Z2" s="36"/>
    </row>
    <row r="3" spans="1:26" x14ac:dyDescent="0.3">
      <c r="C3" t="s">
        <v>7</v>
      </c>
      <c r="D3" t="s">
        <v>7</v>
      </c>
      <c r="E3" t="s">
        <v>7</v>
      </c>
      <c r="G3" s="44"/>
      <c r="H3" s="44"/>
      <c r="I3" s="44"/>
      <c r="P3" s="44"/>
      <c r="Q3" s="44"/>
      <c r="R3" s="36"/>
      <c r="T3" s="44"/>
      <c r="U3" s="44"/>
      <c r="V3" s="36"/>
      <c r="X3" s="44"/>
      <c r="Y3" s="44"/>
      <c r="Z3" s="36"/>
    </row>
    <row r="4" spans="1:26" x14ac:dyDescent="0.3">
      <c r="A4" s="24" t="s">
        <v>304</v>
      </c>
      <c r="B4" s="38"/>
      <c r="C4" s="38"/>
      <c r="D4" s="38"/>
      <c r="E4" s="38"/>
      <c r="G4" s="44"/>
      <c r="H4" s="44"/>
      <c r="I4" s="44"/>
      <c r="P4" s="44"/>
      <c r="Q4" s="44"/>
      <c r="R4" s="36"/>
      <c r="T4" s="44"/>
      <c r="U4" s="44"/>
      <c r="V4" s="36"/>
      <c r="X4" s="44"/>
      <c r="Y4" s="44"/>
      <c r="Z4" s="36"/>
    </row>
    <row r="5" spans="1:26" x14ac:dyDescent="0.3">
      <c r="A5" t="s">
        <v>303</v>
      </c>
      <c r="B5" s="38" t="s">
        <v>302</v>
      </c>
      <c r="C5" s="38">
        <v>599</v>
      </c>
      <c r="D5">
        <v>514</v>
      </c>
      <c r="E5" s="38">
        <v>385</v>
      </c>
      <c r="G5" s="45">
        <f t="shared" ref="G5:G14" si="0">C5/C$27</f>
        <v>9.3992926208491686E-4</v>
      </c>
      <c r="H5" s="45">
        <f t="shared" ref="H5:H14" si="1">D5/D$27</f>
        <v>7.9781083191181237E-4</v>
      </c>
      <c r="I5" s="45">
        <f t="shared" ref="I5:I14" si="2">E5/E$27</f>
        <v>5.6638053416304399E-4</v>
      </c>
      <c r="P5" s="47">
        <f t="shared" ref="P5:P13" si="3">D5-C5</f>
        <v>-85</v>
      </c>
      <c r="Q5" s="47">
        <f t="shared" ref="Q5:Q13" si="4">E5-D5</f>
        <v>-129</v>
      </c>
      <c r="R5" s="36"/>
      <c r="T5" s="45">
        <f t="shared" ref="T5:U7" si="5">(D5-C5) / C5</f>
        <v>-0.14190317195325541</v>
      </c>
      <c r="U5" s="45">
        <f t="shared" si="5"/>
        <v>-0.25097276264591439</v>
      </c>
      <c r="V5" s="65"/>
      <c r="X5" s="45">
        <f t="shared" ref="X5:Y7" si="6">D5/C5</f>
        <v>0.85809682804674459</v>
      </c>
      <c r="Y5" s="45">
        <f t="shared" si="6"/>
        <v>0.74902723735408561</v>
      </c>
      <c r="Z5" s="36"/>
    </row>
    <row r="6" spans="1:26" x14ac:dyDescent="0.3">
      <c r="A6" t="s">
        <v>301</v>
      </c>
      <c r="B6" s="38" t="s">
        <v>299</v>
      </c>
      <c r="C6" s="38">
        <v>894</v>
      </c>
      <c r="D6" s="29">
        <v>5695</v>
      </c>
      <c r="E6" s="29">
        <v>5626</v>
      </c>
      <c r="G6" s="45">
        <f t="shared" si="0"/>
        <v>1.4028326549314117E-3</v>
      </c>
      <c r="H6" s="45">
        <f t="shared" si="1"/>
        <v>8.8395577582446924E-3</v>
      </c>
      <c r="I6" s="45">
        <f t="shared" si="2"/>
        <v>8.276511390133209E-3</v>
      </c>
      <c r="P6" s="47">
        <f t="shared" si="3"/>
        <v>4801</v>
      </c>
      <c r="Q6" s="47">
        <f t="shared" si="4"/>
        <v>-69</v>
      </c>
      <c r="R6" s="36"/>
      <c r="T6" s="45">
        <f t="shared" si="5"/>
        <v>5.3702460850111855</v>
      </c>
      <c r="U6" s="45">
        <f t="shared" si="5"/>
        <v>-1.2115891132572432E-2</v>
      </c>
      <c r="V6" s="36"/>
      <c r="X6" s="45">
        <f t="shared" si="6"/>
        <v>6.3702460850111855</v>
      </c>
      <c r="Y6" s="45">
        <f t="shared" si="6"/>
        <v>0.98788410886742761</v>
      </c>
      <c r="Z6" s="36"/>
    </row>
    <row r="7" spans="1:26" x14ac:dyDescent="0.3">
      <c r="A7" t="s">
        <v>300</v>
      </c>
      <c r="B7" s="38" t="s">
        <v>299</v>
      </c>
      <c r="C7" s="38">
        <v>4567</v>
      </c>
      <c r="D7" s="29">
        <v>4567</v>
      </c>
      <c r="E7" s="29">
        <v>4567</v>
      </c>
      <c r="G7" s="45">
        <f t="shared" si="0"/>
        <v>7.1663721868811606E-3</v>
      </c>
      <c r="H7" s="45">
        <f t="shared" si="1"/>
        <v>7.0887199792631266E-3</v>
      </c>
      <c r="I7" s="45">
        <f t="shared" si="2"/>
        <v>6.7185971416172004E-3</v>
      </c>
      <c r="P7" s="47">
        <f t="shared" si="3"/>
        <v>0</v>
      </c>
      <c r="Q7" s="47">
        <f t="shared" si="4"/>
        <v>0</v>
      </c>
      <c r="R7" s="36"/>
      <c r="T7" s="45">
        <f t="shared" si="5"/>
        <v>0</v>
      </c>
      <c r="U7" s="45">
        <f t="shared" si="5"/>
        <v>0</v>
      </c>
      <c r="V7" s="36"/>
      <c r="X7" s="45">
        <f t="shared" si="6"/>
        <v>1</v>
      </c>
      <c r="Y7" s="45">
        <f t="shared" si="6"/>
        <v>1</v>
      </c>
      <c r="Z7" s="36"/>
    </row>
    <row r="8" spans="1:26" x14ac:dyDescent="0.3">
      <c r="A8" t="s">
        <v>298</v>
      </c>
      <c r="B8" s="38" t="s">
        <v>297</v>
      </c>
      <c r="C8" s="38">
        <v>87</v>
      </c>
      <c r="D8" s="38">
        <v>0</v>
      </c>
      <c r="E8">
        <v>376</v>
      </c>
      <c r="G8" s="45">
        <f t="shared" si="0"/>
        <v>1.3651727178862734E-4</v>
      </c>
      <c r="H8" s="45">
        <f t="shared" si="1"/>
        <v>0</v>
      </c>
      <c r="I8" s="45">
        <f t="shared" si="2"/>
        <v>5.5314046972806377E-4</v>
      </c>
      <c r="P8" s="47">
        <f t="shared" si="3"/>
        <v>-87</v>
      </c>
      <c r="Q8" s="47">
        <f t="shared" si="4"/>
        <v>376</v>
      </c>
      <c r="R8" s="36"/>
      <c r="T8" s="45">
        <f>(D8-C8) / C8</f>
        <v>-1</v>
      </c>
      <c r="U8" s="45">
        <v>0</v>
      </c>
      <c r="V8" s="36"/>
      <c r="X8" s="45">
        <f>D8/C8</f>
        <v>0</v>
      </c>
      <c r="Y8" s="45">
        <v>0</v>
      </c>
      <c r="Z8" s="36"/>
    </row>
    <row r="9" spans="1:26" x14ac:dyDescent="0.3">
      <c r="A9" t="s">
        <v>296</v>
      </c>
      <c r="B9" s="38" t="s">
        <v>295</v>
      </c>
      <c r="C9" s="38">
        <v>571101</v>
      </c>
      <c r="D9" s="29">
        <v>571174</v>
      </c>
      <c r="E9" s="29">
        <v>606812</v>
      </c>
      <c r="G9" s="45">
        <f t="shared" si="0"/>
        <v>0.89615115443398685</v>
      </c>
      <c r="H9" s="45">
        <f t="shared" si="1"/>
        <v>0.88655409359221315</v>
      </c>
      <c r="I9" s="45">
        <f t="shared" si="2"/>
        <v>0.89269221999102621</v>
      </c>
      <c r="P9" s="47">
        <f t="shared" si="3"/>
        <v>73</v>
      </c>
      <c r="Q9" s="47">
        <f t="shared" si="4"/>
        <v>35638</v>
      </c>
      <c r="R9" s="36"/>
      <c r="T9" s="45">
        <f>(D9-C9) / C9</f>
        <v>1.2782327469221732E-4</v>
      </c>
      <c r="U9" s="45">
        <f t="shared" ref="U9:U14" si="7">(E9-D9) / D9</f>
        <v>6.2394296659161658E-2</v>
      </c>
      <c r="V9" s="36"/>
      <c r="X9" s="45">
        <f>D9/C9</f>
        <v>1.0001278232746922</v>
      </c>
      <c r="Y9" s="45">
        <f t="shared" ref="Y9:Y14" si="8">E9/D9</f>
        <v>1.0623942966591617</v>
      </c>
      <c r="Z9" s="36"/>
    </row>
    <row r="10" spans="1:26" x14ac:dyDescent="0.3">
      <c r="A10" t="s">
        <v>294</v>
      </c>
      <c r="B10" s="38" t="s">
        <v>228</v>
      </c>
      <c r="C10" s="38">
        <v>83</v>
      </c>
      <c r="D10">
        <v>565</v>
      </c>
      <c r="E10">
        <v>713</v>
      </c>
      <c r="G10" s="45">
        <f t="shared" si="0"/>
        <v>1.3024061561443757E-4</v>
      </c>
      <c r="H10" s="45">
        <f t="shared" si="1"/>
        <v>8.7697105064236188E-4</v>
      </c>
      <c r="I10" s="45">
        <f t="shared" si="2"/>
        <v>1.0489073269045466E-3</v>
      </c>
      <c r="P10" s="47">
        <f t="shared" si="3"/>
        <v>482</v>
      </c>
      <c r="Q10" s="47">
        <f t="shared" si="4"/>
        <v>148</v>
      </c>
      <c r="R10" s="36"/>
      <c r="T10" s="45" t="s">
        <v>293</v>
      </c>
      <c r="U10" s="45">
        <f t="shared" si="7"/>
        <v>0.26194690265486725</v>
      </c>
      <c r="V10" s="36"/>
      <c r="X10" s="45">
        <f>D10/C10</f>
        <v>6.8072289156626509</v>
      </c>
      <c r="Y10" s="45">
        <f t="shared" si="8"/>
        <v>1.2619469026548673</v>
      </c>
      <c r="Z10" s="36"/>
    </row>
    <row r="11" spans="1:26" x14ac:dyDescent="0.3">
      <c r="A11" t="s">
        <v>290</v>
      </c>
      <c r="B11" s="38" t="s">
        <v>289</v>
      </c>
      <c r="C11" s="38">
        <v>3459</v>
      </c>
      <c r="D11" s="29">
        <v>1927</v>
      </c>
      <c r="E11">
        <v>579</v>
      </c>
      <c r="G11" s="45">
        <f t="shared" si="0"/>
        <v>5.4277384266305968E-3</v>
      </c>
      <c r="H11" s="45">
        <f t="shared" si="1"/>
        <v>2.991014539093507E-3</v>
      </c>
      <c r="I11" s="45">
        <f t="shared" si="2"/>
        <v>8.5177747865039608E-4</v>
      </c>
      <c r="P11" s="47">
        <f t="shared" si="3"/>
        <v>-1532</v>
      </c>
      <c r="Q11" s="47">
        <f t="shared" si="4"/>
        <v>-1348</v>
      </c>
      <c r="R11" s="36"/>
      <c r="T11" s="45">
        <f>(D11-C11) / C11</f>
        <v>-0.44290257299797631</v>
      </c>
      <c r="U11" s="45">
        <f t="shared" si="7"/>
        <v>-0.69953295277633631</v>
      </c>
      <c r="V11" s="36"/>
      <c r="X11" s="45">
        <f>D11/C11</f>
        <v>0.55709742700202369</v>
      </c>
      <c r="Y11" s="45">
        <f t="shared" si="8"/>
        <v>0.30046704722366374</v>
      </c>
      <c r="Z11" s="36"/>
    </row>
    <row r="12" spans="1:26" x14ac:dyDescent="0.3">
      <c r="A12" t="s">
        <v>286</v>
      </c>
      <c r="B12" s="38" t="s">
        <v>285</v>
      </c>
      <c r="C12" s="38">
        <v>14173</v>
      </c>
      <c r="D12" s="29">
        <v>11637</v>
      </c>
      <c r="E12" s="29">
        <v>31738</v>
      </c>
      <c r="G12" s="45">
        <f t="shared" si="0"/>
        <v>2.2239761989197873E-2</v>
      </c>
      <c r="H12" s="45">
        <f t="shared" si="1"/>
        <v>1.8062499320929497E-2</v>
      </c>
      <c r="I12" s="45">
        <f t="shared" si="2"/>
        <v>4.6690351670822576E-2</v>
      </c>
      <c r="P12" s="47">
        <f t="shared" si="3"/>
        <v>-2536</v>
      </c>
      <c r="Q12" s="47">
        <f t="shared" si="4"/>
        <v>20101</v>
      </c>
      <c r="R12" s="36"/>
      <c r="T12" s="45">
        <f>(D12-C12) / C12</f>
        <v>-0.17893177167854371</v>
      </c>
      <c r="U12" s="45">
        <f t="shared" si="7"/>
        <v>1.7273352238549455</v>
      </c>
      <c r="V12" s="36"/>
      <c r="X12" s="45">
        <f>D12/C12</f>
        <v>0.82106822832145632</v>
      </c>
      <c r="Y12" s="45">
        <f t="shared" si="8"/>
        <v>2.7273352238549453</v>
      </c>
      <c r="Z12" s="36"/>
    </row>
    <row r="13" spans="1:26" x14ac:dyDescent="0.3">
      <c r="A13" t="s">
        <v>288</v>
      </c>
      <c r="B13" s="38" t="s">
        <v>287</v>
      </c>
      <c r="C13" s="38">
        <v>0</v>
      </c>
      <c r="D13">
        <v>429</v>
      </c>
      <c r="E13" s="38">
        <v>0</v>
      </c>
      <c r="G13" s="45">
        <f t="shared" si="0"/>
        <v>0</v>
      </c>
      <c r="H13" s="45">
        <f t="shared" si="1"/>
        <v>6.6587713402756329E-4</v>
      </c>
      <c r="I13" s="45">
        <f t="shared" si="2"/>
        <v>0</v>
      </c>
      <c r="P13" s="47">
        <f t="shared" si="3"/>
        <v>429</v>
      </c>
      <c r="Q13" s="47">
        <f t="shared" si="4"/>
        <v>-429</v>
      </c>
      <c r="R13" s="36"/>
      <c r="T13" s="45">
        <v>0</v>
      </c>
      <c r="U13" s="45">
        <f t="shared" si="7"/>
        <v>-1</v>
      </c>
      <c r="V13" s="36"/>
      <c r="X13" s="45">
        <v>0</v>
      </c>
      <c r="Y13" s="45">
        <f t="shared" si="8"/>
        <v>0</v>
      </c>
      <c r="Z13" s="36"/>
    </row>
    <row r="14" spans="1:26" x14ac:dyDescent="0.3">
      <c r="B14" s="38"/>
      <c r="C14" s="39">
        <f>SUM(C5:C13)</f>
        <v>594963</v>
      </c>
      <c r="D14" s="30">
        <v>591941</v>
      </c>
      <c r="E14" s="30">
        <v>646229</v>
      </c>
      <c r="G14" s="46">
        <f t="shared" si="0"/>
        <v>0.93359454684111587</v>
      </c>
      <c r="H14" s="46">
        <f t="shared" si="1"/>
        <v>0.91878782422706251</v>
      </c>
      <c r="I14" s="46">
        <f t="shared" si="2"/>
        <v>0.95067928886142805</v>
      </c>
      <c r="P14" s="47"/>
      <c r="Q14" s="47"/>
      <c r="R14" s="36"/>
      <c r="T14" s="46">
        <f>(D14-C14) / C14</f>
        <v>-5.079307452732355E-3</v>
      </c>
      <c r="U14" s="46">
        <f t="shared" si="7"/>
        <v>9.1711842903262314E-2</v>
      </c>
      <c r="V14" s="36"/>
      <c r="X14" s="46">
        <f>D14/C14</f>
        <v>0.99492069254726767</v>
      </c>
      <c r="Y14" s="46">
        <f t="shared" si="8"/>
        <v>1.0917118429032624</v>
      </c>
      <c r="Z14" s="36"/>
    </row>
    <row r="15" spans="1:26" x14ac:dyDescent="0.3">
      <c r="A15" s="24" t="s">
        <v>251</v>
      </c>
      <c r="B15" s="38"/>
      <c r="C15" s="38"/>
      <c r="D15" s="38"/>
      <c r="E15" s="38"/>
      <c r="G15" s="45"/>
      <c r="H15" s="45"/>
      <c r="I15" s="45"/>
      <c r="P15" s="47"/>
      <c r="Q15" s="47"/>
      <c r="R15" s="36"/>
      <c r="T15" s="48"/>
      <c r="U15" s="48"/>
      <c r="V15" s="36"/>
      <c r="X15" s="45"/>
      <c r="Y15" s="45"/>
      <c r="Z15" s="36"/>
    </row>
    <row r="16" spans="1:26" x14ac:dyDescent="0.3">
      <c r="A16" t="s">
        <v>292</v>
      </c>
      <c r="B16" s="38" t="s">
        <v>289</v>
      </c>
      <c r="C16" s="38">
        <v>2377</v>
      </c>
      <c r="D16" s="29">
        <v>5436</v>
      </c>
      <c r="E16" s="29">
        <v>3617</v>
      </c>
      <c r="G16" s="45">
        <f t="shared" ref="G16:G24" si="9">C16/C$27</f>
        <v>3.729902931512266E-3</v>
      </c>
      <c r="H16" s="45">
        <f t="shared" ref="H16:H24" si="10">D16/D$27</f>
        <v>8.4375480199856273E-3</v>
      </c>
      <c r="I16" s="45">
        <f t="shared" ref="I16:I24" si="11">E16/E$27</f>
        <v>5.3210347845915069E-3</v>
      </c>
      <c r="P16" s="47">
        <f t="shared" ref="P16:P24" si="12">D16-C16</f>
        <v>3059</v>
      </c>
      <c r="Q16" s="47">
        <f t="shared" ref="Q16:Q24" si="13">E16-D16</f>
        <v>-1819</v>
      </c>
      <c r="R16" s="36"/>
      <c r="T16" s="45">
        <f>(D16-C16) / C16</f>
        <v>1.286916281026504</v>
      </c>
      <c r="U16" s="45">
        <f>(E16-D16) / D16</f>
        <v>-0.33462104488594557</v>
      </c>
      <c r="V16" s="36"/>
      <c r="X16" s="45">
        <f>D16/C16</f>
        <v>2.286916281026504</v>
      </c>
      <c r="Y16" s="45">
        <f>E16/D16</f>
        <v>0.66537895511405443</v>
      </c>
      <c r="Z16" s="36"/>
    </row>
    <row r="17" spans="1:26" x14ac:dyDescent="0.3">
      <c r="A17" t="s">
        <v>291</v>
      </c>
      <c r="B17" s="38" t="s">
        <v>289</v>
      </c>
      <c r="C17" s="38">
        <v>0</v>
      </c>
      <c r="D17">
        <v>44</v>
      </c>
      <c r="E17" s="38">
        <v>0</v>
      </c>
      <c r="G17" s="45">
        <f t="shared" si="9"/>
        <v>0</v>
      </c>
      <c r="H17" s="45">
        <f t="shared" si="10"/>
        <v>6.8295090669493665E-5</v>
      </c>
      <c r="I17" s="45">
        <f t="shared" si="11"/>
        <v>0</v>
      </c>
      <c r="P17" s="47">
        <f t="shared" si="12"/>
        <v>44</v>
      </c>
      <c r="Q17" s="47">
        <f t="shared" si="13"/>
        <v>-44</v>
      </c>
      <c r="R17" s="36"/>
      <c r="T17" s="45">
        <v>0</v>
      </c>
      <c r="U17" s="45">
        <f>(E17-D17) / D17</f>
        <v>-1</v>
      </c>
      <c r="V17" s="36"/>
      <c r="X17" s="45">
        <v>0</v>
      </c>
      <c r="Y17" s="45">
        <v>1</v>
      </c>
      <c r="Z17" s="36"/>
    </row>
    <row r="18" spans="1:26" x14ac:dyDescent="0.3">
      <c r="A18" t="s">
        <v>290</v>
      </c>
      <c r="B18" s="38" t="s">
        <v>289</v>
      </c>
      <c r="C18" s="38">
        <v>0</v>
      </c>
      <c r="D18" s="29">
        <v>1521</v>
      </c>
      <c r="E18" s="29">
        <v>1642</v>
      </c>
      <c r="G18" s="45">
        <f t="shared" si="9"/>
        <v>0</v>
      </c>
      <c r="H18" s="45">
        <f t="shared" si="10"/>
        <v>2.3608371115522698E-3</v>
      </c>
      <c r="I18" s="45">
        <f t="shared" si="11"/>
        <v>2.4155762002486189E-3</v>
      </c>
      <c r="P18" s="47">
        <f t="shared" si="12"/>
        <v>1521</v>
      </c>
      <c r="Q18" s="47">
        <f t="shared" si="13"/>
        <v>121</v>
      </c>
      <c r="R18" s="36"/>
      <c r="T18" s="45">
        <v>0</v>
      </c>
      <c r="U18" s="45">
        <f>(E18-D18) / D18</f>
        <v>7.955292570677186E-2</v>
      </c>
      <c r="V18" s="36"/>
      <c r="X18" s="45">
        <v>0</v>
      </c>
      <c r="Y18" s="45">
        <f>E18/D18</f>
        <v>1.079552925706772</v>
      </c>
      <c r="Z18" s="36"/>
    </row>
    <row r="19" spans="1:26" x14ac:dyDescent="0.3">
      <c r="A19" t="s">
        <v>288</v>
      </c>
      <c r="B19" s="38" t="s">
        <v>287</v>
      </c>
      <c r="C19" s="38">
        <v>441</v>
      </c>
      <c r="D19" s="29">
        <v>1720</v>
      </c>
      <c r="E19" s="29">
        <v>1228</v>
      </c>
      <c r="G19" s="45">
        <f t="shared" si="9"/>
        <v>6.9200134320442129E-4</v>
      </c>
      <c r="H19" s="45">
        <f t="shared" si="10"/>
        <v>2.6697171807165709E-3</v>
      </c>
      <c r="I19" s="45">
        <f t="shared" si="11"/>
        <v>1.8065332362395274E-3</v>
      </c>
      <c r="P19" s="47">
        <f t="shared" si="12"/>
        <v>1279</v>
      </c>
      <c r="Q19" s="47">
        <f t="shared" si="13"/>
        <v>-492</v>
      </c>
      <c r="R19" s="36"/>
      <c r="T19" s="45">
        <f>(D19-C19) / C19</f>
        <v>2.9002267573696145</v>
      </c>
      <c r="U19" s="45">
        <f>(E19-D19) / D19</f>
        <v>-0.28604651162790695</v>
      </c>
      <c r="V19" s="36"/>
      <c r="X19" s="45">
        <f>D19/C19</f>
        <v>3.9002267573696145</v>
      </c>
      <c r="Y19" s="45">
        <f>E19/D19</f>
        <v>0.71395348837209305</v>
      </c>
      <c r="Z19" s="36"/>
    </row>
    <row r="20" spans="1:26" x14ac:dyDescent="0.3">
      <c r="A20" t="s">
        <v>286</v>
      </c>
      <c r="B20" s="38" t="s">
        <v>285</v>
      </c>
      <c r="C20" s="38">
        <v>0</v>
      </c>
      <c r="D20" s="29">
        <v>6657</v>
      </c>
      <c r="E20" s="29">
        <v>15995</v>
      </c>
      <c r="G20" s="45">
        <f t="shared" si="9"/>
        <v>0</v>
      </c>
      <c r="H20" s="45">
        <f t="shared" si="10"/>
        <v>1.0332736786064077E-2</v>
      </c>
      <c r="I20" s="45">
        <f t="shared" si="11"/>
        <v>2.3530536737501013E-2</v>
      </c>
      <c r="P20" s="47">
        <f t="shared" si="12"/>
        <v>6657</v>
      </c>
      <c r="Q20" s="47">
        <f t="shared" si="13"/>
        <v>9338</v>
      </c>
      <c r="R20" s="36"/>
      <c r="T20" s="45">
        <v>0</v>
      </c>
      <c r="U20" s="45">
        <f>(E20-D20) / D20</f>
        <v>1.4027339642481598</v>
      </c>
      <c r="V20" s="36"/>
      <c r="X20" s="45">
        <v>0</v>
      </c>
      <c r="Y20" s="45">
        <f>E20/D20</f>
        <v>2.40273396424816</v>
      </c>
      <c r="Z20" s="36"/>
    </row>
    <row r="21" spans="1:26" x14ac:dyDescent="0.3">
      <c r="A21" t="s">
        <v>284</v>
      </c>
      <c r="B21" s="38" t="s">
        <v>120</v>
      </c>
      <c r="C21" s="38">
        <v>26074</v>
      </c>
      <c r="D21" s="29">
        <v>36944</v>
      </c>
      <c r="E21" s="29">
        <v>11044</v>
      </c>
      <c r="G21" s="45">
        <f t="shared" si="9"/>
        <v>4.0914383271455967E-2</v>
      </c>
      <c r="H21" s="45">
        <f t="shared" si="10"/>
        <v>5.7343041583949414E-2</v>
      </c>
      <c r="I21" s="45">
        <f t="shared" si="11"/>
        <v>1.624703017999132E-2</v>
      </c>
      <c r="P21" s="47">
        <f t="shared" si="12"/>
        <v>10870</v>
      </c>
      <c r="Q21" s="47">
        <f t="shared" si="13"/>
        <v>-25900</v>
      </c>
      <c r="R21" s="36"/>
      <c r="T21" s="45">
        <f>(D21-C21) / C21</f>
        <v>0.41689038889315028</v>
      </c>
      <c r="U21" s="45">
        <f>(E21-D21) / D21</f>
        <v>-0.70106106539627544</v>
      </c>
      <c r="V21" s="36"/>
      <c r="X21" s="45">
        <f>D21/C21</f>
        <v>1.4168903888931503</v>
      </c>
      <c r="Y21" s="45">
        <f>E21/D21</f>
        <v>0.29893893460372456</v>
      </c>
      <c r="Z21" s="36"/>
    </row>
    <row r="22" spans="1:26" x14ac:dyDescent="0.3">
      <c r="A22" t="s">
        <v>283</v>
      </c>
      <c r="B22" s="38"/>
      <c r="C22" s="38">
        <v>0</v>
      </c>
      <c r="D22" s="38">
        <v>0</v>
      </c>
      <c r="E22" s="38">
        <v>0</v>
      </c>
      <c r="G22" s="45">
        <f t="shared" si="9"/>
        <v>0</v>
      </c>
      <c r="H22" s="45">
        <f t="shared" si="10"/>
        <v>0</v>
      </c>
      <c r="I22" s="45">
        <f t="shared" si="11"/>
        <v>0</v>
      </c>
      <c r="P22" s="47">
        <f t="shared" si="12"/>
        <v>0</v>
      </c>
      <c r="Q22" s="47">
        <f t="shared" si="13"/>
        <v>0</v>
      </c>
      <c r="R22" s="36"/>
      <c r="T22" s="45">
        <v>0</v>
      </c>
      <c r="U22" s="45">
        <v>0</v>
      </c>
      <c r="V22" s="36"/>
      <c r="X22" s="45">
        <v>0</v>
      </c>
      <c r="Y22" s="45">
        <v>0</v>
      </c>
      <c r="Z22" s="36"/>
    </row>
    <row r="23" spans="1:26" x14ac:dyDescent="0.3">
      <c r="A23" t="s">
        <v>282</v>
      </c>
      <c r="B23" s="38"/>
      <c r="C23" s="38">
        <v>2586</v>
      </c>
      <c r="D23" s="38">
        <v>0</v>
      </c>
      <c r="E23" s="38">
        <v>0</v>
      </c>
      <c r="G23" s="45">
        <f t="shared" si="9"/>
        <v>4.0578582166136811E-3</v>
      </c>
      <c r="H23" s="45">
        <f t="shared" si="10"/>
        <v>0</v>
      </c>
      <c r="I23" s="45">
        <f t="shared" si="11"/>
        <v>0</v>
      </c>
      <c r="P23" s="47">
        <f t="shared" si="12"/>
        <v>-2586</v>
      </c>
      <c r="Q23" s="47">
        <f t="shared" si="13"/>
        <v>0</v>
      </c>
      <c r="R23" s="36"/>
      <c r="T23" s="45">
        <f>(D23-C23) / C23</f>
        <v>-1</v>
      </c>
      <c r="U23" s="45">
        <v>0</v>
      </c>
      <c r="V23" s="36"/>
      <c r="X23" s="45">
        <f>D23/C23</f>
        <v>0</v>
      </c>
      <c r="Y23" s="45">
        <v>0</v>
      </c>
      <c r="Z23" s="36"/>
    </row>
    <row r="24" spans="1:26" x14ac:dyDescent="0.3">
      <c r="A24" t="s">
        <v>281</v>
      </c>
      <c r="B24" s="38"/>
      <c r="C24" s="38">
        <v>10841</v>
      </c>
      <c r="D24" s="38">
        <v>0</v>
      </c>
      <c r="E24" s="38">
        <v>0</v>
      </c>
      <c r="G24" s="45">
        <f t="shared" si="9"/>
        <v>1.7011307396097804E-2</v>
      </c>
      <c r="H24" s="45">
        <f t="shared" si="10"/>
        <v>0</v>
      </c>
      <c r="I24" s="45">
        <f t="shared" si="11"/>
        <v>0</v>
      </c>
      <c r="P24" s="47">
        <f t="shared" si="12"/>
        <v>-10841</v>
      </c>
      <c r="Q24" s="47">
        <f t="shared" si="13"/>
        <v>0</v>
      </c>
      <c r="R24" s="36"/>
      <c r="T24" s="45">
        <f>(D24-C24) / C24</f>
        <v>-1</v>
      </c>
      <c r="U24" s="45">
        <v>0</v>
      </c>
      <c r="V24" s="36"/>
      <c r="X24" s="45">
        <f>D24/C24</f>
        <v>0</v>
      </c>
      <c r="Y24" s="45">
        <v>0</v>
      </c>
      <c r="Z24" s="36"/>
    </row>
    <row r="25" spans="1:26" x14ac:dyDescent="0.3">
      <c r="B25" s="38"/>
      <c r="C25" s="38"/>
      <c r="D25" s="38"/>
      <c r="E25" s="38"/>
      <c r="G25" s="45"/>
      <c r="H25" s="45"/>
      <c r="I25" s="45"/>
      <c r="P25" s="47"/>
      <c r="Q25" s="47"/>
      <c r="R25" s="36"/>
      <c r="T25" s="45"/>
      <c r="U25" s="45"/>
      <c r="V25" s="36"/>
      <c r="X25" s="45">
        <v>0</v>
      </c>
      <c r="Y25" s="45">
        <v>0</v>
      </c>
      <c r="Z25" s="36"/>
    </row>
    <row r="26" spans="1:26" x14ac:dyDescent="0.3">
      <c r="B26" s="38"/>
      <c r="C26" s="39">
        <f>SUM(C16:C24)</f>
        <v>42319</v>
      </c>
      <c r="D26" s="30">
        <v>52322</v>
      </c>
      <c r="E26" s="30">
        <v>33526</v>
      </c>
      <c r="G26" s="46">
        <f>C26/C$27</f>
        <v>6.6405453158884131E-2</v>
      </c>
      <c r="H26" s="46">
        <f>D26/D$27</f>
        <v>8.1212175772937448E-2</v>
      </c>
      <c r="I26" s="46">
        <f>E26/E$27</f>
        <v>4.9320711138571983E-2</v>
      </c>
      <c r="P26" s="47">
        <f>D26-C26</f>
        <v>10003</v>
      </c>
      <c r="Q26" s="47">
        <f>E26-D26</f>
        <v>-18796</v>
      </c>
      <c r="R26" s="64"/>
      <c r="T26" s="46">
        <f>(D26-C26) / C26</f>
        <v>0.23637136983388077</v>
      </c>
      <c r="U26" s="46">
        <f>(E26-D26) / D26</f>
        <v>-0.35923703222353887</v>
      </c>
      <c r="V26" s="64"/>
      <c r="X26" s="46">
        <f>D26/C26</f>
        <v>1.2363713698338807</v>
      </c>
      <c r="Y26" s="46">
        <f>E26/D26</f>
        <v>0.64076296777646113</v>
      </c>
      <c r="Z26" s="35"/>
    </row>
    <row r="27" spans="1:26" x14ac:dyDescent="0.3">
      <c r="A27" t="s">
        <v>280</v>
      </c>
      <c r="B27" s="38"/>
      <c r="C27" s="39">
        <v>637282</v>
      </c>
      <c r="D27" s="30">
        <v>644263</v>
      </c>
      <c r="E27" s="42" t="s">
        <v>261</v>
      </c>
      <c r="I27" s="32"/>
      <c r="O27" s="32"/>
      <c r="P27" s="32"/>
      <c r="Q27" s="33"/>
      <c r="R27" s="33"/>
      <c r="U27" s="33"/>
      <c r="V27" s="33"/>
    </row>
    <row r="28" spans="1:26" x14ac:dyDescent="0.3">
      <c r="B28" s="38"/>
      <c r="C28" s="38"/>
      <c r="D28" s="38"/>
      <c r="E28" s="38"/>
      <c r="L28" s="24"/>
      <c r="M28" s="24"/>
      <c r="N28" s="24"/>
      <c r="O28" s="24"/>
      <c r="Q28" s="24"/>
      <c r="R28" s="24"/>
      <c r="S28" s="24"/>
    </row>
    <row r="29" spans="1:26" x14ac:dyDescent="0.3">
      <c r="A29" t="s">
        <v>240</v>
      </c>
      <c r="B29" s="38"/>
      <c r="C29" s="39">
        <v>637282</v>
      </c>
      <c r="D29" s="39">
        <v>644263</v>
      </c>
      <c r="E29" s="39">
        <v>679755</v>
      </c>
      <c r="M29" s="24"/>
      <c r="N29" s="24"/>
      <c r="P29" s="24"/>
      <c r="Q29" s="24"/>
      <c r="R29" s="24"/>
      <c r="S29" s="24"/>
    </row>
    <row r="30" spans="1:26" x14ac:dyDescent="0.3">
      <c r="B30" s="38"/>
      <c r="C30" s="38"/>
      <c r="D30" s="38"/>
      <c r="E30" s="38"/>
      <c r="M30" s="24"/>
      <c r="N30" s="24"/>
      <c r="O30" s="24"/>
      <c r="P30" s="24"/>
      <c r="Q30" s="24"/>
      <c r="R30" s="24"/>
      <c r="S30" s="24"/>
    </row>
    <row r="31" spans="1:26" x14ac:dyDescent="0.3">
      <c r="A31" s="24" t="s">
        <v>279</v>
      </c>
      <c r="B31" s="38"/>
      <c r="C31" s="43">
        <v>2017</v>
      </c>
      <c r="D31" s="43">
        <v>2018</v>
      </c>
      <c r="E31" s="43">
        <v>2019</v>
      </c>
      <c r="M31" s="24"/>
      <c r="N31" s="24"/>
      <c r="O31" s="24"/>
      <c r="P31" s="24"/>
      <c r="Q31" s="24"/>
      <c r="R31" s="24"/>
      <c r="S31" s="24"/>
    </row>
    <row r="32" spans="1:26" x14ac:dyDescent="0.3">
      <c r="A32" s="24" t="s">
        <v>278</v>
      </c>
      <c r="C32" s="44"/>
      <c r="D32" s="44"/>
      <c r="E32" s="44"/>
      <c r="M32" s="24"/>
      <c r="N32" s="24"/>
      <c r="O32" s="24"/>
      <c r="P32" s="24"/>
      <c r="Q32" s="24"/>
      <c r="R32" s="24"/>
      <c r="S32" s="24"/>
    </row>
    <row r="33" spans="1:19" x14ac:dyDescent="0.3">
      <c r="C33" s="44"/>
      <c r="D33" s="44"/>
      <c r="E33" s="44"/>
      <c r="M33" s="24"/>
      <c r="N33" s="24"/>
      <c r="O33" s="24"/>
      <c r="P33" s="24"/>
      <c r="Q33" s="24"/>
      <c r="R33" s="24"/>
      <c r="S33" s="24"/>
    </row>
    <row r="34" spans="1:19" x14ac:dyDescent="0.3">
      <c r="A34" t="s">
        <v>277</v>
      </c>
      <c r="C34" s="46">
        <f>C14/C27</f>
        <v>0.93359454684111587</v>
      </c>
      <c r="D34" s="46">
        <f>D14/D27</f>
        <v>0.91878782422706251</v>
      </c>
      <c r="E34" s="46">
        <f>E14/E27</f>
        <v>0.95067928886142805</v>
      </c>
      <c r="M34" s="24"/>
      <c r="N34" s="24"/>
      <c r="O34" s="24"/>
      <c r="P34" s="24"/>
      <c r="Q34" s="24"/>
      <c r="R34" s="24"/>
      <c r="S34" s="24"/>
    </row>
    <row r="35" spans="1:19" x14ac:dyDescent="0.3">
      <c r="C35" s="46"/>
      <c r="D35" s="46"/>
      <c r="E35" s="46"/>
      <c r="M35" s="24"/>
      <c r="N35" s="24"/>
      <c r="O35" s="24"/>
      <c r="P35" s="24"/>
      <c r="Q35" s="24"/>
      <c r="R35" s="24"/>
      <c r="S35" s="24"/>
    </row>
    <row r="36" spans="1:19" x14ac:dyDescent="0.3">
      <c r="A36" t="s">
        <v>276</v>
      </c>
      <c r="C36" s="46">
        <f>C26/C27</f>
        <v>6.6405453158884131E-2</v>
      </c>
      <c r="D36" s="46">
        <f>D26/D27</f>
        <v>8.1212175772937448E-2</v>
      </c>
      <c r="E36" s="46">
        <f>E26/E27</f>
        <v>4.9320711138571983E-2</v>
      </c>
      <c r="M36" s="24"/>
      <c r="N36" s="24"/>
      <c r="O36" s="24"/>
      <c r="P36" s="24"/>
      <c r="Q36" s="24"/>
      <c r="R36" s="24"/>
      <c r="S36" s="24"/>
    </row>
    <row r="37" spans="1:19" x14ac:dyDescent="0.3">
      <c r="C37" s="46"/>
      <c r="D37" s="46"/>
      <c r="E37" s="46"/>
      <c r="M37" s="24"/>
      <c r="N37" s="24"/>
      <c r="O37" s="24"/>
      <c r="P37" s="24"/>
      <c r="Q37" s="24"/>
      <c r="R37" s="24"/>
      <c r="S37" s="24"/>
    </row>
    <row r="38" spans="1:19" x14ac:dyDescent="0.3">
      <c r="A38" t="s">
        <v>275</v>
      </c>
      <c r="C38" s="46">
        <f>C14/C26</f>
        <v>14.059004229778587</v>
      </c>
      <c r="D38" s="46">
        <f>D14/D26</f>
        <v>11.31342456328122</v>
      </c>
      <c r="E38" s="46">
        <f>E14/E26</f>
        <v>19.275457853606156</v>
      </c>
      <c r="M38" s="24"/>
      <c r="N38" s="24"/>
      <c r="O38" s="24"/>
      <c r="P38" s="24"/>
      <c r="Q38" s="24"/>
      <c r="R38" s="24"/>
      <c r="S38" s="24"/>
    </row>
    <row r="53" spans="1:5" x14ac:dyDescent="0.3">
      <c r="C53" s="34">
        <v>2017</v>
      </c>
      <c r="D53" s="34">
        <v>2018</v>
      </c>
      <c r="E53" s="34">
        <v>2019</v>
      </c>
    </row>
    <row r="54" spans="1:5" x14ac:dyDescent="0.3">
      <c r="A54" t="s">
        <v>274</v>
      </c>
      <c r="C54" s="45">
        <f>C14/C27</f>
        <v>0.93359454684111587</v>
      </c>
      <c r="D54" s="45">
        <f>D14/D27</f>
        <v>0.91878782422706251</v>
      </c>
      <c r="E54" s="45">
        <f>E14/E27</f>
        <v>0.95067928886142805</v>
      </c>
    </row>
    <row r="55" spans="1:5" x14ac:dyDescent="0.3">
      <c r="A55" t="s">
        <v>273</v>
      </c>
      <c r="C55" s="45">
        <f>C26/C27</f>
        <v>6.6405453158884131E-2</v>
      </c>
      <c r="D55" s="45">
        <f>D26/D27</f>
        <v>8.1212175772937448E-2</v>
      </c>
      <c r="E55" s="45">
        <f>E26/E27</f>
        <v>4.9320711138571983E-2</v>
      </c>
    </row>
    <row r="56" spans="1:5" x14ac:dyDescent="0.3">
      <c r="A56" t="s">
        <v>272</v>
      </c>
      <c r="C56" s="45">
        <f>(C6+C7+C8)/C27</f>
        <v>8.7057221136012004E-3</v>
      </c>
      <c r="D56" s="45">
        <f>(D6+D7+D8)/D27</f>
        <v>1.592827773750782E-2</v>
      </c>
      <c r="E56" s="45">
        <f>(E6+E7+E8)/E27</f>
        <v>1.5548249001478474E-2</v>
      </c>
    </row>
    <row r="57" spans="1:5" x14ac:dyDescent="0.3">
      <c r="A57" t="s">
        <v>271</v>
      </c>
      <c r="C57" s="45">
        <f>C5/C27</f>
        <v>9.3992926208491686E-4</v>
      </c>
      <c r="D57" s="45">
        <f>D5/D27</f>
        <v>7.9781083191181237E-4</v>
      </c>
      <c r="E57" s="45">
        <f>E5/E27</f>
        <v>5.6638053416304399E-4</v>
      </c>
    </row>
    <row r="58" spans="1:5" x14ac:dyDescent="0.3">
      <c r="A58" t="s">
        <v>270</v>
      </c>
      <c r="C58" s="45">
        <f>(C11+C10)/C27</f>
        <v>5.5579790422450341E-3</v>
      </c>
      <c r="D58" s="45">
        <f>(D11+D10)/D27</f>
        <v>3.8679855897358686E-3</v>
      </c>
      <c r="E58" s="45">
        <f>(E11+E10)/E27</f>
        <v>1.9006848055549426E-3</v>
      </c>
    </row>
    <row r="59" spans="1:5" x14ac:dyDescent="0.3">
      <c r="A59" t="s">
        <v>269</v>
      </c>
      <c r="C59" s="45">
        <f>C9/C27</f>
        <v>0.89615115443398685</v>
      </c>
      <c r="D59" s="45">
        <f>D9/D27</f>
        <v>0.88655409359221315</v>
      </c>
      <c r="E59" s="45">
        <f>E9/E27</f>
        <v>0.89269221999102621</v>
      </c>
    </row>
    <row r="60" spans="1:5" x14ac:dyDescent="0.3">
      <c r="A60" t="s">
        <v>268</v>
      </c>
      <c r="C60" s="45">
        <f>(C13+C12)/C27</f>
        <v>2.2239761989197873E-2</v>
      </c>
      <c r="D60" s="45">
        <f>(D13+D12)/D27</f>
        <v>1.872837645495706E-2</v>
      </c>
      <c r="E60" s="45">
        <f>(E13+E12)/E27</f>
        <v>4.6690351670822576E-2</v>
      </c>
    </row>
    <row r="61" spans="1:5" x14ac:dyDescent="0.3">
      <c r="A61" t="s">
        <v>267</v>
      </c>
      <c r="C61" s="45">
        <f>C22/C27</f>
        <v>0</v>
      </c>
      <c r="D61" s="45">
        <f>D22/D27</f>
        <v>0</v>
      </c>
      <c r="E61" s="45">
        <f>E22/E27</f>
        <v>0</v>
      </c>
    </row>
    <row r="62" spans="1:5" x14ac:dyDescent="0.3">
      <c r="A62" t="s">
        <v>266</v>
      </c>
      <c r="C62" s="45">
        <f>(C11+C16+C17+C18+C23)/C27</f>
        <v>1.3215499574756545E-2</v>
      </c>
      <c r="D62" s="45">
        <f>(D11+D16+D17+D18+D23)/D27</f>
        <v>1.3857694761300898E-2</v>
      </c>
      <c r="E62" s="45">
        <f>(E11+E16+E17+E18+E23)/E27</f>
        <v>8.5883884634905226E-3</v>
      </c>
    </row>
    <row r="63" spans="1:5" x14ac:dyDescent="0.3">
      <c r="A63" t="s">
        <v>265</v>
      </c>
      <c r="C63" s="45">
        <v>0</v>
      </c>
      <c r="D63" s="45">
        <v>0</v>
      </c>
      <c r="E63" s="45">
        <v>0</v>
      </c>
    </row>
    <row r="64" spans="1:5" x14ac:dyDescent="0.3">
      <c r="A64" t="s">
        <v>264</v>
      </c>
      <c r="C64" s="45">
        <f>(C19+C21)/C27</f>
        <v>4.1606384614660388E-2</v>
      </c>
      <c r="D64" s="45">
        <f>(D19+D21)/D27</f>
        <v>6.0012758764665983E-2</v>
      </c>
      <c r="E64" s="45">
        <f>(E19+E21)/E27</f>
        <v>1.8053563416230847E-2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63CB-1738-43F5-955F-997C13047F3F}">
  <dimension ref="A1:L136"/>
  <sheetViews>
    <sheetView topLeftCell="A22" workbookViewId="0">
      <selection activeCell="J1" sqref="J1:L32"/>
    </sheetView>
  </sheetViews>
  <sheetFormatPr defaultRowHeight="14.4" x14ac:dyDescent="0.3"/>
  <cols>
    <col min="1" max="1" width="80.88671875" bestFit="1" customWidth="1"/>
    <col min="2" max="2" width="17.33203125" customWidth="1"/>
    <col min="3" max="3" width="26.33203125" bestFit="1" customWidth="1"/>
    <col min="4" max="4" width="17.33203125" customWidth="1"/>
    <col min="7" max="7" width="14.6640625" customWidth="1"/>
    <col min="8" max="8" width="13" customWidth="1"/>
  </cols>
  <sheetData>
    <row r="1" spans="1:12" x14ac:dyDescent="0.3">
      <c r="A1" t="s">
        <v>0</v>
      </c>
      <c r="B1" t="s">
        <v>125</v>
      </c>
      <c r="C1" t="s">
        <v>376</v>
      </c>
      <c r="D1" t="s">
        <v>377</v>
      </c>
      <c r="F1" s="94" t="s">
        <v>375</v>
      </c>
      <c r="G1" s="94"/>
      <c r="K1" s="94"/>
      <c r="L1" s="94"/>
    </row>
    <row r="2" spans="1:12" x14ac:dyDescent="0.3">
      <c r="B2" s="24" t="s">
        <v>124</v>
      </c>
      <c r="C2" s="24" t="s">
        <v>4</v>
      </c>
      <c r="D2" s="24" t="s">
        <v>4</v>
      </c>
      <c r="F2" s="94"/>
      <c r="G2" s="94"/>
      <c r="K2" s="94"/>
      <c r="L2" s="94"/>
    </row>
    <row r="3" spans="1:12" x14ac:dyDescent="0.3">
      <c r="A3" s="24" t="s">
        <v>374</v>
      </c>
      <c r="B3" s="24" t="s">
        <v>125</v>
      </c>
      <c r="C3" s="24" t="s">
        <v>373</v>
      </c>
      <c r="D3" s="24" t="s">
        <v>5</v>
      </c>
      <c r="F3" s="93" t="s">
        <v>372</v>
      </c>
      <c r="G3" s="93" t="s">
        <v>371</v>
      </c>
      <c r="K3" s="93"/>
      <c r="L3" s="93"/>
    </row>
    <row r="4" spans="1:12" x14ac:dyDescent="0.3">
      <c r="B4" s="24" t="s">
        <v>126</v>
      </c>
      <c r="C4" s="24" t="s">
        <v>7</v>
      </c>
      <c r="D4" s="24" t="s">
        <v>7</v>
      </c>
      <c r="F4" s="92"/>
      <c r="G4" s="92"/>
      <c r="K4" s="92"/>
      <c r="L4" s="92"/>
    </row>
    <row r="5" spans="1:12" x14ac:dyDescent="0.3">
      <c r="A5" t="s">
        <v>127</v>
      </c>
      <c r="B5" t="s">
        <v>128</v>
      </c>
      <c r="C5" t="s">
        <v>369</v>
      </c>
      <c r="D5" t="s">
        <v>370</v>
      </c>
      <c r="F5" s="87">
        <f>(Table006__Page_5[[#This Row],[2018]]-Table006__Page_5[[#This Row],[2017]])/Table006__Page_5[[#This Row],[2017]]</f>
        <v>4.1924677697695666E-2</v>
      </c>
      <c r="G5" s="87">
        <f>(Table006__Page_5[[#This Row],[2019]]-Table006__Page_5[[#This Row],[2018]])/Table006__Page_5[[#This Row],[2018]]</f>
        <v>0.33602883865939204</v>
      </c>
      <c r="K5" s="87"/>
      <c r="L5" s="87"/>
    </row>
    <row r="6" spans="1:12" x14ac:dyDescent="0.3">
      <c r="A6" t="s">
        <v>129</v>
      </c>
      <c r="B6" t="s">
        <v>130</v>
      </c>
      <c r="C6" t="s">
        <v>367</v>
      </c>
      <c r="D6" t="s">
        <v>368</v>
      </c>
      <c r="F6" s="87">
        <f>(Table006__Page_5[[#This Row],[2018]]-Table006__Page_5[[#This Row],[2017]])/Table006__Page_5[[#This Row],[2017]]</f>
        <v>-8.8282504012841087E-2</v>
      </c>
      <c r="G6" s="87">
        <f>(Table006__Page_5[[#This Row],[2019]]-Table006__Page_5[[#This Row],[2018]])/Table006__Page_5[[#This Row],[2018]]</f>
        <v>0.42116987640126474</v>
      </c>
      <c r="K6" s="87"/>
      <c r="L6" s="87"/>
    </row>
    <row r="7" spans="1:12" x14ac:dyDescent="0.3">
      <c r="A7" t="s">
        <v>132</v>
      </c>
      <c r="B7" t="s">
        <v>133</v>
      </c>
      <c r="C7" t="s">
        <v>365</v>
      </c>
      <c r="D7" t="s">
        <v>366</v>
      </c>
      <c r="F7" s="87">
        <f>(Table006__Page_5[[#This Row],[2018]]-Table006__Page_5[[#This Row],[2017]])/Table006__Page_5[[#This Row],[2017]]</f>
        <v>0.48969246367015884</v>
      </c>
      <c r="G7" s="87">
        <f>(Table006__Page_5[[#This Row],[2019]]-Table006__Page_5[[#This Row],[2018]])/Table006__Page_5[[#This Row],[2018]]</f>
        <v>0.15683605565638234</v>
      </c>
      <c r="K7" s="87"/>
      <c r="L7" s="87"/>
    </row>
    <row r="8" spans="1:12" x14ac:dyDescent="0.3">
      <c r="A8" t="s">
        <v>134</v>
      </c>
      <c r="B8" t="s">
        <v>135</v>
      </c>
      <c r="C8" t="s">
        <v>362</v>
      </c>
      <c r="D8" t="s">
        <v>363</v>
      </c>
      <c r="F8" s="87">
        <f>(Table006__Page_5[[#This Row],[2018]]-Table006__Page_5[[#This Row],[2017]])/Table006__Page_5[[#This Row],[2017]]</f>
        <v>0.13281045751633988</v>
      </c>
      <c r="G8" s="87">
        <f>(Table006__Page_5[[#This Row],[2019]]-Table006__Page_5[[#This Row],[2018]])/Table006__Page_5[[#This Row],[2018]]</f>
        <v>0.13974151857835218</v>
      </c>
      <c r="K8" s="87"/>
      <c r="L8" s="87"/>
    </row>
    <row r="9" spans="1:12" x14ac:dyDescent="0.3">
      <c r="A9" t="s">
        <v>364</v>
      </c>
      <c r="B9" t="s">
        <v>135</v>
      </c>
      <c r="C9" t="s">
        <v>362</v>
      </c>
      <c r="D9" t="s">
        <v>363</v>
      </c>
      <c r="F9" s="87">
        <f>(Table006__Page_5[[#This Row],[2018]]-Table006__Page_5[[#This Row],[2017]])/Table006__Page_5[[#This Row],[2017]]</f>
        <v>0.13281045751633988</v>
      </c>
      <c r="G9" s="87">
        <f>(Table006__Page_5[[#This Row],[2019]]-Table006__Page_5[[#This Row],[2018]])/Table006__Page_5[[#This Row],[2018]]</f>
        <v>0.13974151857835218</v>
      </c>
      <c r="K9" s="87"/>
      <c r="L9" s="87"/>
    </row>
    <row r="10" spans="1:12" x14ac:dyDescent="0.3">
      <c r="A10" t="s">
        <v>138</v>
      </c>
      <c r="B10" s="91">
        <v>47054</v>
      </c>
      <c r="C10" t="s">
        <v>360</v>
      </c>
      <c r="D10" t="s">
        <v>361</v>
      </c>
      <c r="F10" s="87">
        <f>(Table006__Page_5[[#This Row],[2018]]-Table006__Page_5[[#This Row],[2017]])/Table006__Page_5[[#This Row],[2017]]</f>
        <v>5.6700811833212905E-2</v>
      </c>
      <c r="G10" s="87">
        <f>(Table006__Page_5[[#This Row],[2019]]-Table006__Page_5[[#This Row],[2018]])/Table006__Page_5[[#This Row],[2018]]</f>
        <v>0.3018181086842846</v>
      </c>
      <c r="K10" s="87"/>
      <c r="L10" s="87"/>
    </row>
    <row r="11" spans="1:12" x14ac:dyDescent="0.3">
      <c r="A11" t="s">
        <v>318</v>
      </c>
      <c r="B11" s="90" t="s">
        <v>357</v>
      </c>
      <c r="C11" t="s">
        <v>358</v>
      </c>
      <c r="D11" t="s">
        <v>359</v>
      </c>
      <c r="F11" s="87">
        <f>(Table006__Page_5[[#This Row],[2018]]-Table006__Page_5[[#This Row],[2017]])/Table006__Page_5[[#This Row],[2017]]</f>
        <v>0.48675604970568997</v>
      </c>
      <c r="G11" s="87">
        <f>(Table006__Page_5[[#This Row],[2019]]-Table006__Page_5[[#This Row],[2018]])/Table006__Page_5[[#This Row],[2018]]</f>
        <v>0.10425602111514351</v>
      </c>
      <c r="K11" s="87"/>
      <c r="L11" s="87"/>
    </row>
    <row r="12" spans="1:12" x14ac:dyDescent="0.3">
      <c r="A12" t="s">
        <v>140</v>
      </c>
      <c r="B12" t="s">
        <v>141</v>
      </c>
      <c r="C12" t="s">
        <v>355</v>
      </c>
      <c r="D12" t="s">
        <v>356</v>
      </c>
      <c r="F12" s="87">
        <f>(Table006__Page_5[[#This Row],[2018]]-Table006__Page_5[[#This Row],[2017]])/Table006__Page_5[[#This Row],[2017]]</f>
        <v>-9.4365630922979726E-2</v>
      </c>
      <c r="G12" s="87">
        <f>(Table006__Page_5[[#This Row],[2019]]-Table006__Page_5[[#This Row],[2018]])/Table006__Page_5[[#This Row],[2018]]</f>
        <v>0.41574708269913752</v>
      </c>
      <c r="K12" s="87"/>
      <c r="L12" s="87"/>
    </row>
    <row r="13" spans="1:12" x14ac:dyDescent="0.3">
      <c r="A13" t="s">
        <v>317</v>
      </c>
      <c r="B13" t="s">
        <v>142</v>
      </c>
      <c r="C13" t="s">
        <v>353</v>
      </c>
      <c r="D13" t="s">
        <v>354</v>
      </c>
      <c r="F13" s="87">
        <f>(Table006__Page_5[[#This Row],[2018]]-Table006__Page_5[[#This Row],[2017]])/Table006__Page_5[[#This Row],[2017]]</f>
        <v>-0.67352579852579852</v>
      </c>
      <c r="G13" s="87">
        <f>(Table006__Page_5[[#This Row],[2019]]-Table006__Page_5[[#This Row],[2018]])/Table006__Page_5[[#This Row],[2018]]</f>
        <v>-0.22107243650047037</v>
      </c>
      <c r="K13" s="87"/>
      <c r="L13" s="87"/>
    </row>
    <row r="14" spans="1:12" x14ac:dyDescent="0.3">
      <c r="A14" t="s">
        <v>316</v>
      </c>
      <c r="B14" t="s">
        <v>143</v>
      </c>
      <c r="C14" t="s">
        <v>351</v>
      </c>
      <c r="D14" t="s">
        <v>352</v>
      </c>
      <c r="F14" s="89">
        <f>(Table006__Page_5[[#This Row],[2018]]-Table006__Page_5[[#This Row],[2017]])/Table006__Page_5[[#This Row],[2017]]</f>
        <v>15.983606557377049</v>
      </c>
      <c r="G14" s="87">
        <f>(Table006__Page_5[[#This Row],[2019]]-Table006__Page_5[[#This Row],[2018]])/Table006__Page_5[[#This Row],[2018]]</f>
        <v>0.12258687258687259</v>
      </c>
      <c r="K14" s="89"/>
      <c r="L14" s="87"/>
    </row>
    <row r="15" spans="1:12" x14ac:dyDescent="0.3">
      <c r="A15" t="s">
        <v>144</v>
      </c>
      <c r="B15" t="s">
        <v>145</v>
      </c>
      <c r="C15" t="s">
        <v>349</v>
      </c>
      <c r="D15" t="s">
        <v>350</v>
      </c>
      <c r="F15" s="87">
        <f>(Table006__Page_5[[#This Row],[2018]]-Table006__Page_5[[#This Row],[2017]])/Table006__Page_5[[#This Row],[2017]]</f>
        <v>-6.5640374543723221E-2</v>
      </c>
      <c r="G15" s="87">
        <f>(Table006__Page_5[[#This Row],[2019]]-Table006__Page_5[[#This Row],[2018]])/Table006__Page_5[[#This Row],[2018]]</f>
        <v>0.44906070591432551</v>
      </c>
      <c r="K15" s="87"/>
      <c r="L15" s="87"/>
    </row>
    <row r="16" spans="1:12" x14ac:dyDescent="0.3">
      <c r="A16" t="s">
        <v>146</v>
      </c>
      <c r="B16" t="s">
        <v>147</v>
      </c>
      <c r="C16" t="s">
        <v>347</v>
      </c>
      <c r="D16" t="s">
        <v>348</v>
      </c>
      <c r="F16" s="87">
        <f>(Table006__Page_5[[#This Row],[2018]]-Table006__Page_5[[#This Row],[2017]])/Table006__Page_5[[#This Row],[2017]]</f>
        <v>-0.69257950530035339</v>
      </c>
      <c r="G16" s="87">
        <f>(Table006__Page_5[[#This Row],[2019]]-Table006__Page_5[[#This Row],[2018]])/Table006__Page_5[[#This Row],[2018]]</f>
        <v>-0.44827586206896552</v>
      </c>
      <c r="K16" s="87"/>
      <c r="L16" s="87"/>
    </row>
    <row r="17" spans="1:12" x14ac:dyDescent="0.3">
      <c r="A17" t="s">
        <v>315</v>
      </c>
      <c r="B17" t="s">
        <v>148</v>
      </c>
      <c r="C17" t="s">
        <v>345</v>
      </c>
      <c r="D17" t="s">
        <v>346</v>
      </c>
      <c r="F17" s="87">
        <f>(Table006__Page_5[[#This Row],[2018]]-Table006__Page_5[[#This Row],[2017]])/Table006__Page_5[[#This Row],[2017]]</f>
        <v>-0.87443946188340804</v>
      </c>
      <c r="G17" s="87">
        <f>(Table006__Page_5[[#This Row],[2019]]-Table006__Page_5[[#This Row],[2018]])/Table006__Page_5[[#This Row],[2018]]</f>
        <v>3.5714285714285712E-2</v>
      </c>
      <c r="K17" s="87"/>
      <c r="L17" s="87"/>
    </row>
    <row r="18" spans="1:12" x14ac:dyDescent="0.3">
      <c r="A18" t="s">
        <v>149</v>
      </c>
      <c r="B18" t="s">
        <v>150</v>
      </c>
      <c r="C18" t="s">
        <v>343</v>
      </c>
      <c r="D18" t="s">
        <v>344</v>
      </c>
      <c r="F18" s="87">
        <f>(Table006__Page_5[[#This Row],[2018]]-Table006__Page_5[[#This Row],[2017]])/Table006__Page_5[[#This Row],[2017]]</f>
        <v>-6.5547283383494373E-2</v>
      </c>
      <c r="G18" s="87">
        <f>(Table006__Page_5[[#This Row],[2019]]-Table006__Page_5[[#This Row],[2018]])/Table006__Page_5[[#This Row],[2018]]</f>
        <v>0.44680634662327096</v>
      </c>
      <c r="K18" s="87"/>
      <c r="L18" s="87"/>
    </row>
    <row r="19" spans="1:12" x14ac:dyDescent="0.3">
      <c r="A19" t="s">
        <v>151</v>
      </c>
      <c r="B19" t="s">
        <v>152</v>
      </c>
      <c r="C19" t="s">
        <v>341</v>
      </c>
      <c r="D19" t="s">
        <v>342</v>
      </c>
      <c r="F19" s="87">
        <f>(Table006__Page_5[[#This Row],[2018]]-Table006__Page_5[[#This Row],[2017]])/Table006__Page_5[[#This Row],[2017]]</f>
        <v>-0.18303064699205449</v>
      </c>
      <c r="G19" s="87">
        <f>(Table006__Page_5[[#This Row],[2019]]-Table006__Page_5[[#This Row],[2018]])/Table006__Page_5[[#This Row],[2018]]</f>
        <v>-0.55991663772143108</v>
      </c>
      <c r="K19" s="87"/>
      <c r="L19" s="87"/>
    </row>
    <row r="20" spans="1:12" x14ac:dyDescent="0.3">
      <c r="A20" t="s">
        <v>314</v>
      </c>
      <c r="B20" t="s">
        <v>153</v>
      </c>
      <c r="C20" t="s">
        <v>339</v>
      </c>
      <c r="D20" t="s">
        <v>340</v>
      </c>
      <c r="F20" s="89">
        <f>(Table006__Page_5[[#This Row],[2018]]-Table006__Page_5[[#This Row],[2017]])/Table006__Page_5[[#This Row],[2017]]</f>
        <v>-0.88054158607350097</v>
      </c>
      <c r="G20" s="87">
        <f>(Table006__Page_5[[#This Row],[2019]]-Table006__Page_5[[#This Row],[2018]])/Table006__Page_5[[#This Row],[2018]]</f>
        <v>-0.43458549222797926</v>
      </c>
      <c r="K20" s="89"/>
      <c r="L20" s="87"/>
    </row>
    <row r="21" spans="1:12" x14ac:dyDescent="0.3">
      <c r="A21" t="s">
        <v>9</v>
      </c>
      <c r="B21" t="s">
        <v>154</v>
      </c>
      <c r="C21" t="s">
        <v>11</v>
      </c>
      <c r="D21" t="s">
        <v>10</v>
      </c>
      <c r="F21" s="87">
        <f>(Table006__Page_5[[#This Row],[2018]]-Table006__Page_5[[#This Row],[2017]])/Table006__Page_5[[#This Row],[2017]]</f>
        <v>0.39103952355170546</v>
      </c>
      <c r="G21" s="87">
        <f>(Table006__Page_5[[#This Row],[2019]]-Table006__Page_5[[#This Row],[2018]])/Table006__Page_5[[#This Row],[2018]]</f>
        <v>0.39606240472251952</v>
      </c>
      <c r="K21" s="87"/>
      <c r="L21" s="87"/>
    </row>
    <row r="22" spans="1:12" x14ac:dyDescent="0.3">
      <c r="A22" t="s">
        <v>338</v>
      </c>
      <c r="B22" t="s">
        <v>155</v>
      </c>
      <c r="C22" t="s">
        <v>336</v>
      </c>
      <c r="D22" t="s">
        <v>337</v>
      </c>
      <c r="F22" s="87">
        <f>(Table006__Page_5[[#This Row],[2018]]-Table006__Page_5[[#This Row],[2017]])/Table006__Page_5[[#This Row],[2017]]</f>
        <v>-1.2858979854264896E-3</v>
      </c>
      <c r="G22" s="87">
        <f>(Table006__Page_5[[#This Row],[2019]]-Table006__Page_5[[#This Row],[2018]])/Table006__Page_5[[#This Row],[2018]]</f>
        <v>0.20042918454935621</v>
      </c>
      <c r="K22" s="87"/>
      <c r="L22" s="87"/>
    </row>
    <row r="23" spans="1:12" x14ac:dyDescent="0.3">
      <c r="A23" t="s">
        <v>330</v>
      </c>
      <c r="B23" t="s">
        <v>131</v>
      </c>
      <c r="C23" t="s">
        <v>327</v>
      </c>
      <c r="D23" t="s">
        <v>328</v>
      </c>
      <c r="F23" s="88">
        <f>(Table006__Page_5[[#This Row],[2018]]-Table006__Page_5[[#This Row],[2017]])/Table006__Page_5[[#This Row],[2017]]</f>
        <v>0.4371942917654178</v>
      </c>
      <c r="G23" s="88">
        <f>(Table006__Page_5[[#This Row],[2019]]-Table006__Page_5[[#This Row],[2018]])/Table006__Page_5[[#This Row],[2018]]</f>
        <v>0.41205571734325114</v>
      </c>
      <c r="K23" s="88"/>
      <c r="L23" s="88"/>
    </row>
    <row r="24" spans="1:12" x14ac:dyDescent="0.3">
      <c r="A24" t="s">
        <v>335</v>
      </c>
      <c r="C24" t="s">
        <v>332</v>
      </c>
      <c r="D24" t="s">
        <v>333</v>
      </c>
      <c r="F24" s="87"/>
      <c r="G24" s="87"/>
      <c r="K24" s="87"/>
      <c r="L24" s="87"/>
    </row>
    <row r="25" spans="1:12" x14ac:dyDescent="0.3">
      <c r="A25" t="s">
        <v>334</v>
      </c>
      <c r="C25" t="s">
        <v>332</v>
      </c>
      <c r="D25" t="s">
        <v>333</v>
      </c>
      <c r="F25" s="87"/>
      <c r="G25" s="87"/>
      <c r="K25" s="87"/>
      <c r="L25" s="87"/>
    </row>
    <row r="26" spans="1:12" x14ac:dyDescent="0.3">
      <c r="B26" t="s">
        <v>47</v>
      </c>
      <c r="F26" s="87"/>
      <c r="G26" s="87"/>
      <c r="K26" s="87"/>
      <c r="L26" s="87"/>
    </row>
    <row r="27" spans="1:12" x14ac:dyDescent="0.3">
      <c r="A27" s="24" t="s">
        <v>331</v>
      </c>
      <c r="F27" s="87"/>
      <c r="G27" s="87"/>
      <c r="K27" s="87"/>
      <c r="L27" s="87"/>
    </row>
    <row r="28" spans="1:12" x14ac:dyDescent="0.3">
      <c r="F28" s="87"/>
      <c r="G28" s="87"/>
      <c r="K28" s="87"/>
      <c r="L28" s="87"/>
    </row>
    <row r="29" spans="1:12" x14ac:dyDescent="0.3">
      <c r="A29" t="s">
        <v>330</v>
      </c>
      <c r="B29" t="s">
        <v>131</v>
      </c>
      <c r="C29" t="s">
        <v>327</v>
      </c>
      <c r="D29" t="s">
        <v>328</v>
      </c>
      <c r="F29" s="87">
        <f>(Table006__Page_5[[#This Row],[2018]]-Table006__Page_5[[#This Row],[2017]])/Table006__Page_5[[#This Row],[2017]]</f>
        <v>0.4371942917654178</v>
      </c>
      <c r="G29" s="87">
        <f>(Table006__Page_5[[#This Row],[2019]]-Table006__Page_5[[#This Row],[2018]])/Table006__Page_5[[#This Row],[2018]]</f>
        <v>0.41205571734325114</v>
      </c>
      <c r="K29" s="87"/>
      <c r="L29" s="87"/>
    </row>
    <row r="30" spans="1:12" x14ac:dyDescent="0.3">
      <c r="A30" t="s">
        <v>329</v>
      </c>
      <c r="C30" t="s">
        <v>47</v>
      </c>
      <c r="D30" t="s">
        <v>47</v>
      </c>
      <c r="F30" s="87"/>
      <c r="G30" s="87"/>
      <c r="K30" s="87"/>
      <c r="L30" s="87"/>
    </row>
    <row r="31" spans="1:12" x14ac:dyDescent="0.3">
      <c r="A31" s="24" t="s">
        <v>137</v>
      </c>
      <c r="B31" t="s">
        <v>131</v>
      </c>
      <c r="C31" t="s">
        <v>327</v>
      </c>
      <c r="D31" t="s">
        <v>328</v>
      </c>
      <c r="F31" s="87">
        <f>(Table006__Page_5[[#This Row],[2018]]-Table006__Page_5[[#This Row],[2017]])/Table006__Page_5[[#This Row],[2017]]</f>
        <v>0.4371942917654178</v>
      </c>
      <c r="G31" s="87">
        <f>(Table006__Page_5[[#This Row],[2019]]-Table006__Page_5[[#This Row],[2018]])/Table006__Page_5[[#This Row],[2018]]</f>
        <v>0.41205571734325114</v>
      </c>
      <c r="K31" s="87"/>
      <c r="L31" s="87"/>
    </row>
    <row r="33" spans="1:4" x14ac:dyDescent="0.3">
      <c r="A33" s="67" t="s">
        <v>326</v>
      </c>
      <c r="B33" s="86">
        <f>B6+B10+B16+B19</f>
        <v>81388</v>
      </c>
      <c r="C33" s="85">
        <f>C6+C10+C16+C19</f>
        <v>80520</v>
      </c>
      <c r="D33" s="85">
        <f>D6+D10+D16+D19</f>
        <v>105598</v>
      </c>
    </row>
    <row r="34" spans="1:4" x14ac:dyDescent="0.3">
      <c r="A34" s="67" t="s">
        <v>325</v>
      </c>
      <c r="B34" s="84" t="s">
        <v>324</v>
      </c>
      <c r="C34" s="85">
        <f>(C11+C13+C14+C17+C20)*(-1)</f>
        <v>21857</v>
      </c>
      <c r="D34" s="85">
        <f>(D11+D13+D14+D17+D20)*(-1)</f>
        <v>22975</v>
      </c>
    </row>
    <row r="35" spans="1:4" x14ac:dyDescent="0.3">
      <c r="B35" s="74"/>
      <c r="C35" s="74"/>
      <c r="D35" s="74"/>
    </row>
    <row r="36" spans="1:4" x14ac:dyDescent="0.3">
      <c r="A36" s="83" t="s">
        <v>323</v>
      </c>
      <c r="B36" s="82">
        <v>2017</v>
      </c>
      <c r="C36" s="82">
        <v>2018</v>
      </c>
      <c r="D36" s="82">
        <v>2019</v>
      </c>
    </row>
    <row r="37" spans="1:4" x14ac:dyDescent="0.3">
      <c r="A37" s="81" t="s">
        <v>322</v>
      </c>
      <c r="B37" s="80">
        <f>((B13+B11+B14)/B10)*(-1)</f>
        <v>0.33045012113741656</v>
      </c>
      <c r="C37" s="80">
        <f>((C13+C11+C14)/C10)*(-1)</f>
        <v>0.40796830376895538</v>
      </c>
      <c r="D37" s="80">
        <f>((D13+D11+D14)/D10)*(-1)</f>
        <v>0.34100634954966091</v>
      </c>
    </row>
    <row r="38" spans="1:4" x14ac:dyDescent="0.3">
      <c r="A38" s="81" t="s">
        <v>134</v>
      </c>
      <c r="B38" s="80">
        <f>(B17/B16)*(-1)</f>
        <v>0.78798586572438167</v>
      </c>
      <c r="C38" s="80">
        <f>(C17/C16)*(-1)</f>
        <v>0.32183908045977011</v>
      </c>
      <c r="D38" s="80">
        <f>(D17/D16)*(-1)</f>
        <v>0.60416666666666663</v>
      </c>
    </row>
    <row r="39" spans="1:4" x14ac:dyDescent="0.3">
      <c r="A39" s="81" t="s">
        <v>202</v>
      </c>
      <c r="B39" s="80">
        <f>(B20/B19)*(-1)</f>
        <v>3.6677071509648127</v>
      </c>
      <c r="C39" s="80">
        <f>(C20/C19)*(-1)</f>
        <v>0.53629732546022924</v>
      </c>
      <c r="D39" s="80">
        <f>(D20/D19)*(-1)</f>
        <v>0.68902920284135749</v>
      </c>
    </row>
    <row r="40" spans="1:4" x14ac:dyDescent="0.3">
      <c r="B40" s="74"/>
      <c r="C40" s="74"/>
      <c r="D40" s="74"/>
    </row>
    <row r="41" spans="1:4" x14ac:dyDescent="0.3">
      <c r="B41" s="74"/>
      <c r="C41" s="74"/>
      <c r="D41" s="74"/>
    </row>
    <row r="42" spans="1:4" x14ac:dyDescent="0.3">
      <c r="A42" s="79" t="s">
        <v>321</v>
      </c>
      <c r="B42" s="78">
        <v>2017</v>
      </c>
      <c r="C42" s="78">
        <v>2018</v>
      </c>
      <c r="D42" s="78">
        <v>2019</v>
      </c>
    </row>
    <row r="43" spans="1:4" x14ac:dyDescent="0.3">
      <c r="A43" s="77" t="s">
        <v>320</v>
      </c>
      <c r="B43" s="76">
        <f>B10/B33</f>
        <v>0.57814419816189122</v>
      </c>
      <c r="C43" s="76">
        <f>C10/C33</f>
        <v>0.61751117734724292</v>
      </c>
      <c r="D43" s="76">
        <f>D10/D33</f>
        <v>0.61297562453834353</v>
      </c>
    </row>
    <row r="44" spans="1:4" x14ac:dyDescent="0.3">
      <c r="A44" s="77" t="s">
        <v>146</v>
      </c>
      <c r="B44" s="76">
        <f>B16/B33</f>
        <v>3.4771710817319505E-3</v>
      </c>
      <c r="C44" s="76">
        <f>C16/C33</f>
        <v>1.0804769001490314E-3</v>
      </c>
      <c r="D44" s="76">
        <f>D16/D33</f>
        <v>4.5455406352393039E-4</v>
      </c>
    </row>
    <row r="45" spans="1:4" x14ac:dyDescent="0.3">
      <c r="A45" s="77" t="s">
        <v>151</v>
      </c>
      <c r="B45" s="76">
        <f>(B19+B6)/B33</f>
        <v>0.41837863075637688</v>
      </c>
      <c r="C45" s="76">
        <f>(C19+C6)/C33</f>
        <v>0.38140834575260807</v>
      </c>
      <c r="D45" s="76">
        <f>(D19+D6)/D33</f>
        <v>0.38656982139813256</v>
      </c>
    </row>
    <row r="46" spans="1:4" x14ac:dyDescent="0.3">
      <c r="B46" s="75"/>
      <c r="C46" s="74"/>
      <c r="D46" s="75"/>
    </row>
    <row r="47" spans="1:4" x14ac:dyDescent="0.3">
      <c r="B47" s="74"/>
      <c r="C47" s="74"/>
      <c r="D47" s="74"/>
    </row>
    <row r="48" spans="1:4" x14ac:dyDescent="0.3">
      <c r="A48" s="73" t="s">
        <v>319</v>
      </c>
      <c r="B48" s="72">
        <v>2017</v>
      </c>
      <c r="C48" s="72">
        <v>2018</v>
      </c>
      <c r="D48" s="72">
        <v>2019</v>
      </c>
    </row>
    <row r="49" spans="1:4" x14ac:dyDescent="0.3">
      <c r="A49" s="71" t="s">
        <v>318</v>
      </c>
      <c r="B49" s="70">
        <f>(B11/B34)*(-1)</f>
        <v>0.42624664599087014</v>
      </c>
      <c r="C49" s="70">
        <f>(C11/C34)*(-1)</f>
        <v>0.83204465388662674</v>
      </c>
      <c r="D49" s="70">
        <f>(D11/D34)*(-1)</f>
        <v>0.87408052230685529</v>
      </c>
    </row>
    <row r="50" spans="1:4" x14ac:dyDescent="0.3">
      <c r="A50" s="71" t="s">
        <v>317</v>
      </c>
      <c r="B50" s="70">
        <f>(B13/B34)*(-1)</f>
        <v>0.11346133742203018</v>
      </c>
      <c r="C50" s="70">
        <f>(C13/C34)*(-1)</f>
        <v>4.8634304799377776E-2</v>
      </c>
      <c r="D50" s="70">
        <f>(D13/D34)*(-1)</f>
        <v>3.603917301414581E-2</v>
      </c>
    </row>
    <row r="51" spans="1:4" x14ac:dyDescent="0.3">
      <c r="A51" s="71" t="s">
        <v>316</v>
      </c>
      <c r="B51" s="70">
        <f>(B14/B34)*(-1)</f>
        <v>2.1256577342579366E-3</v>
      </c>
      <c r="C51" s="70">
        <f>(C14/C34)*(-1)</f>
        <v>4.7399002607860181E-2</v>
      </c>
      <c r="D51" s="70">
        <f>(D14/D34)*(-1)</f>
        <v>5.0620239390642002E-2</v>
      </c>
    </row>
    <row r="52" spans="1:4" x14ac:dyDescent="0.3">
      <c r="A52" s="71" t="s">
        <v>315</v>
      </c>
      <c r="B52" s="70">
        <f>(B17/B34)*(-1)</f>
        <v>7.7708471268773741E-3</v>
      </c>
      <c r="C52" s="70">
        <f>(C17/C34)*(-1)</f>
        <v>1.2810541245367618E-3</v>
      </c>
      <c r="D52" s="70">
        <f>(D17/D34)*(-1)</f>
        <v>1.2622415669205659E-3</v>
      </c>
    </row>
    <row r="53" spans="1:4" x14ac:dyDescent="0.3">
      <c r="A53" s="71" t="s">
        <v>314</v>
      </c>
      <c r="B53" s="70">
        <f>(B20/B34)*(-1)</f>
        <v>0.45039551172596437</v>
      </c>
      <c r="C53" s="70">
        <f>(C20/C34)*(-1)</f>
        <v>7.0640984581598579E-2</v>
      </c>
      <c r="D53" s="70">
        <f>(D20/D34)*(-1)</f>
        <v>3.7997823721436341E-2</v>
      </c>
    </row>
    <row r="54" spans="1:4" x14ac:dyDescent="0.3">
      <c r="B54" s="32"/>
      <c r="D54" s="32"/>
    </row>
    <row r="55" spans="1:4" x14ac:dyDescent="0.3">
      <c r="A55" s="69" t="s">
        <v>313</v>
      </c>
      <c r="B55" s="68">
        <v>2017</v>
      </c>
      <c r="C55" s="68">
        <v>2018</v>
      </c>
      <c r="D55" s="68">
        <v>2019</v>
      </c>
    </row>
    <row r="56" spans="1:4" x14ac:dyDescent="0.3">
      <c r="A56" s="67" t="s">
        <v>312</v>
      </c>
      <c r="B56" s="66">
        <f>B18/B15</f>
        <v>1.0019044596095859</v>
      </c>
      <c r="C56" s="66">
        <f>C18/C15</f>
        <v>1.0020042803274791</v>
      </c>
      <c r="D56" s="66">
        <f>D18/D15</f>
        <v>1.0004454238559639</v>
      </c>
    </row>
    <row r="57" spans="1:4" x14ac:dyDescent="0.3">
      <c r="A57" s="67" t="s">
        <v>311</v>
      </c>
      <c r="B57" s="66">
        <f>B21/B18</f>
        <v>0.70217012513860289</v>
      </c>
      <c r="C57" s="66">
        <f>C21/C18</f>
        <v>1.0452603742880391</v>
      </c>
      <c r="D57" s="66">
        <f>D21/D18</f>
        <v>1.0085998828353837</v>
      </c>
    </row>
    <row r="58" spans="1:4" x14ac:dyDescent="0.3">
      <c r="A58" s="67" t="s">
        <v>310</v>
      </c>
      <c r="B58" s="66">
        <f>B21/B15</f>
        <v>0.7035073797809871</v>
      </c>
      <c r="C58" s="66">
        <f>C21/C15</f>
        <v>1.0473553690933179</v>
      </c>
      <c r="D58" s="66">
        <f>D21/D15</f>
        <v>1.0090491372843211</v>
      </c>
    </row>
    <row r="59" spans="1:4" x14ac:dyDescent="0.3">
      <c r="A59" s="67" t="s">
        <v>309</v>
      </c>
      <c r="B59" s="66">
        <f>B29/B15</f>
        <v>0.62945564196159343</v>
      </c>
      <c r="C59" s="66">
        <f>C29/C15</f>
        <v>0.96820328158440061</v>
      </c>
      <c r="D59" s="66">
        <f>D29/D15</f>
        <v>0.94347805701425358</v>
      </c>
    </row>
    <row r="60" spans="1:4" x14ac:dyDescent="0.3">
      <c r="A60" s="67" t="s">
        <v>308</v>
      </c>
      <c r="B60" s="66">
        <f>(B22/B21)*(-1)</f>
        <v>0.10526078325212056</v>
      </c>
      <c r="C60" s="66">
        <f>(C22/C21)*(-1)</f>
        <v>7.5573286627096101E-2</v>
      </c>
      <c r="D60" s="66">
        <f>(D22/D21)*(-1)</f>
        <v>6.4983039821569624E-2</v>
      </c>
    </row>
    <row r="61" spans="1:4" x14ac:dyDescent="0.3">
      <c r="A61" s="27"/>
      <c r="B61" s="27"/>
      <c r="C61" s="27"/>
      <c r="D61" s="27"/>
    </row>
    <row r="77" spans="2:4" x14ac:dyDescent="0.3">
      <c r="B77" s="24"/>
      <c r="D77" s="24"/>
    </row>
    <row r="78" spans="2:4" x14ac:dyDescent="0.3">
      <c r="B78" s="24"/>
      <c r="D78" s="24"/>
    </row>
    <row r="79" spans="2:4" x14ac:dyDescent="0.3">
      <c r="B79" s="24"/>
      <c r="D79" s="24"/>
    </row>
    <row r="85" spans="4:4" x14ac:dyDescent="0.3">
      <c r="D85" s="91"/>
    </row>
    <row r="86" spans="4:4" x14ac:dyDescent="0.3">
      <c r="D86" s="90"/>
    </row>
    <row r="108" spans="2:4" x14ac:dyDescent="0.3">
      <c r="B108" s="85"/>
      <c r="D108" s="86"/>
    </row>
    <row r="109" spans="2:4" x14ac:dyDescent="0.3">
      <c r="B109" s="85"/>
      <c r="D109" s="84"/>
    </row>
    <row r="110" spans="2:4" x14ac:dyDescent="0.3">
      <c r="B110" s="74"/>
      <c r="D110" s="74"/>
    </row>
    <row r="111" spans="2:4" x14ac:dyDescent="0.3">
      <c r="B111" s="82"/>
      <c r="D111" s="82"/>
    </row>
    <row r="112" spans="2:4" x14ac:dyDescent="0.3">
      <c r="B112" s="80"/>
      <c r="D112" s="80"/>
    </row>
    <row r="113" spans="2:4" x14ac:dyDescent="0.3">
      <c r="B113" s="80"/>
      <c r="D113" s="80"/>
    </row>
    <row r="114" spans="2:4" x14ac:dyDescent="0.3">
      <c r="B114" s="80"/>
      <c r="D114" s="80"/>
    </row>
    <row r="115" spans="2:4" x14ac:dyDescent="0.3">
      <c r="B115" s="74"/>
      <c r="D115" s="74"/>
    </row>
    <row r="116" spans="2:4" x14ac:dyDescent="0.3">
      <c r="B116" s="74"/>
      <c r="D116" s="74"/>
    </row>
    <row r="117" spans="2:4" x14ac:dyDescent="0.3">
      <c r="B117" s="78"/>
      <c r="D117" s="78"/>
    </row>
    <row r="118" spans="2:4" x14ac:dyDescent="0.3">
      <c r="B118" s="76"/>
      <c r="D118" s="76"/>
    </row>
    <row r="119" spans="2:4" x14ac:dyDescent="0.3">
      <c r="B119" s="76"/>
      <c r="D119" s="76"/>
    </row>
    <row r="120" spans="2:4" x14ac:dyDescent="0.3">
      <c r="B120" s="76"/>
      <c r="D120" s="76"/>
    </row>
    <row r="121" spans="2:4" x14ac:dyDescent="0.3">
      <c r="B121" s="75"/>
      <c r="D121" s="75"/>
    </row>
    <row r="122" spans="2:4" x14ac:dyDescent="0.3">
      <c r="B122" s="74"/>
      <c r="D122" s="74"/>
    </row>
    <row r="123" spans="2:4" x14ac:dyDescent="0.3">
      <c r="B123" s="72"/>
      <c r="D123" s="72"/>
    </row>
    <row r="124" spans="2:4" x14ac:dyDescent="0.3">
      <c r="B124" s="70"/>
      <c r="D124" s="70"/>
    </row>
    <row r="125" spans="2:4" x14ac:dyDescent="0.3">
      <c r="B125" s="70"/>
      <c r="D125" s="70"/>
    </row>
    <row r="126" spans="2:4" x14ac:dyDescent="0.3">
      <c r="B126" s="70"/>
      <c r="D126" s="70"/>
    </row>
    <row r="127" spans="2:4" x14ac:dyDescent="0.3">
      <c r="B127" s="70"/>
      <c r="D127" s="70"/>
    </row>
    <row r="128" spans="2:4" x14ac:dyDescent="0.3">
      <c r="B128" s="70"/>
      <c r="D128" s="70"/>
    </row>
    <row r="129" spans="2:4" x14ac:dyDescent="0.3">
      <c r="B129" s="32"/>
      <c r="D129" s="32"/>
    </row>
    <row r="130" spans="2:4" x14ac:dyDescent="0.3">
      <c r="B130" s="68"/>
      <c r="D130" s="68"/>
    </row>
    <row r="131" spans="2:4" x14ac:dyDescent="0.3">
      <c r="B131" s="66"/>
      <c r="D131" s="66"/>
    </row>
    <row r="132" spans="2:4" x14ac:dyDescent="0.3">
      <c r="B132" s="66"/>
      <c r="D132" s="66"/>
    </row>
    <row r="133" spans="2:4" x14ac:dyDescent="0.3">
      <c r="B133" s="66"/>
      <c r="D133" s="66"/>
    </row>
    <row r="134" spans="2:4" x14ac:dyDescent="0.3">
      <c r="B134" s="66"/>
      <c r="D134" s="66"/>
    </row>
    <row r="135" spans="2:4" x14ac:dyDescent="0.3">
      <c r="B135" s="66"/>
      <c r="D135" s="66"/>
    </row>
    <row r="136" spans="2:4" x14ac:dyDescent="0.3">
      <c r="B136" s="27"/>
      <c r="D136" s="27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C565-BA90-4109-A5E3-F121D154407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218EC642A3DD4D8260321A1208C3F4" ma:contentTypeVersion="0" ma:contentTypeDescription="Utwórz nowy dokument." ma:contentTypeScope="" ma:versionID="48b865897c2fd077dec7d6a4a63ad63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c14c0c312f3b6a8bdcb40f0c5056d2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M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k O J P 6 0 A A A D 3 A A A A E g A A A E N v b m Z p Z y 9 Q Y W N r Y W d l L n h t b I S P Q Q u C M A C F 7 0 H / Q X Z 3 m y s i Z M 5 D V w U h i K 5 D h 4 7 m J m 4 2 / 1 u H f l J / I a W s b h 3 f e x + 8 9 x 6 3 O 0 3 H V g V X 0 V t p d A I i i E F g H d c V V 0 a L B G g D U r Z e 0 Y K X F 1 6 L Y K K 1 j U d b J a B x r o s R 8 t 5 D v 4 G m r x H B O E L n P D u W j W g 5 + M D y P x x K P d e W A j B 6 e q 1 h B E Z k C 3 d k D z F F i 0 l z q b 8 A m Q b P 6 Y 9 J D 4 N y Q y 9 Y p 8 I i o 2 i R F L 0 / s C c A A A D / / w M A U E s D B B Q A A g A I A A A A I Q D g w X Z g 1 Q E A A L 0 H A A A T A A A A R m 9 y b X V s Y X M v U 2 V j d G l v b j E u b e S V T 2 v b M B i H 7 4 F + B 6 F e E v B M v K b u 3 O F D S V q W S w l N e l k S g h Y p n R Z Z r 5 E U v D j k U v a N e h r 0 V v y 9 J u c v W + a S 0 R Z a 5 o v x I + n l 9 / o R k m Z D w 0 G i 9 v L t f S y V 9 F e i G E W H u E O + C F b 1 a q j c I j c M B R W M Q i S Y O S g h + 2 Q / 1 c M d z W 7 B w h Y d u Y v Z u n z B B X P r I A 2 T R p d x / b R 3 r Z n S P c t 5 3 G t A I g U Q q n v t W J E E U k o k Z 4 M R l 0 R q S N j g r H 1 + j r z A b T U u c M V B 3 W Y U C x b Z W i S P F 2 L P P c L 9 i r O M s A k Y b t P M u k 0 a b q L j / r z b I I b 0 V y s O 8 e e I M 2 l L A T L T O G 9 o M d X t K B t g B C q q g 5 h E s j O N b S / r K s 5 s h p f c w 0 6 + j i H D v p u 5 g 9 b 8 f Q E / K u C 1 3 / i 8 c l D i 8 u 8 J d 4 V U / Z U Q / 8 W E o G + M S t B m b J U g 7 8 S N 6 W h f G z Z d g Y 2 q / x w 2 q v 5 L 2 9 j y 4 w L u F / C T p 1 g N V l Y / v E q r Q a H V Y N f q J b n J b h / u k j F H g G K g y T S 7 1 y n I a W S / U g 7 2 V 2 x d t x R E Y N g n R q h t Y G 0 5 s L l W I 2 d C t I d E E K V D o y Z s k + z f d s 9 + q d 7 K 3 s r 5 J R h i Y V M a v + b m T S 7 o F Y x R S s a Q / R j m v e 2 s + m N 8 4 D 3 H S X T 8 p D 2 b T l J O 9 r s a 3 t m r 4 b 8 6 j B 4 V 8 g s A A P / / A w B Q S w E C L Q A U A A Y A C A A A A C E A K t 2 q Q N I A A A A 3 A Q A A E w A A A A A A A A A A A A A A A A A A A A A A W 0 N v b n R l b n R f V H l w Z X N d L n h t b F B L A Q I t A B Q A A g A I A A A A I Q C 6 Q 4 k / r Q A A A P c A A A A S A A A A A A A A A A A A A A A A A A s D A A B D b 2 5 m a W c v U G F j a 2 F n Z S 5 4 b W x Q S w E C L Q A U A A I A C A A A A C E A 4 M F 2 Y N U B A A C 9 B w A A E w A A A A A A A A A A A A A A A A D o A w A A R m 9 y b X V s Y X M v U 2 V j d G l v b j E u b V B L B Q Y A A A A A A w A D A M I A A A D u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C 0 A A A A A A A A S L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D E 0 J T I w K F B h Z 2 U l M j A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A 4 V D I w O j A 1 O j E y L j E 1 N D M x M j l a I i 8 + P E V u d H J 5 I F R 5 c G U 9 I k Z p b G x D b 2 x 1 b W 5 U e X B l c y I g V m F s d W U 9 I n N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l M D Z i N T I 4 L T U 3 Z D k t N G F l N i 1 i Z m I 5 L T h l O G M y M m Z l Y j J l Y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5 K S 9 B d X R v U m V t b 3 Z l Z E N v b H V t b n M x L n t D b 2 x 1 b W 4 x L D B 9 J n F 1 b 3 Q 7 L C Z x d W 9 0 O 1 N l Y 3 R p b 2 4 x L 1 R h Y m x l M D E 0 I C h Q Y W d l I D k p L 0 F 1 d G 9 S Z W 1 v d m V k Q 2 9 s d W 1 u c z E u e 0 N v b H V t b j I s M X 0 m c X V v d D s s J n F 1 b 3 Q 7 U 2 V j d G l v b j E v V G F i b G U w M T Q g K F B h Z 2 U g O S k v Q X V 0 b 1 J l b W 9 2 Z W R D b 2 x 1 b W 5 z M S 5 7 Q 2 9 s d W 1 u M y w y f S Z x d W 9 0 O y w m c X V v d D t T Z W N 0 a W 9 u M S 9 U Y W J s Z T A x N C A o U G F n Z S A 5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0 I C h Q Y W d l I D k p L 0 F 1 d G 9 S Z W 1 v d m V k Q 2 9 s d W 1 u c z E u e 0 N v b H V t b j E s M H 0 m c X V v d D s s J n F 1 b 3 Q 7 U 2 V j d G l v b j E v V G F i b G U w M T Q g K F B h Z 2 U g O S k v Q X V 0 b 1 J l b W 9 2 Z W R D b 2 x 1 b W 5 z M S 5 7 Q 2 9 s d W 1 u M i w x f S Z x d W 9 0 O y w m c X V v d D t T Z W N 0 a W 9 u M S 9 U Y W J s Z T A x N C A o U G F n Z S A 5 K S 9 B d X R v U m V t b 3 Z l Z E N v b H V t b n M x L n t D b 2 x 1 b W 4 z L D J 9 J n F 1 b 3 Q 7 L C Z x d W 9 0 O 1 N l Y 3 R p b 2 4 x L 1 R h Y m x l M D E 0 I C h Q Y W d l I D k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M D E 0 X 1 9 Q Y W d l X z k i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A 4 V D I w O j A 2 O j Q 3 L j Y 0 M j k 4 O T V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M 2 E 0 M j I 2 Y i 1 j Y m E 1 L T R i M W M t O T Y w N S 1 l M 2 E w Z j A 3 Y W F j N m Q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i k v Q X V 0 b 1 J l b W 9 2 Z W R D b 2 x 1 b W 5 z M S 5 7 Q 2 9 s d W 1 u M S w w f S Z x d W 9 0 O y w m c X V v d D t T Z W N 0 a W 9 u M S 9 U Y W J s Z T A w N i A o U G F n Z S A 2 K S 9 B d X R v U m V t b 3 Z l Z E N v b H V t b n M x L n t D b 2 x 1 b W 4 y L D F 9 J n F 1 b 3 Q 7 L C Z x d W 9 0 O 1 N l Y 3 R p b 2 4 x L 1 R h Y m x l M D A 2 I C h Q Y W d l I D Y p L 0 F 1 d G 9 S Z W 1 v d m V k Q 2 9 s d W 1 u c z E u e 0 N v b H V t b j M s M n 0 m c X V v d D s s J n F 1 b 3 Q 7 U 2 V j d G l v b j E v V G F i b G U w M D Y g K F B h Z 2 U g N i k v Q X V 0 b 1 J l b W 9 2 Z W R D b 2 x 1 b W 5 z M S 5 7 Q 2 9 s d W 1 u N C w z f S Z x d W 9 0 O y w m c X V v d D t T Z W N 0 a W 9 u M S 9 U Y W J s Z T A w N i A o U G F n Z S A 2 K S 9 B d X R v U m V t b 3 Z l Z E N v b H V t b n M x L n t D b 2 x 1 b W 4 1 L D R 9 J n F 1 b 3 Q 7 L C Z x d W 9 0 O 1 N l Y 3 R p b 2 4 x L 1 R h Y m x l M D A 2 I C h Q Y W d l I D Y p L 0 F 1 d G 9 S Z W 1 v d m V k Q 2 9 s d W 1 u c z E u e 0 N v b H V t b j Y s N X 0 m c X V v d D s s J n F 1 b 3 Q 7 U 2 V j d G l v b j E v V G F i b G U w M D Y g K F B h Z 2 U g N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i A o U G F n Z S A 2 K S 9 B d X R v U m V t b 3 Z l Z E N v b H V t b n M x L n t D b 2 x 1 b W 4 x L D B 9 J n F 1 b 3 Q 7 L C Z x d W 9 0 O 1 N l Y 3 R p b 2 4 x L 1 R h Y m x l M D A 2 I C h Q Y W d l I D Y p L 0 F 1 d G 9 S Z W 1 v d m V k Q 2 9 s d W 1 u c z E u e 0 N v b H V t b j I s M X 0 m c X V v d D s s J n F 1 b 3 Q 7 U 2 V j d G l v b j E v V G F i b G U w M D Y g K F B h Z 2 U g N i k v Q X V 0 b 1 J l b W 9 2 Z W R D b 2 x 1 b W 5 z M S 5 7 Q 2 9 s d W 1 u M y w y f S Z x d W 9 0 O y w m c X V v d D t T Z W N 0 a W 9 u M S 9 U Y W J s Z T A w N i A o U G F n Z S A 2 K S 9 B d X R v U m V t b 3 Z l Z E N v b H V t b n M x L n t D b 2 x 1 b W 4 0 L D N 9 J n F 1 b 3 Q 7 L C Z x d W 9 0 O 1 N l Y 3 R p b 2 4 x L 1 R h Y m x l M D A 2 I C h Q Y W d l I D Y p L 0 F 1 d G 9 S Z W 1 v d m V k Q 2 9 s d W 1 u c z E u e 0 N v b H V t b j U s N H 0 m c X V v d D s s J n F 1 b 3 Q 7 U 2 V j d G l v b j E v V G F i b G U w M D Y g K F B h Z 2 U g N i k v Q X V 0 b 1 J l b W 9 2 Z W R D b 2 x 1 b W 5 z M S 5 7 Q 2 9 s d W 1 u N i w 1 f S Z x d W 9 0 O y w m c X V v d D t T Z W N 0 a W 9 u M S 9 U Y W J s Z T A w N i A o U G F n Z S A 2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A 4 V D I w O j E x O j U y L j U x N D Y y N T d a I i 8 + P E V u d H J 5 I F R 5 c G U 9 I k Z p b G x D b 2 x 1 b W 5 U e X B l c y I g V m F s d W U 9 I n N C Z 1 l H Q m d Z R 0 J n T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O b 3 R h J n F 1 b 3 Q 7 L C Z x d W 9 0 O 1 J v a y B 6 Y W t v x Y R j e m 9 u e S Z x d W 9 0 O y w m c X V v d D t S b 2 s g e m F r b 8 W E Y 3 p v b n l f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h h M z A 3 Z D U t M D c 3 Y y 0 0 N W U 1 L T k 0 N 2 E t Z G Q 1 M T Y 1 N 2 F j Y z E 2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4 K S 9 B d X R v U m V t b 3 Z l Z E N v b H V t b n M x L n t D b 2 x 1 b W 4 x L D B 9 J n F 1 b 3 Q 7 L C Z x d W 9 0 O 1 N l Y 3 R p b 2 4 x L 1 R h Y m x l M D A 5 I C h Q Y W d l I D g p L 0 F 1 d G 9 S Z W 1 v d m V k Q 2 9 s d W 1 u c z E u e 0 N v b H V t b j I s M X 0 m c X V v d D s s J n F 1 b 3 Q 7 U 2 V j d G l v b j E v V G F i b G U w M D k g K F B h Z 2 U g O C k v Q X V 0 b 1 J l b W 9 2 Z W R D b 2 x 1 b W 5 z M S 5 7 Q 2 9 s d W 1 u M y w y f S Z x d W 9 0 O y w m c X V v d D t T Z W N 0 a W 9 u M S 9 U Y W J s Z T A w O S A o U G F n Z S A 4 K S 9 B d X R v U m V t b 3 Z l Z E N v b H V t b n M x L n t D b 2 x 1 b W 4 0 L D N 9 J n F 1 b 3 Q 7 L C Z x d W 9 0 O 1 N l Y 3 R p b 2 4 x L 1 R h Y m x l M D A 5 I C h Q Y W d l I D g p L 0 F 1 d G 9 S Z W 1 v d m V k Q 2 9 s d W 1 u c z E u e 0 N v b H V t b j U s N H 0 m c X V v d D s s J n F 1 b 3 Q 7 U 2 V j d G l v b j E v V G F i b G U w M D k g K F B h Z 2 U g O C k v Q X V 0 b 1 J l b W 9 2 Z W R D b 2 x 1 b W 5 z M S 5 7 Q 2 9 s d W 1 u N i w 1 f S Z x d W 9 0 O y w m c X V v d D t T Z W N 0 a W 9 u M S 9 U Y W J s Z T A w O S A o U G F n Z S A 4 K S 9 B d X R v U m V t b 3 Z l Z E N v b H V t b n M x L n t D b 2 x 1 b W 4 3 L D Z 9 J n F 1 b 3 Q 7 L C Z x d W 9 0 O 1 N l Y 3 R p b 2 4 x L 1 R h Y m x l M D A 5 I C h Q Y W d l I D g p L 0 F 1 d G 9 S Z W 1 v d m V k Q 2 9 s d W 1 u c z E u e 0 5 v d G E s N 3 0 m c X V v d D s s J n F 1 b 3 Q 7 U 2 V j d G l v b j E v V G F i b G U w M D k g K F B h Z 2 U g O C k v Q X V 0 b 1 J l b W 9 2 Z W R D b 2 x 1 b W 5 z M S 5 7 U m 9 r I H p h a 2 / F h G N 6 b 2 5 5 L D h 9 J n F 1 b 3 Q 7 L C Z x d W 9 0 O 1 N l Y 3 R p b 2 4 x L 1 R h Y m x l M D A 5 I C h Q Y W d l I D g p L 0 F 1 d G 9 S Z W 1 v d m V k Q 2 9 s d W 1 u c z E u e 1 J v a y B 6 Y W t v x Y R j e m 9 u e V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O S A o U G F n Z S A 4 K S 9 B d X R v U m V t b 3 Z l Z E N v b H V t b n M x L n t D b 2 x 1 b W 4 x L D B 9 J n F 1 b 3 Q 7 L C Z x d W 9 0 O 1 N l Y 3 R p b 2 4 x L 1 R h Y m x l M D A 5 I C h Q Y W d l I D g p L 0 F 1 d G 9 S Z W 1 v d m V k Q 2 9 s d W 1 u c z E u e 0 N v b H V t b j I s M X 0 m c X V v d D s s J n F 1 b 3 Q 7 U 2 V j d G l v b j E v V G F i b G U w M D k g K F B h Z 2 U g O C k v Q X V 0 b 1 J l b W 9 2 Z W R D b 2 x 1 b W 5 z M S 5 7 Q 2 9 s d W 1 u M y w y f S Z x d W 9 0 O y w m c X V v d D t T Z W N 0 a W 9 u M S 9 U Y W J s Z T A w O S A o U G F n Z S A 4 K S 9 B d X R v U m V t b 3 Z l Z E N v b H V t b n M x L n t D b 2 x 1 b W 4 0 L D N 9 J n F 1 b 3 Q 7 L C Z x d W 9 0 O 1 N l Y 3 R p b 2 4 x L 1 R h Y m x l M D A 5 I C h Q Y W d l I D g p L 0 F 1 d G 9 S Z W 1 v d m V k Q 2 9 s d W 1 u c z E u e 0 N v b H V t b j U s N H 0 m c X V v d D s s J n F 1 b 3 Q 7 U 2 V j d G l v b j E v V G F i b G U w M D k g K F B h Z 2 U g O C k v Q X V 0 b 1 J l b W 9 2 Z W R D b 2 x 1 b W 5 z M S 5 7 Q 2 9 s d W 1 u N i w 1 f S Z x d W 9 0 O y w m c X V v d D t T Z W N 0 a W 9 u M S 9 U Y W J s Z T A w O S A o U G F n Z S A 4 K S 9 B d X R v U m V t b 3 Z l Z E N v b H V t b n M x L n t D b 2 x 1 b W 4 3 L D Z 9 J n F 1 b 3 Q 7 L C Z x d W 9 0 O 1 N l Y 3 R p b 2 4 x L 1 R h Y m x l M D A 5 I C h Q Y W d l I D g p L 0 F 1 d G 9 S Z W 1 v d m V k Q 2 9 s d W 1 u c z E u e 0 5 v d G E s N 3 0 m c X V v d D s s J n F 1 b 3 Q 7 U 2 V j d G l v b j E v V G F i b G U w M D k g K F B h Z 2 U g O C k v Q X V 0 b 1 J l b W 9 2 Z W R D b 2 x 1 b W 5 z M S 5 7 U m 9 r I H p h a 2 / F h G N 6 b 2 5 5 L D h 9 J n F 1 b 3 Q 7 L C Z x d W 9 0 O 1 N l Y 3 R p b 2 4 x L 1 R h Y m x l M D A 5 I C h Q Y W d l I D g p L 0 F 1 d G 9 S Z W 1 v d m V k Q 2 9 s d W 1 u c z E u e 1 J v a y B 6 Y W t v x Y R j e m 9 u e V 8 x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A 0 V D A 5 O j M 3 O j Q 0 L j E y N D I 3 M j d a I i 8 + P E V u d H J 5 I F R 5 c G U 9 I k Z p b G x D b 2 x 1 b W 5 U e X B l c y I g V m F s d W U 9 I n N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z M D A 4 M 2 N l L T A y M j g t N D U 2 Y y 0 5 O T N j L W E 2 Z j Z h M 2 M x Z T R l N y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1 K S 9 B d X R v U m V t b 3 Z l Z E N v b H V t b n M x L n t D b 2 x 1 b W 4 x L D B 9 J n F 1 b 3 Q 7 L C Z x d W 9 0 O 1 N l Y 3 R p b 2 4 x L 1 R h Y m x l M D A 2 I C h Q Y W d l I D U p L 0 F 1 d G 9 S Z W 1 v d m V k Q 2 9 s d W 1 u c z E u e 0 N v b H V t b j I s M X 0 m c X V v d D s s J n F 1 b 3 Q 7 U 2 V j d G l v b j E v V G F i b G U w M D Y g K F B h Z 2 U g N S k v Q X V 0 b 1 J l b W 9 2 Z W R D b 2 x 1 b W 5 z M S 5 7 Q 2 9 s d W 1 u M y w y f S Z x d W 9 0 O y w m c X V v d D t T Z W N 0 a W 9 u M S 9 U Y W J s Z T A w N i A o U G F n Z S A 1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2 I C h Q Y W d l I D U p L 0 F 1 d G 9 S Z W 1 v d m V k Q 2 9 s d W 1 u c z E u e 0 N v b H V t b j E s M H 0 m c X V v d D s s J n F 1 b 3 Q 7 U 2 V j d G l v b j E v V G F i b G U w M D Y g K F B h Z 2 U g N S k v Q X V 0 b 1 J l b W 9 2 Z W R D b 2 x 1 b W 5 z M S 5 7 Q 2 9 s d W 1 u M i w x f S Z x d W 9 0 O y w m c X V v d D t T Z W N 0 a W 9 u M S 9 U Y W J s Z T A w N i A o U G F n Z S A 1 K S 9 B d X R v U m V t b 3 Z l Z E N v b H V t b n M x L n t D b 2 x 1 b W 4 z L D J 9 J n F 1 b 3 Q 7 L C Z x d W 9 0 O 1 N l Y 3 R p b 2 4 x L 1 R h Y m x l M D A 2 I C h Q Y W d l I D U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M D A 2 X 1 9 Q Y W d l X z U i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S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O S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5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2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2 K S 9 U Y W J s Z T A w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Y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g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g p L 1 R h Y m x l M D A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O C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5 J T I w K F B h Z 2 U l M j A 4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1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1 K S 9 U Y W J s Z T A w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U p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h A M J 5 3 i w 0 K G S u F / e f L l d Q A A A A A C A A A A A A A Q Z g A A A A E A A C A A A A A W K j f y i r J J E W V K G v b 9 E U 6 5 1 P 5 X L K 6 Q 1 m l + 6 8 p P M A v t r g A A A A A O g A A A A A I A A C A A A A C T T F / c H h B / G 0 4 R C n 5 u v r a g X 8 1 V 6 a D j Y C y f 5 w 2 f l L Q q s V A A A A C 5 S g a R G 2 F Q i H 4 f W u G C F Z h T f f U q O p L E s 2 o i 6 W U e x K D 4 o K i H 7 G l J A C Y T c V E + J g m 3 e Z N G I D l A 6 p E w 2 F V y y X m u S B d b 4 d A d g w U p 5 + b j 2 / 5 7 o 0 X b e E A A A A B K A C K i 7 g y E i j z / i F y p W I m A J N I D c e O 6 E A 3 K n W a x U 0 i t G N A 9 X U p O P l Y I z M 0 u i N r O R 9 / C I k e 5 o 4 c J Z 9 3 f W K z 0 X 6 g 8 < / D a t a M a s h u p > 
</file>

<file path=customXml/itemProps1.xml><?xml version="1.0" encoding="utf-8"?>
<ds:datastoreItem xmlns:ds="http://schemas.openxmlformats.org/officeDocument/2006/customXml" ds:itemID="{19DA6263-0838-48DD-B6FA-6E27810667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47577E-A637-4CA0-808A-3E86603854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359C09-3FE2-4CA2-BF0A-558168EB98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Rachunek Przepływów pieniężnych</vt:lpstr>
      <vt:lpstr>Pasywa</vt:lpstr>
      <vt:lpstr>Aktywa</vt:lpstr>
      <vt:lpstr>Rachunek Zysków i strat</vt:lpstr>
      <vt:lpstr>Wnioski Ogólne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Głogowski</dc:creator>
  <cp:lastModifiedBy>Zuzanna Bosak</cp:lastModifiedBy>
  <dcterms:created xsi:type="dcterms:W3CDTF">2024-01-08T20:02:56Z</dcterms:created>
  <dcterms:modified xsi:type="dcterms:W3CDTF">2024-01-15T19:31:55Z</dcterms:modified>
</cp:coreProperties>
</file>