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a0273331\Desktop\HVP\HVC\Apps\PSFB\"/>
    </mc:Choice>
  </mc:AlternateContent>
  <xr:revisionPtr revIDLastSave="0" documentId="13_ncr:40009_{9FBAE10C-8277-4C01-B8FA-D6F1C0F5B42C}" xr6:coauthVersionLast="36" xr6:coauthVersionMax="36" xr10:uidLastSave="{00000000-0000-0000-0000-000000000000}"/>
  <bookViews>
    <workbookView xWindow="1575" yWindow="45" windowWidth="13275" windowHeight="9660" tabRatio="806" activeTab="2"/>
  </bookViews>
  <sheets>
    <sheet name="Instructions" sheetId="2" r:id="rId1"/>
    <sheet name="Functional Schematic" sheetId="7" r:id="rId2"/>
    <sheet name="Design Information" sheetId="1" r:id="rId3"/>
    <sheet name="Figure of T1 Current" sheetId="8" r:id="rId4"/>
    <sheet name="TABSET Valley Switching" sheetId="9" r:id="rId5"/>
    <sheet name="TCDSET Valley Switching" sheetId="10" r:id="rId6"/>
    <sheet name="Notice and Disclaimer" sheetId="11" r:id="rId7"/>
    <sheet name="Voltage Loop" sheetId="6" state="hidden" r:id="rId8"/>
    <sheet name="Standard R and C Look Up Table" sheetId="3" state="hidden" r:id="rId9"/>
  </sheets>
  <externalReferences>
    <externalReference r:id="rId10"/>
  </externalReferences>
  <definedNames>
    <definedName name="C_enter">'Standard R and C Look Up Table'!$K$2</definedName>
    <definedName name="C_f1">'Standard R and C Look Up Table'!$K$17</definedName>
    <definedName name="C_f2">'Standard R and C Look Up Table'!$K$24</definedName>
    <definedName name="c_s1">'Standard R and C Look Up Table'!$J$6</definedName>
    <definedName name="C_s2">'Standard R and C Look Up Table'!$J$19</definedName>
    <definedName name="Center">'Standard R and C Look Up Table'!$K$2</definedName>
    <definedName name="constant">'Design Information'!$C$132</definedName>
    <definedName name="cossqaavg">'Design Information'!$C$56</definedName>
    <definedName name="cossqaspec">'Design Information'!$C$53</definedName>
    <definedName name="cossqeavg">'Design Information'!$C$90</definedName>
    <definedName name="cout">'Design Information'!$C$80</definedName>
    <definedName name="Cp">'Design Information'!$C$151</definedName>
    <definedName name="CPC">'[1]Design Information'!$C$87</definedName>
    <definedName name="Cstandard">'Standard R and C Look Up Table'!$K$3</definedName>
    <definedName name="Cz">'Design Information'!$C$146</definedName>
    <definedName name="CZC">'[1]Design Information'!$C$85</definedName>
    <definedName name="d2a">'Design Information'!$C$135</definedName>
    <definedName name="dclamp">'Design Information'!$C$102</definedName>
    <definedName name="dcrlout">'Design Information'!$C$69</definedName>
    <definedName name="dcrp">'Design Information'!$C$45</definedName>
    <definedName name="dcrs">'Design Information'!$C$46</definedName>
    <definedName name="dilmag">'Design Information'!$C$37</definedName>
    <definedName name="dilout">'Design Information'!$C$28</definedName>
    <definedName name="dmax">'Design Information'!$C$24</definedName>
    <definedName name="dtyp">'Design Information'!$C$27</definedName>
    <definedName name="E12_f">'Standard R and C Look Up Table'!$F$21</definedName>
    <definedName name="E12_s">'Standard R and C Look Up Table'!$E$10</definedName>
    <definedName name="E24_f">'Standard R and C Look Up Table'!$F$46</definedName>
    <definedName name="E24_s">'Standard R and C Look Up Table'!$E$23</definedName>
    <definedName name="E48_f">'Standard R and C Look Up Table'!$F$95</definedName>
    <definedName name="E48_s">'Standard R and C Look Up Table'!$E$48</definedName>
    <definedName name="E6_f">'Standard R and C Look Up Table'!$F$8</definedName>
    <definedName name="E6_s">'Standard R and C Look Up Table'!$E$3</definedName>
    <definedName name="E96_f">'Standard R and C Look Up Table'!$H$98</definedName>
    <definedName name="E96_s">'Standard R and C Look Up Table'!$G$3</definedName>
    <definedName name="Eff">'Design Information'!$B$17</definedName>
    <definedName name="esrcout">'Design Information'!$C$81</definedName>
    <definedName name="fc">'Design Information'!$C$130</definedName>
    <definedName name="fpp">'Design Information'!$C$129</definedName>
    <definedName name="fs">'Design Information'!$C$18</definedName>
    <definedName name="iloutrms">'Design Information'!$C$67</definedName>
    <definedName name="imp">'Design Information'!$C$39</definedName>
    <definedName name="_imp2">'Design Information'!$C$40</definedName>
    <definedName name="ims">'Design Information'!$C$31</definedName>
    <definedName name="_ims2">'Design Information'!$C$32</definedName>
    <definedName name="ipp">'Design Information'!$C$38</definedName>
    <definedName name="_ipp1">'Design Information'!$C$112</definedName>
    <definedName name="iprms">'Design Information'!$C$43</definedName>
    <definedName name="iprms1">'Design Information'!$C$41</definedName>
    <definedName name="iprms2">'Design Information'!$C$42</definedName>
    <definedName name="ips">'Design Information'!$C$30</definedName>
    <definedName name="isrms">'Design Information'!$C$36</definedName>
    <definedName name="isrms1">'Design Information'!$C$33</definedName>
    <definedName name="isrms2">'Design Information'!$C$34</definedName>
    <definedName name="isrms3">'Design Information'!$C$35</definedName>
    <definedName name="LAVG">'[1]Design Information'!$C$29</definedName>
    <definedName name="llk">'Design Information'!$C$47</definedName>
    <definedName name="lmag">'Design Information'!$C$29</definedName>
    <definedName name="lmag1">'Design Information'!$C$29</definedName>
    <definedName name="lmag2">'Design Information'!$C$44</definedName>
    <definedName name="lout">'Design Information'!$C$68</definedName>
    <definedName name="ls">'Design Information'!$C$61</definedName>
    <definedName name="n1divd1">'Design Information'!$C$134</definedName>
    <definedName name="NCT">'[1]Design Information'!$C$40</definedName>
    <definedName name="pbudget">'Design Information'!$C$22</definedName>
    <definedName name="pout">'Design Information'!$D$16</definedName>
    <definedName name="QAg">'Design Information'!$C$54</definedName>
    <definedName name="qeg">'Design Information'!$C$86</definedName>
    <definedName name="rdsonqa">'Design Information'!$C$52</definedName>
    <definedName name="rdsonqe">'Design Information'!$C$87</definedName>
    <definedName name="rf">'Design Information'!$C$141</definedName>
    <definedName name="RII">'Design Information'!$C$128</definedName>
    <definedName name="rload">'Design Information'!$C$131</definedName>
    <definedName name="RS">'Design Information'!$C$115</definedName>
    <definedName name="RZC">'[1]Design Information'!$C$83</definedName>
    <definedName name="_st1">'Design Information'!#REF!</definedName>
    <definedName name="_st10">'Standard R and C Look Up Table'!#REF!</definedName>
    <definedName name="_st11">'Standard R and C Look Up Table'!#REF!</definedName>
    <definedName name="_st12">'Standard R and C Look Up Table'!#REF!</definedName>
    <definedName name="_st13">'Standard R and C Look Up Table'!#REF!</definedName>
    <definedName name="_st14">'Standard R and C Look Up Table'!#REF!</definedName>
    <definedName name="_st15">'Standard R and C Look Up Table'!#REF!</definedName>
    <definedName name="_st16">'Standard R and C Look Up Table'!#REF!</definedName>
    <definedName name="_st17">'Standard R and C Look Up Table'!#REF!</definedName>
    <definedName name="_st18">'Standard R and C Look Up Table'!#REF!</definedName>
    <definedName name="_st2">'Design Information'!#REF!</definedName>
    <definedName name="_st3">'Standard R and C Look Up Table'!#REF!</definedName>
    <definedName name="_st4">'Standard R and C Look Up Table'!#REF!</definedName>
    <definedName name="_st5">'Standard R and C Look Up Table'!#REF!</definedName>
    <definedName name="_st6">'Standard R and C Look Up Table'!#REF!</definedName>
    <definedName name="_st7">'Standard R and C Look Up Table'!#REF!</definedName>
    <definedName name="_st8">'Standard R and C Look Up Table'!#REF!</definedName>
    <definedName name="_st9">'Standard R and C Look Up Table'!#REF!</definedName>
    <definedName name="sta">'Standard R and C Look Up Table'!$L$6</definedName>
    <definedName name="stb">'Standard R and C Look Up Table'!$L$19</definedName>
    <definedName name="std">'Design Information'!#REF!</definedName>
    <definedName name="_std2">'Design Information'!#REF!</definedName>
    <definedName name="_ta1">'Design Information'!$C$25</definedName>
    <definedName name="_ta11">'Design Information'!$C$25</definedName>
    <definedName name="_ta2">'Design Information'!$C$111</definedName>
    <definedName name="_taa1">'Design Information'!$C$26</definedName>
    <definedName name="tabset">'Design Information'!$C$182</definedName>
    <definedName name="tafset">'Design Information'!$C$200</definedName>
    <definedName name="tcdset">'Design Information'!$C$194</definedName>
    <definedName name="tdelay">'Design Information'!$C$100</definedName>
    <definedName name="temp">#REF!</definedName>
    <definedName name="thu">'Design Information'!$C$73</definedName>
    <definedName name="tr">'Design Information'!$C$95</definedName>
    <definedName name="_va1">'Design Information'!$C$120</definedName>
    <definedName name="vadel">'Design Information'!$C$188</definedName>
    <definedName name="vdsqe">'Design Information'!$C$85</definedName>
    <definedName name="vg">'Design Information'!$C$51</definedName>
    <definedName name="vin">'Design Information'!$C$13</definedName>
    <definedName name="vinerror">'Design Information'!#REF!</definedName>
    <definedName name="VINMAX">'Design Information'!$D$13</definedName>
    <definedName name="VINMIAX">'Design Information'!$D$13</definedName>
    <definedName name="VINMIN">'Design Information'!$B$13</definedName>
    <definedName name="VOUT">'Design Information'!$C$14</definedName>
    <definedName name="voutmin">'Design Information'!$B$14</definedName>
    <definedName name="vrdson">'Design Information'!$C$23</definedName>
    <definedName name="Vslope1">'Design Information'!$C$221</definedName>
    <definedName name="Vslope2">'Design Information'!$C$222</definedName>
    <definedName name="VTRAN">'Design Information'!$D$15</definedName>
  </definedNames>
  <calcPr calcId="191029"/>
</workbook>
</file>

<file path=xl/calcChain.xml><?xml version="1.0" encoding="utf-8"?>
<calcChain xmlns="http://schemas.openxmlformats.org/spreadsheetml/2006/main">
  <c r="C25" i="1" l="1"/>
  <c r="C66" i="6"/>
  <c r="C27" i="1"/>
  <c r="C85" i="1"/>
  <c r="C90" i="1"/>
  <c r="C74" i="1"/>
  <c r="D27" i="1"/>
  <c r="C28" i="1"/>
  <c r="C112" i="1"/>
  <c r="C113" i="1" s="1"/>
  <c r="C114" i="1" s="1"/>
  <c r="C221" i="1"/>
  <c r="C206" i="1"/>
  <c r="C207" i="1"/>
  <c r="C208" i="1"/>
  <c r="C202" i="1"/>
  <c r="C203" i="1"/>
  <c r="C204" i="1"/>
  <c r="C184" i="1"/>
  <c r="C185" i="1"/>
  <c r="C186" i="1"/>
  <c r="C56" i="1"/>
  <c r="C99" i="1"/>
  <c r="C100" i="1"/>
  <c r="C188" i="1"/>
  <c r="C195" i="1"/>
  <c r="C189" i="1"/>
  <c r="F18" i="1"/>
  <c r="F13" i="1"/>
  <c r="C22" i="1"/>
  <c r="C81" i="1"/>
  <c r="C95" i="1"/>
  <c r="F17" i="1"/>
  <c r="E121" i="1"/>
  <c r="E120" i="1"/>
  <c r="C199" i="1"/>
  <c r="F14" i="1"/>
  <c r="C101" i="1"/>
  <c r="E104" i="1"/>
  <c r="C4" i="3"/>
  <c r="C216" i="1"/>
  <c r="C131" i="1"/>
  <c r="C53" i="6"/>
  <c r="C80" i="1"/>
  <c r="C129" i="1"/>
  <c r="E3" i="6"/>
  <c r="I3" i="6"/>
  <c r="K3" i="6"/>
  <c r="J3" i="6"/>
  <c r="E2" i="6"/>
  <c r="I2" i="6"/>
  <c r="J2" i="6"/>
  <c r="K2" i="6"/>
  <c r="R2" i="6"/>
  <c r="C130" i="1"/>
  <c r="C135" i="1"/>
  <c r="A2" i="6"/>
  <c r="A3" i="6"/>
  <c r="A4" i="6"/>
  <c r="C7" i="3"/>
  <c r="C217" i="1"/>
  <c r="C212" i="1"/>
  <c r="C213" i="1"/>
  <c r="C196" i="1"/>
  <c r="C190" i="1"/>
  <c r="C175" i="1"/>
  <c r="C178" i="1"/>
  <c r="C177" i="1"/>
  <c r="C176" i="1" s="1"/>
  <c r="C147" i="1"/>
  <c r="L6" i="3"/>
  <c r="K3" i="3" s="1"/>
  <c r="L19" i="3"/>
  <c r="C5" i="3"/>
  <c r="C8" i="3"/>
  <c r="C126" i="1"/>
  <c r="C127" i="1"/>
  <c r="C122" i="1"/>
  <c r="C123" i="1"/>
  <c r="C118" i="1"/>
  <c r="C6" i="3"/>
  <c r="C73" i="1"/>
  <c r="C75" i="1"/>
  <c r="C80" i="6"/>
  <c r="C133" i="1"/>
  <c r="C134" i="1"/>
  <c r="C136" i="1"/>
  <c r="C45" i="6"/>
  <c r="C84" i="6"/>
  <c r="C12" i="6"/>
  <c r="C54" i="6"/>
  <c r="C10" i="6"/>
  <c r="C96" i="6"/>
  <c r="C57" i="6"/>
  <c r="C47" i="6"/>
  <c r="C220" i="1"/>
  <c r="C222" i="1"/>
  <c r="C223" i="1"/>
  <c r="C224" i="1"/>
  <c r="C225" i="1"/>
  <c r="C77" i="6"/>
  <c r="C29" i="1"/>
  <c r="C31" i="1"/>
  <c r="C67" i="1"/>
  <c r="C70" i="1"/>
  <c r="C32" i="6"/>
  <c r="C49" i="6"/>
  <c r="C74" i="6"/>
  <c r="C30" i="1"/>
  <c r="C14" i="6"/>
  <c r="C66" i="1"/>
  <c r="E68" i="1"/>
  <c r="C34" i="6"/>
  <c r="D3" i="6"/>
  <c r="F3" i="6"/>
  <c r="C76" i="1"/>
  <c r="C82" i="1"/>
  <c r="C35" i="1"/>
  <c r="C36" i="1"/>
  <c r="C48" i="6"/>
  <c r="C85" i="6"/>
  <c r="C79" i="6"/>
  <c r="C75" i="6"/>
  <c r="C33" i="6"/>
  <c r="C56" i="6"/>
  <c r="C65" i="6"/>
  <c r="C102" i="1"/>
  <c r="C181" i="1"/>
  <c r="C193" i="1"/>
  <c r="C32" i="1"/>
  <c r="C34" i="1"/>
  <c r="C33" i="1"/>
  <c r="C117" i="1"/>
  <c r="C103" i="1"/>
  <c r="C104" i="1"/>
  <c r="C93" i="6"/>
  <c r="C43" i="6"/>
  <c r="C87" i="6"/>
  <c r="C27" i="6"/>
  <c r="C9" i="6"/>
  <c r="C35" i="6"/>
  <c r="C69" i="6"/>
  <c r="C8" i="6"/>
  <c r="C11" i="6"/>
  <c r="C23" i="6"/>
  <c r="C82" i="6"/>
  <c r="C89" i="6"/>
  <c r="C46" i="6"/>
  <c r="C83" i="6"/>
  <c r="C18" i="6"/>
  <c r="C62" i="6"/>
  <c r="C31" i="6"/>
  <c r="C94" i="6"/>
  <c r="C78" i="6"/>
  <c r="C36" i="6"/>
  <c r="C88" i="6"/>
  <c r="C70" i="6"/>
  <c r="C42" i="6"/>
  <c r="C58" i="6"/>
  <c r="C50" i="6"/>
  <c r="C95" i="6"/>
  <c r="C29" i="6"/>
  <c r="C81" i="6"/>
  <c r="C41" i="6"/>
  <c r="C132" i="1"/>
  <c r="C137" i="1"/>
  <c r="C138" i="1"/>
  <c r="C139" i="1"/>
  <c r="C140" i="1"/>
  <c r="C37" i="6"/>
  <c r="C6" i="6"/>
  <c r="C16" i="6"/>
  <c r="C19" i="6"/>
  <c r="C68" i="6"/>
  <c r="C2" i="6"/>
  <c r="C92" i="6"/>
  <c r="C67" i="6"/>
  <c r="C64" i="6"/>
  <c r="C100" i="6"/>
  <c r="C21" i="6"/>
  <c r="C40" i="6"/>
  <c r="C5" i="6"/>
  <c r="C61" i="6"/>
  <c r="C15" i="6"/>
  <c r="C44" i="6"/>
  <c r="C3" i="6"/>
  <c r="G3" i="6"/>
  <c r="C59" i="6"/>
  <c r="C55" i="6"/>
  <c r="C71" i="6"/>
  <c r="C13" i="6"/>
  <c r="C22" i="6"/>
  <c r="C63" i="6"/>
  <c r="C52" i="6"/>
  <c r="C25" i="6"/>
  <c r="C28" i="6"/>
  <c r="C99" i="6"/>
  <c r="C30" i="6"/>
  <c r="C90" i="6"/>
  <c r="C72" i="6"/>
  <c r="C73" i="6"/>
  <c r="C7" i="6"/>
  <c r="C26" i="6"/>
  <c r="C98" i="6"/>
  <c r="C228" i="1"/>
  <c r="C230" i="1"/>
  <c r="C231" i="1"/>
  <c r="C24" i="6"/>
  <c r="D2" i="6"/>
  <c r="F2" i="6"/>
  <c r="C20" i="6"/>
  <c r="C91" i="6"/>
  <c r="C86" i="6"/>
  <c r="C38" i="6"/>
  <c r="C39" i="6"/>
  <c r="G2" i="6"/>
  <c r="H2" i="6"/>
  <c r="C17" i="6"/>
  <c r="C60" i="6"/>
  <c r="C97" i="6"/>
  <c r="C4" i="6"/>
  <c r="C51" i="6"/>
  <c r="C101" i="6"/>
  <c r="C76" i="6"/>
  <c r="H3" i="6"/>
  <c r="L3" i="6"/>
  <c r="L2" i="6"/>
  <c r="M2" i="6"/>
  <c r="M3" i="6"/>
  <c r="N3" i="6"/>
  <c r="O3" i="6"/>
  <c r="N2" i="6"/>
  <c r="O2" i="6"/>
  <c r="C91" i="1"/>
  <c r="C96" i="1"/>
  <c r="C37" i="1"/>
  <c r="E44" i="1"/>
  <c r="A5" i="6"/>
  <c r="B4" i="6"/>
  <c r="C149" i="1"/>
  <c r="C148" i="1" s="1"/>
  <c r="C150" i="1"/>
  <c r="C142" i="1"/>
  <c r="B5" i="6"/>
  <c r="A6" i="6"/>
  <c r="C38" i="1"/>
  <c r="C40" i="1" s="1"/>
  <c r="C39" i="1"/>
  <c r="C144" i="1"/>
  <c r="C143" i="1"/>
  <c r="C145" i="1"/>
  <c r="J4" i="6"/>
  <c r="D4" i="6"/>
  <c r="E4" i="6"/>
  <c r="I4" i="6"/>
  <c r="K4" i="6"/>
  <c r="B6" i="6"/>
  <c r="A7" i="6"/>
  <c r="F4" i="6"/>
  <c r="G4" i="6"/>
  <c r="E5" i="6"/>
  <c r="J5" i="6"/>
  <c r="D5" i="6"/>
  <c r="F5" i="6"/>
  <c r="G5" i="6"/>
  <c r="I5" i="6"/>
  <c r="K5" i="6"/>
  <c r="H4" i="6"/>
  <c r="L4" i="6"/>
  <c r="J6" i="6"/>
  <c r="I6" i="6"/>
  <c r="K6" i="6"/>
  <c r="E6" i="6"/>
  <c r="D6" i="6"/>
  <c r="F6" i="6"/>
  <c r="G6" i="6"/>
  <c r="A8" i="6"/>
  <c r="B7" i="6"/>
  <c r="H5" i="6"/>
  <c r="L5" i="6"/>
  <c r="L6" i="6"/>
  <c r="H6" i="6"/>
  <c r="J7" i="6"/>
  <c r="I7" i="6"/>
  <c r="K7" i="6"/>
  <c r="E7" i="6"/>
  <c r="D7" i="6"/>
  <c r="B8" i="6"/>
  <c r="A9" i="6"/>
  <c r="M4" i="6"/>
  <c r="N4" i="6"/>
  <c r="O4" i="6"/>
  <c r="M5" i="6"/>
  <c r="N5" i="6"/>
  <c r="O5" i="6"/>
  <c r="B9" i="6"/>
  <c r="A10" i="6"/>
  <c r="D8" i="6"/>
  <c r="F8" i="6"/>
  <c r="G8" i="6"/>
  <c r="E8" i="6"/>
  <c r="J8" i="6"/>
  <c r="I8" i="6"/>
  <c r="K8" i="6"/>
  <c r="F7" i="6"/>
  <c r="G7" i="6"/>
  <c r="N6" i="6"/>
  <c r="O6" i="6"/>
  <c r="M6" i="6"/>
  <c r="L8" i="6"/>
  <c r="H8" i="6"/>
  <c r="A11" i="6"/>
  <c r="B10" i="6"/>
  <c r="H7" i="6"/>
  <c r="L7" i="6"/>
  <c r="J9" i="6"/>
  <c r="I9" i="6"/>
  <c r="K9" i="6"/>
  <c r="E9" i="6"/>
  <c r="D9" i="6"/>
  <c r="F9" i="6"/>
  <c r="G9" i="6"/>
  <c r="H9" i="6"/>
  <c r="L9" i="6"/>
  <c r="I10" i="6"/>
  <c r="K10" i="6"/>
  <c r="D10" i="6"/>
  <c r="J10" i="6"/>
  <c r="E10" i="6"/>
  <c r="A12" i="6"/>
  <c r="B11" i="6"/>
  <c r="M7" i="6"/>
  <c r="N7" i="6"/>
  <c r="O7" i="6"/>
  <c r="N8" i="6"/>
  <c r="O8" i="6"/>
  <c r="M8" i="6"/>
  <c r="J11" i="6"/>
  <c r="E11" i="6"/>
  <c r="I11" i="6"/>
  <c r="K11" i="6"/>
  <c r="D11" i="6"/>
  <c r="F11" i="6"/>
  <c r="G11" i="6"/>
  <c r="B12" i="6"/>
  <c r="A13" i="6"/>
  <c r="F10" i="6"/>
  <c r="G10" i="6"/>
  <c r="M9" i="6"/>
  <c r="N9" i="6"/>
  <c r="O9" i="6"/>
  <c r="L11" i="6"/>
  <c r="H11" i="6"/>
  <c r="A14" i="6"/>
  <c r="B13" i="6"/>
  <c r="H10" i="6"/>
  <c r="L10" i="6"/>
  <c r="J12" i="6"/>
  <c r="I12" i="6"/>
  <c r="K12" i="6"/>
  <c r="D12" i="6"/>
  <c r="F12" i="6"/>
  <c r="G12" i="6"/>
  <c r="E12" i="6"/>
  <c r="M10" i="6"/>
  <c r="N10" i="6"/>
  <c r="O10" i="6"/>
  <c r="I13" i="6"/>
  <c r="K13" i="6"/>
  <c r="J13" i="6"/>
  <c r="E13" i="6"/>
  <c r="D13" i="6"/>
  <c r="F13" i="6"/>
  <c r="G13" i="6"/>
  <c r="B14" i="6"/>
  <c r="A15" i="6"/>
  <c r="L12" i="6"/>
  <c r="H12" i="6"/>
  <c r="N11" i="6"/>
  <c r="O11" i="6"/>
  <c r="M11" i="6"/>
  <c r="L13" i="6"/>
  <c r="H13" i="6"/>
  <c r="M12" i="6"/>
  <c r="N12" i="6"/>
  <c r="O12" i="6"/>
  <c r="A16" i="6"/>
  <c r="B15" i="6"/>
  <c r="E14" i="6"/>
  <c r="J14" i="6"/>
  <c r="I14" i="6"/>
  <c r="D14" i="6"/>
  <c r="F14" i="6"/>
  <c r="G14" i="6"/>
  <c r="A17" i="6"/>
  <c r="B16" i="6"/>
  <c r="J15" i="6"/>
  <c r="I15" i="6"/>
  <c r="K15" i="6"/>
  <c r="D15" i="6"/>
  <c r="E15" i="6"/>
  <c r="H14" i="6"/>
  <c r="L14" i="6"/>
  <c r="K14" i="6"/>
  <c r="M13" i="6"/>
  <c r="N13" i="6"/>
  <c r="O13" i="6"/>
  <c r="N14" i="6"/>
  <c r="O14" i="6"/>
  <c r="M14" i="6"/>
  <c r="I16" i="6"/>
  <c r="E16" i="6"/>
  <c r="J16" i="6"/>
  <c r="D16" i="6"/>
  <c r="F16" i="6"/>
  <c r="G16" i="6"/>
  <c r="F15" i="6"/>
  <c r="G15" i="6"/>
  <c r="B17" i="6"/>
  <c r="A18" i="6"/>
  <c r="L15" i="6"/>
  <c r="H15" i="6"/>
  <c r="H16" i="6"/>
  <c r="E17" i="6"/>
  <c r="J17" i="6"/>
  <c r="I17" i="6"/>
  <c r="K17" i="6"/>
  <c r="D17" i="6"/>
  <c r="F17" i="6"/>
  <c r="G17" i="6"/>
  <c r="K16" i="6"/>
  <c r="L16" i="6"/>
  <c r="A19" i="6"/>
  <c r="B18" i="6"/>
  <c r="N16" i="6"/>
  <c r="O16" i="6"/>
  <c r="M16" i="6"/>
  <c r="L17" i="6"/>
  <c r="H17" i="6"/>
  <c r="I18" i="6"/>
  <c r="E18" i="6"/>
  <c r="J18" i="6"/>
  <c r="D18" i="6"/>
  <c r="F18" i="6"/>
  <c r="G18" i="6"/>
  <c r="A20" i="6"/>
  <c r="B19" i="6"/>
  <c r="M15" i="6"/>
  <c r="N15" i="6"/>
  <c r="O15" i="6"/>
  <c r="N17" i="6"/>
  <c r="O17" i="6"/>
  <c r="M17" i="6"/>
  <c r="H18" i="6"/>
  <c r="K18" i="6"/>
  <c r="L18" i="6"/>
  <c r="J19" i="6"/>
  <c r="E19" i="6"/>
  <c r="I19" i="6"/>
  <c r="K19" i="6"/>
  <c r="D19" i="6"/>
  <c r="F19" i="6"/>
  <c r="G19" i="6"/>
  <c r="B20" i="6"/>
  <c r="A21" i="6"/>
  <c r="M18" i="6"/>
  <c r="N18" i="6"/>
  <c r="O18" i="6"/>
  <c r="A22" i="6"/>
  <c r="B21" i="6"/>
  <c r="E20" i="6"/>
  <c r="J20" i="6"/>
  <c r="I20" i="6"/>
  <c r="K20" i="6"/>
  <c r="D20" i="6"/>
  <c r="F20" i="6"/>
  <c r="G20" i="6"/>
  <c r="H19" i="6"/>
  <c r="L19" i="6"/>
  <c r="H20" i="6"/>
  <c r="L20" i="6"/>
  <c r="I21" i="6"/>
  <c r="E21" i="6"/>
  <c r="J21" i="6"/>
  <c r="D21" i="6"/>
  <c r="F21" i="6"/>
  <c r="G21" i="6"/>
  <c r="B22" i="6"/>
  <c r="A23" i="6"/>
  <c r="M19" i="6"/>
  <c r="N19" i="6"/>
  <c r="O19" i="6"/>
  <c r="A24" i="6"/>
  <c r="B23" i="6"/>
  <c r="D22" i="6"/>
  <c r="F22" i="6"/>
  <c r="G22" i="6"/>
  <c r="E22" i="6"/>
  <c r="I22" i="6"/>
  <c r="K22" i="6"/>
  <c r="J22" i="6"/>
  <c r="H21" i="6"/>
  <c r="L21" i="6"/>
  <c r="M20" i="6"/>
  <c r="N20" i="6"/>
  <c r="O20" i="6"/>
  <c r="K21" i="6"/>
  <c r="L22" i="6"/>
  <c r="H22" i="6"/>
  <c r="M21" i="6"/>
  <c r="N21" i="6"/>
  <c r="O21" i="6"/>
  <c r="J23" i="6"/>
  <c r="E23" i="6"/>
  <c r="I23" i="6"/>
  <c r="K23" i="6"/>
  <c r="D23" i="6"/>
  <c r="F23" i="6"/>
  <c r="G23" i="6"/>
  <c r="A25" i="6"/>
  <c r="B24" i="6"/>
  <c r="L23" i="6"/>
  <c r="H23" i="6"/>
  <c r="I24" i="6"/>
  <c r="E24" i="6"/>
  <c r="D24" i="6"/>
  <c r="F24" i="6"/>
  <c r="G24" i="6"/>
  <c r="J24" i="6"/>
  <c r="B25" i="6"/>
  <c r="A26" i="6"/>
  <c r="M22" i="6"/>
  <c r="N22" i="6"/>
  <c r="O22" i="6"/>
  <c r="B26" i="6"/>
  <c r="A27" i="6"/>
  <c r="E25" i="6"/>
  <c r="I25" i="6"/>
  <c r="K25" i="6"/>
  <c r="R25" i="6"/>
  <c r="J25" i="6"/>
  <c r="D25" i="6"/>
  <c r="F25" i="6"/>
  <c r="G25" i="6"/>
  <c r="L24" i="6"/>
  <c r="H24" i="6"/>
  <c r="K24" i="6"/>
  <c r="M23" i="6"/>
  <c r="N23" i="6"/>
  <c r="O23" i="6"/>
  <c r="N24" i="6"/>
  <c r="O24" i="6"/>
  <c r="M24" i="6"/>
  <c r="H25" i="6"/>
  <c r="L25" i="6"/>
  <c r="B27" i="6"/>
  <c r="A28" i="6"/>
  <c r="E26" i="6"/>
  <c r="J26" i="6"/>
  <c r="I26" i="6"/>
  <c r="D26" i="6"/>
  <c r="E27" i="6"/>
  <c r="I27" i="6"/>
  <c r="J27" i="6"/>
  <c r="D27" i="6"/>
  <c r="F27" i="6"/>
  <c r="G27" i="6"/>
  <c r="M25" i="6"/>
  <c r="N25" i="6"/>
  <c r="O25" i="6"/>
  <c r="F26" i="6"/>
  <c r="G26" i="6"/>
  <c r="A29" i="6"/>
  <c r="B28" i="6"/>
  <c r="K26" i="6"/>
  <c r="H27" i="6"/>
  <c r="B29" i="6"/>
  <c r="A30" i="6"/>
  <c r="K27" i="6"/>
  <c r="L27" i="6"/>
  <c r="H26" i="6"/>
  <c r="L26" i="6"/>
  <c r="I28" i="6"/>
  <c r="K28" i="6"/>
  <c r="E28" i="6"/>
  <c r="D28" i="6"/>
  <c r="F28" i="6"/>
  <c r="G28" i="6"/>
  <c r="J28" i="6"/>
  <c r="M27" i="6"/>
  <c r="N27" i="6"/>
  <c r="O27" i="6"/>
  <c r="N26" i="6"/>
  <c r="O26" i="6"/>
  <c r="M26" i="6"/>
  <c r="E29" i="6"/>
  <c r="J29" i="6"/>
  <c r="I29" i="6"/>
  <c r="K29" i="6"/>
  <c r="D29" i="6"/>
  <c r="F29" i="6"/>
  <c r="G29" i="6"/>
  <c r="H28" i="6"/>
  <c r="L28" i="6"/>
  <c r="A31" i="6"/>
  <c r="B30" i="6"/>
  <c r="I30" i="6"/>
  <c r="E30" i="6"/>
  <c r="J30" i="6"/>
  <c r="D30" i="6"/>
  <c r="F30" i="6"/>
  <c r="G30" i="6"/>
  <c r="H29" i="6"/>
  <c r="L29" i="6"/>
  <c r="N28" i="6"/>
  <c r="O28" i="6"/>
  <c r="M28" i="6"/>
  <c r="B31" i="6"/>
  <c r="A32" i="6"/>
  <c r="H30" i="6"/>
  <c r="B32" i="6"/>
  <c r="A33" i="6"/>
  <c r="M29" i="6"/>
  <c r="N29" i="6"/>
  <c r="O29" i="6"/>
  <c r="E31" i="6"/>
  <c r="D31" i="6"/>
  <c r="F31" i="6"/>
  <c r="G31" i="6"/>
  <c r="J31" i="6"/>
  <c r="I31" i="6"/>
  <c r="K31" i="6"/>
  <c r="K30" i="6"/>
  <c r="L30" i="6"/>
  <c r="M30" i="6"/>
  <c r="N30" i="6"/>
  <c r="O30" i="6"/>
  <c r="L31" i="6"/>
  <c r="H31" i="6"/>
  <c r="I32" i="6"/>
  <c r="E32" i="6"/>
  <c r="J32" i="6"/>
  <c r="D32" i="6"/>
  <c r="F32" i="6"/>
  <c r="G32" i="6"/>
  <c r="A34" i="6"/>
  <c r="B33" i="6"/>
  <c r="K32" i="6"/>
  <c r="M31" i="6"/>
  <c r="N31" i="6"/>
  <c r="O31" i="6"/>
  <c r="L32" i="6"/>
  <c r="H32" i="6"/>
  <c r="I33" i="6"/>
  <c r="E33" i="6"/>
  <c r="J33" i="6"/>
  <c r="D33" i="6"/>
  <c r="A35" i="6"/>
  <c r="B34" i="6"/>
  <c r="N32" i="6"/>
  <c r="O32" i="6"/>
  <c r="M32" i="6"/>
  <c r="K33" i="6"/>
  <c r="E34" i="6"/>
  <c r="I34" i="6"/>
  <c r="K34" i="6"/>
  <c r="D34" i="6"/>
  <c r="F34" i="6"/>
  <c r="G34" i="6"/>
  <c r="J34" i="6"/>
  <c r="B35" i="6"/>
  <c r="A36" i="6"/>
  <c r="F33" i="6"/>
  <c r="G33" i="6"/>
  <c r="L34" i="6"/>
  <c r="H34" i="6"/>
  <c r="E35" i="6"/>
  <c r="J35" i="6"/>
  <c r="I35" i="6"/>
  <c r="K35" i="6"/>
  <c r="D35" i="6"/>
  <c r="F35" i="6"/>
  <c r="G35" i="6"/>
  <c r="H33" i="6"/>
  <c r="L33" i="6"/>
  <c r="A37" i="6"/>
  <c r="B36" i="6"/>
  <c r="H35" i="6"/>
  <c r="L35" i="6"/>
  <c r="I36" i="6"/>
  <c r="K36" i="6"/>
  <c r="E36" i="6"/>
  <c r="D36" i="6"/>
  <c r="F36" i="6"/>
  <c r="G36" i="6"/>
  <c r="J36" i="6"/>
  <c r="N33" i="6"/>
  <c r="O33" i="6"/>
  <c r="M33" i="6"/>
  <c r="B37" i="6"/>
  <c r="A38" i="6"/>
  <c r="M34" i="6"/>
  <c r="N34" i="6"/>
  <c r="O34" i="6"/>
  <c r="L36" i="6"/>
  <c r="H36" i="6"/>
  <c r="N35" i="6"/>
  <c r="O35" i="6"/>
  <c r="M35" i="6"/>
  <c r="B38" i="6"/>
  <c r="A39" i="6"/>
  <c r="E37" i="6"/>
  <c r="D37" i="6"/>
  <c r="F37" i="6"/>
  <c r="G37" i="6"/>
  <c r="I37" i="6"/>
  <c r="K37" i="6"/>
  <c r="J37" i="6"/>
  <c r="E38" i="6"/>
  <c r="J38" i="6"/>
  <c r="I38" i="6"/>
  <c r="K38" i="6"/>
  <c r="D38" i="6"/>
  <c r="F38" i="6"/>
  <c r="G38" i="6"/>
  <c r="H37" i="6"/>
  <c r="L37" i="6"/>
  <c r="B39" i="6"/>
  <c r="A40" i="6"/>
  <c r="N36" i="6"/>
  <c r="O36" i="6"/>
  <c r="M36" i="6"/>
  <c r="H38" i="6"/>
  <c r="L38" i="6"/>
  <c r="M37" i="6"/>
  <c r="N37" i="6"/>
  <c r="O37" i="6"/>
  <c r="B40" i="6"/>
  <c r="A41" i="6"/>
  <c r="E39" i="6"/>
  <c r="J39" i="6"/>
  <c r="D39" i="6"/>
  <c r="I39" i="6"/>
  <c r="I40" i="6"/>
  <c r="E40" i="6"/>
  <c r="J40" i="6"/>
  <c r="D40" i="6"/>
  <c r="F40" i="6"/>
  <c r="G40" i="6"/>
  <c r="B41" i="6"/>
  <c r="A42" i="6"/>
  <c r="K39" i="6"/>
  <c r="M38" i="6"/>
  <c r="N38" i="6"/>
  <c r="O38" i="6"/>
  <c r="F39" i="6"/>
  <c r="G39" i="6"/>
  <c r="B42" i="6"/>
  <c r="A43" i="6"/>
  <c r="E41" i="6"/>
  <c r="D41" i="6"/>
  <c r="F41" i="6"/>
  <c r="G41" i="6"/>
  <c r="J41" i="6"/>
  <c r="I41" i="6"/>
  <c r="K41" i="6"/>
  <c r="H40" i="6"/>
  <c r="L40" i="6"/>
  <c r="L39" i="6"/>
  <c r="H39" i="6"/>
  <c r="K40" i="6"/>
  <c r="M40" i="6"/>
  <c r="N40" i="6"/>
  <c r="O40" i="6"/>
  <c r="H41" i="6"/>
  <c r="L41" i="6"/>
  <c r="B43" i="6"/>
  <c r="A44" i="6"/>
  <c r="N39" i="6"/>
  <c r="O39" i="6"/>
  <c r="M39" i="6"/>
  <c r="J42" i="6"/>
  <c r="I42" i="6"/>
  <c r="K42" i="6"/>
  <c r="D42" i="6"/>
  <c r="E42" i="6"/>
  <c r="B44" i="6"/>
  <c r="A45" i="6"/>
  <c r="E43" i="6"/>
  <c r="J43" i="6"/>
  <c r="I43" i="6"/>
  <c r="K43" i="6"/>
  <c r="D43" i="6"/>
  <c r="F43" i="6"/>
  <c r="G43" i="6"/>
  <c r="F42" i="6"/>
  <c r="G42" i="6"/>
  <c r="M41" i="6"/>
  <c r="N41" i="6"/>
  <c r="O41" i="6"/>
  <c r="L43" i="6"/>
  <c r="H43" i="6"/>
  <c r="H42" i="6"/>
  <c r="L42" i="6"/>
  <c r="B45" i="6"/>
  <c r="A46" i="6"/>
  <c r="I44" i="6"/>
  <c r="K44" i="6"/>
  <c r="E44" i="6"/>
  <c r="J44" i="6"/>
  <c r="D44" i="6"/>
  <c r="B46" i="6"/>
  <c r="A47" i="6"/>
  <c r="R45" i="6"/>
  <c r="D45" i="6"/>
  <c r="J45" i="6"/>
  <c r="I45" i="6"/>
  <c r="K45" i="6"/>
  <c r="E45" i="6"/>
  <c r="M42" i="6"/>
  <c r="N42" i="6"/>
  <c r="O42" i="6"/>
  <c r="F44" i="6"/>
  <c r="G44" i="6"/>
  <c r="N43" i="6"/>
  <c r="O43" i="6"/>
  <c r="M43" i="6"/>
  <c r="H44" i="6"/>
  <c r="L44" i="6"/>
  <c r="B47" i="6"/>
  <c r="A48" i="6"/>
  <c r="F45" i="6"/>
  <c r="G45" i="6"/>
  <c r="E46" i="6"/>
  <c r="I46" i="6"/>
  <c r="K46" i="6"/>
  <c r="D46" i="6"/>
  <c r="F46" i="6"/>
  <c r="G46" i="6"/>
  <c r="J46" i="6"/>
  <c r="L46" i="6"/>
  <c r="H46" i="6"/>
  <c r="A49" i="6"/>
  <c r="B48" i="6"/>
  <c r="L45" i="6"/>
  <c r="H45" i="6"/>
  <c r="E47" i="6"/>
  <c r="J47" i="6"/>
  <c r="I47" i="6"/>
  <c r="D47" i="6"/>
  <c r="M44" i="6"/>
  <c r="N44" i="6"/>
  <c r="O44" i="6"/>
  <c r="M45" i="6"/>
  <c r="N45" i="6"/>
  <c r="O45" i="6"/>
  <c r="J48" i="6"/>
  <c r="E48" i="6"/>
  <c r="I48" i="6"/>
  <c r="K48" i="6"/>
  <c r="D48" i="6"/>
  <c r="F48" i="6"/>
  <c r="G48" i="6"/>
  <c r="B49" i="6"/>
  <c r="A50" i="6"/>
  <c r="F47" i="6"/>
  <c r="G47" i="6"/>
  <c r="K47" i="6"/>
  <c r="M46" i="6"/>
  <c r="N46" i="6"/>
  <c r="O46" i="6"/>
  <c r="E49" i="6"/>
  <c r="I49" i="6"/>
  <c r="D49" i="6"/>
  <c r="F49" i="6"/>
  <c r="G49" i="6"/>
  <c r="J49" i="6"/>
  <c r="B50" i="6"/>
  <c r="A51" i="6"/>
  <c r="H48" i="6"/>
  <c r="L48" i="6"/>
  <c r="L47" i="6"/>
  <c r="H47" i="6"/>
  <c r="N48" i="6"/>
  <c r="O48" i="6"/>
  <c r="M48" i="6"/>
  <c r="H49" i="6"/>
  <c r="E50" i="6"/>
  <c r="J50" i="6"/>
  <c r="I50" i="6"/>
  <c r="K50" i="6"/>
  <c r="D50" i="6"/>
  <c r="F50" i="6"/>
  <c r="G50" i="6"/>
  <c r="K49" i="6"/>
  <c r="L49" i="6"/>
  <c r="B51" i="6"/>
  <c r="A52" i="6"/>
  <c r="N47" i="6"/>
  <c r="O47" i="6"/>
  <c r="M47" i="6"/>
  <c r="M49" i="6"/>
  <c r="N49" i="6"/>
  <c r="O49" i="6"/>
  <c r="H50" i="6"/>
  <c r="L50" i="6"/>
  <c r="A53" i="6"/>
  <c r="B52" i="6"/>
  <c r="J51" i="6"/>
  <c r="E51" i="6"/>
  <c r="I51" i="6"/>
  <c r="D51" i="6"/>
  <c r="F51" i="6"/>
  <c r="G51" i="6"/>
  <c r="M50" i="6"/>
  <c r="N50" i="6"/>
  <c r="O50" i="6"/>
  <c r="J52" i="6"/>
  <c r="E52" i="6"/>
  <c r="I52" i="6"/>
  <c r="K52" i="6"/>
  <c r="D52" i="6"/>
  <c r="F52" i="6"/>
  <c r="G52" i="6"/>
  <c r="B53" i="6"/>
  <c r="A54" i="6"/>
  <c r="H51" i="6"/>
  <c r="K51" i="6"/>
  <c r="L51" i="6"/>
  <c r="M51" i="6"/>
  <c r="N51" i="6"/>
  <c r="O51" i="6"/>
  <c r="L52" i="6"/>
  <c r="H52" i="6"/>
  <c r="B54" i="6"/>
  <c r="A55" i="6"/>
  <c r="D53" i="6"/>
  <c r="F53" i="6"/>
  <c r="G53" i="6"/>
  <c r="E53" i="6"/>
  <c r="J53" i="6"/>
  <c r="I53" i="6"/>
  <c r="K53" i="6"/>
  <c r="H53" i="6"/>
  <c r="L53" i="6"/>
  <c r="J54" i="6"/>
  <c r="I54" i="6"/>
  <c r="K54" i="6"/>
  <c r="D54" i="6"/>
  <c r="E54" i="6"/>
  <c r="N52" i="6"/>
  <c r="O52" i="6"/>
  <c r="M52" i="6"/>
  <c r="B55" i="6"/>
  <c r="A56" i="6"/>
  <c r="F54" i="6"/>
  <c r="G54" i="6"/>
  <c r="N53" i="6"/>
  <c r="O53" i="6"/>
  <c r="M53" i="6"/>
  <c r="A57" i="6"/>
  <c r="B56" i="6"/>
  <c r="E55" i="6"/>
  <c r="J55" i="6"/>
  <c r="I55" i="6"/>
  <c r="K55" i="6"/>
  <c r="D55" i="6"/>
  <c r="F55" i="6"/>
  <c r="G55" i="6"/>
  <c r="H55" i="6"/>
  <c r="L55" i="6"/>
  <c r="J56" i="6"/>
  <c r="E56" i="6"/>
  <c r="I56" i="6"/>
  <c r="K56" i="6"/>
  <c r="D56" i="6"/>
  <c r="F56" i="6"/>
  <c r="G56" i="6"/>
  <c r="B57" i="6"/>
  <c r="A58" i="6"/>
  <c r="H54" i="6"/>
  <c r="L54" i="6"/>
  <c r="B58" i="6"/>
  <c r="A59" i="6"/>
  <c r="J57" i="6"/>
  <c r="I57" i="6"/>
  <c r="K57" i="6"/>
  <c r="E57" i="6"/>
  <c r="D57" i="6"/>
  <c r="F57" i="6"/>
  <c r="G57" i="6"/>
  <c r="L56" i="6"/>
  <c r="H56" i="6"/>
  <c r="M55" i="6"/>
  <c r="N55" i="6"/>
  <c r="O55" i="6"/>
  <c r="N54" i="6"/>
  <c r="O54" i="6"/>
  <c r="M54" i="6"/>
  <c r="M56" i="6"/>
  <c r="N56" i="6"/>
  <c r="O56" i="6"/>
  <c r="L57" i="6"/>
  <c r="H57" i="6"/>
  <c r="B59" i="6"/>
  <c r="A60" i="6"/>
  <c r="E58" i="6"/>
  <c r="J58" i="6"/>
  <c r="D58" i="6"/>
  <c r="I58" i="6"/>
  <c r="A61" i="6"/>
  <c r="B60" i="6"/>
  <c r="J59" i="6"/>
  <c r="I59" i="6"/>
  <c r="K59" i="6"/>
  <c r="E59" i="6"/>
  <c r="D59" i="6"/>
  <c r="F59" i="6"/>
  <c r="G59" i="6"/>
  <c r="M57" i="6"/>
  <c r="N57" i="6"/>
  <c r="O57" i="6"/>
  <c r="K58" i="6"/>
  <c r="F58" i="6"/>
  <c r="G58" i="6"/>
  <c r="L59" i="6"/>
  <c r="H59" i="6"/>
  <c r="L58" i="6"/>
  <c r="H58" i="6"/>
  <c r="J60" i="6"/>
  <c r="I60" i="6"/>
  <c r="K60" i="6"/>
  <c r="D60" i="6"/>
  <c r="E60" i="6"/>
  <c r="B61" i="6"/>
  <c r="A62" i="6"/>
  <c r="F60" i="6"/>
  <c r="G60" i="6"/>
  <c r="B62" i="6"/>
  <c r="A63" i="6"/>
  <c r="E61" i="6"/>
  <c r="J61" i="6"/>
  <c r="D61" i="6"/>
  <c r="F61" i="6"/>
  <c r="G61" i="6"/>
  <c r="I61" i="6"/>
  <c r="K61" i="6"/>
  <c r="M59" i="6"/>
  <c r="N59" i="6"/>
  <c r="O59" i="6"/>
  <c r="N58" i="6"/>
  <c r="O58" i="6"/>
  <c r="M58" i="6"/>
  <c r="A64" i="6"/>
  <c r="B63" i="6"/>
  <c r="H61" i="6"/>
  <c r="L61" i="6"/>
  <c r="J62" i="6"/>
  <c r="D62" i="6"/>
  <c r="I62" i="6"/>
  <c r="K62" i="6"/>
  <c r="E62" i="6"/>
  <c r="H60" i="6"/>
  <c r="L60" i="6"/>
  <c r="M61" i="6"/>
  <c r="N61" i="6"/>
  <c r="O61" i="6"/>
  <c r="F62" i="6"/>
  <c r="G62" i="6"/>
  <c r="M60" i="6"/>
  <c r="N60" i="6"/>
  <c r="O60" i="6"/>
  <c r="D63" i="6"/>
  <c r="F63" i="6"/>
  <c r="G63" i="6"/>
  <c r="I63" i="6"/>
  <c r="K63" i="6"/>
  <c r="E63" i="6"/>
  <c r="J63" i="6"/>
  <c r="A65" i="6"/>
  <c r="B64" i="6"/>
  <c r="H63" i="6"/>
  <c r="L63" i="6"/>
  <c r="H62" i="6"/>
  <c r="L62" i="6"/>
  <c r="J64" i="6"/>
  <c r="E64" i="6"/>
  <c r="I64" i="6"/>
  <c r="K64" i="6"/>
  <c r="D64" i="6"/>
  <c r="F64" i="6"/>
  <c r="G64" i="6"/>
  <c r="B65" i="6"/>
  <c r="A66" i="6"/>
  <c r="H64" i="6"/>
  <c r="L64" i="6"/>
  <c r="M62" i="6"/>
  <c r="N62" i="6"/>
  <c r="O62" i="6"/>
  <c r="M63" i="6"/>
  <c r="N63" i="6"/>
  <c r="O63" i="6"/>
  <c r="A67" i="6"/>
  <c r="B66" i="6"/>
  <c r="J65" i="6"/>
  <c r="I65" i="6"/>
  <c r="K65" i="6"/>
  <c r="E65" i="6"/>
  <c r="D65" i="6"/>
  <c r="F65" i="6"/>
  <c r="G65" i="6"/>
  <c r="N64" i="6"/>
  <c r="O64" i="6"/>
  <c r="M64" i="6"/>
  <c r="B67" i="6"/>
  <c r="A68" i="6"/>
  <c r="H65" i="6"/>
  <c r="L65" i="6"/>
  <c r="D66" i="6"/>
  <c r="I66" i="6"/>
  <c r="K66" i="6"/>
  <c r="E66" i="6"/>
  <c r="J66" i="6"/>
  <c r="M65" i="6"/>
  <c r="N65" i="6"/>
  <c r="O65" i="6"/>
  <c r="F66" i="6"/>
  <c r="G66" i="6"/>
  <c r="A69" i="6"/>
  <c r="B68" i="6"/>
  <c r="E67" i="6"/>
  <c r="J67" i="6"/>
  <c r="I67" i="6"/>
  <c r="K67" i="6"/>
  <c r="D67" i="6"/>
  <c r="J68" i="6"/>
  <c r="I68" i="6"/>
  <c r="K68" i="6"/>
  <c r="E68" i="6"/>
  <c r="D68" i="6"/>
  <c r="F68" i="6"/>
  <c r="G68" i="6"/>
  <c r="H66" i="6"/>
  <c r="L66" i="6"/>
  <c r="A70" i="6"/>
  <c r="B69" i="6"/>
  <c r="F67" i="6"/>
  <c r="G67" i="6"/>
  <c r="I69" i="6"/>
  <c r="K69" i="6"/>
  <c r="E69" i="6"/>
  <c r="J69" i="6"/>
  <c r="D69" i="6"/>
  <c r="F69" i="6"/>
  <c r="G69" i="6"/>
  <c r="B70" i="6"/>
  <c r="A71" i="6"/>
  <c r="L68" i="6"/>
  <c r="H68" i="6"/>
  <c r="N66" i="6"/>
  <c r="O66" i="6"/>
  <c r="M66" i="6"/>
  <c r="H67" i="6"/>
  <c r="L67" i="6"/>
  <c r="N68" i="6"/>
  <c r="O68" i="6"/>
  <c r="M68" i="6"/>
  <c r="H69" i="6"/>
  <c r="L69" i="6"/>
  <c r="E70" i="6"/>
  <c r="J70" i="6"/>
  <c r="I70" i="6"/>
  <c r="K70" i="6"/>
  <c r="D70" i="6"/>
  <c r="F70" i="6"/>
  <c r="G70" i="6"/>
  <c r="M67" i="6"/>
  <c r="N67" i="6"/>
  <c r="O67" i="6"/>
  <c r="A72" i="6"/>
  <c r="B71" i="6"/>
  <c r="L70" i="6"/>
  <c r="H70" i="6"/>
  <c r="N69" i="6"/>
  <c r="O69" i="6"/>
  <c r="M69" i="6"/>
  <c r="I71" i="6"/>
  <c r="K71" i="6"/>
  <c r="E71" i="6"/>
  <c r="J71" i="6"/>
  <c r="D71" i="6"/>
  <c r="F71" i="6"/>
  <c r="G71" i="6"/>
  <c r="A73" i="6"/>
  <c r="B72" i="6"/>
  <c r="L71" i="6"/>
  <c r="H71" i="6"/>
  <c r="J72" i="6"/>
  <c r="D72" i="6"/>
  <c r="F72" i="6"/>
  <c r="G72" i="6"/>
  <c r="E72" i="6"/>
  <c r="I72" i="6"/>
  <c r="K72" i="6"/>
  <c r="B73" i="6"/>
  <c r="A74" i="6"/>
  <c r="M70" i="6"/>
  <c r="N70" i="6"/>
  <c r="O70" i="6"/>
  <c r="A75" i="6"/>
  <c r="B74" i="6"/>
  <c r="E73" i="6"/>
  <c r="J73" i="6"/>
  <c r="I73" i="6"/>
  <c r="K73" i="6"/>
  <c r="D73" i="6"/>
  <c r="F73" i="6"/>
  <c r="G73" i="6"/>
  <c r="L72" i="6"/>
  <c r="H72" i="6"/>
  <c r="M71" i="6"/>
  <c r="N71" i="6"/>
  <c r="O71" i="6"/>
  <c r="M72" i="6"/>
  <c r="N72" i="6"/>
  <c r="O72" i="6"/>
  <c r="H73" i="6"/>
  <c r="L73" i="6"/>
  <c r="I74" i="6"/>
  <c r="E74" i="6"/>
  <c r="D74" i="6"/>
  <c r="F74" i="6"/>
  <c r="G74" i="6"/>
  <c r="J74" i="6"/>
  <c r="A76" i="6"/>
  <c r="B75" i="6"/>
  <c r="M73" i="6"/>
  <c r="N73" i="6"/>
  <c r="O73" i="6"/>
  <c r="K74" i="6"/>
  <c r="H74" i="6"/>
  <c r="L74" i="6"/>
  <c r="E75" i="6"/>
  <c r="J75" i="6"/>
  <c r="D75" i="6"/>
  <c r="F75" i="6"/>
  <c r="G75" i="6"/>
  <c r="I75" i="6"/>
  <c r="A77" i="6"/>
  <c r="B76" i="6"/>
  <c r="H75" i="6"/>
  <c r="M74" i="6"/>
  <c r="N74" i="6"/>
  <c r="O74" i="6"/>
  <c r="J76" i="6"/>
  <c r="E76" i="6"/>
  <c r="I76" i="6"/>
  <c r="K76" i="6"/>
  <c r="D76" i="6"/>
  <c r="F76" i="6"/>
  <c r="G76" i="6"/>
  <c r="A78" i="6"/>
  <c r="B77" i="6"/>
  <c r="K75" i="6"/>
  <c r="L75" i="6"/>
  <c r="M75" i="6"/>
  <c r="N75" i="6"/>
  <c r="O75" i="6"/>
  <c r="H76" i="6"/>
  <c r="L76" i="6"/>
  <c r="I77" i="6"/>
  <c r="K77" i="6"/>
  <c r="E77" i="6"/>
  <c r="D77" i="6"/>
  <c r="J77" i="6"/>
  <c r="B78" i="6"/>
  <c r="A79" i="6"/>
  <c r="F77" i="6"/>
  <c r="G77" i="6"/>
  <c r="M76" i="6"/>
  <c r="N76" i="6"/>
  <c r="O76" i="6"/>
  <c r="B79" i="6"/>
  <c r="A80" i="6"/>
  <c r="E78" i="6"/>
  <c r="D78" i="6"/>
  <c r="F78" i="6"/>
  <c r="G78" i="6"/>
  <c r="J78" i="6"/>
  <c r="I78" i="6"/>
  <c r="K78" i="6"/>
  <c r="E79" i="6"/>
  <c r="D79" i="6"/>
  <c r="F79" i="6"/>
  <c r="G79" i="6"/>
  <c r="J79" i="6"/>
  <c r="I79" i="6"/>
  <c r="K79" i="6"/>
  <c r="H78" i="6"/>
  <c r="L78" i="6"/>
  <c r="A81" i="6"/>
  <c r="B80" i="6"/>
  <c r="H77" i="6"/>
  <c r="L77" i="6"/>
  <c r="N78" i="6"/>
  <c r="O78" i="6"/>
  <c r="M78" i="6"/>
  <c r="L79" i="6"/>
  <c r="H79" i="6"/>
  <c r="J80" i="6"/>
  <c r="E80" i="6"/>
  <c r="I80" i="6"/>
  <c r="K80" i="6"/>
  <c r="D80" i="6"/>
  <c r="F80" i="6"/>
  <c r="G80" i="6"/>
  <c r="B81" i="6"/>
  <c r="A82" i="6"/>
  <c r="N77" i="6"/>
  <c r="O77" i="6"/>
  <c r="M77" i="6"/>
  <c r="L80" i="6"/>
  <c r="H80" i="6"/>
  <c r="M79" i="6"/>
  <c r="N79" i="6"/>
  <c r="O79" i="6"/>
  <c r="B82" i="6"/>
  <c r="A83" i="6"/>
  <c r="E81" i="6"/>
  <c r="D81" i="6"/>
  <c r="F81" i="6"/>
  <c r="G81" i="6"/>
  <c r="J81" i="6"/>
  <c r="I81" i="6"/>
  <c r="K81" i="6"/>
  <c r="L81" i="6"/>
  <c r="H81" i="6"/>
  <c r="B83" i="6"/>
  <c r="A84" i="6"/>
  <c r="E82" i="6"/>
  <c r="J82" i="6"/>
  <c r="I82" i="6"/>
  <c r="K82" i="6"/>
  <c r="D82" i="6"/>
  <c r="F82" i="6"/>
  <c r="G82" i="6"/>
  <c r="N80" i="6"/>
  <c r="O80" i="6"/>
  <c r="M80" i="6"/>
  <c r="D83" i="6"/>
  <c r="J83" i="6"/>
  <c r="E83" i="6"/>
  <c r="I83" i="6"/>
  <c r="K83" i="6"/>
  <c r="A85" i="6"/>
  <c r="B84" i="6"/>
  <c r="H82" i="6"/>
  <c r="L82" i="6"/>
  <c r="N81" i="6"/>
  <c r="O81" i="6"/>
  <c r="M81" i="6"/>
  <c r="J84" i="6"/>
  <c r="E84" i="6"/>
  <c r="D84" i="6"/>
  <c r="F84" i="6"/>
  <c r="G84" i="6"/>
  <c r="R84" i="6"/>
  <c r="I84" i="6"/>
  <c r="K84" i="6"/>
  <c r="B85" i="6"/>
  <c r="A86" i="6"/>
  <c r="M82" i="6"/>
  <c r="N82" i="6"/>
  <c r="O82" i="6"/>
  <c r="F83" i="6"/>
  <c r="G83" i="6"/>
  <c r="A87" i="6"/>
  <c r="B86" i="6"/>
  <c r="I85" i="6"/>
  <c r="E85" i="6"/>
  <c r="J85" i="6"/>
  <c r="D85" i="6"/>
  <c r="F85" i="6"/>
  <c r="G85" i="6"/>
  <c r="H84" i="6"/>
  <c r="L84" i="6"/>
  <c r="L83" i="6"/>
  <c r="H83" i="6"/>
  <c r="N84" i="6"/>
  <c r="O84" i="6"/>
  <c r="M84" i="6"/>
  <c r="K85" i="6"/>
  <c r="L85" i="6"/>
  <c r="I86" i="6"/>
  <c r="E86" i="6"/>
  <c r="D86" i="6"/>
  <c r="F86" i="6"/>
  <c r="G86" i="6"/>
  <c r="J86" i="6"/>
  <c r="H85" i="6"/>
  <c r="M83" i="6"/>
  <c r="N83" i="6"/>
  <c r="O83" i="6"/>
  <c r="A88" i="6"/>
  <c r="B87" i="6"/>
  <c r="N85" i="6"/>
  <c r="O85" i="6"/>
  <c r="M85" i="6"/>
  <c r="H86" i="6"/>
  <c r="K86" i="6"/>
  <c r="L86" i="6"/>
  <c r="E87" i="6"/>
  <c r="J87" i="6"/>
  <c r="D87" i="6"/>
  <c r="F87" i="6"/>
  <c r="G87" i="6"/>
  <c r="I87" i="6"/>
  <c r="K87" i="6"/>
  <c r="B88" i="6"/>
  <c r="A89" i="6"/>
  <c r="M86" i="6"/>
  <c r="N86" i="6"/>
  <c r="O86" i="6"/>
  <c r="H87" i="6"/>
  <c r="L87" i="6"/>
  <c r="A90" i="6"/>
  <c r="B89" i="6"/>
  <c r="E88" i="6"/>
  <c r="J88" i="6"/>
  <c r="I88" i="6"/>
  <c r="D88" i="6"/>
  <c r="J89" i="6"/>
  <c r="I89" i="6"/>
  <c r="K89" i="6"/>
  <c r="E89" i="6"/>
  <c r="D89" i="6"/>
  <c r="F89" i="6"/>
  <c r="G89" i="6"/>
  <c r="B90" i="6"/>
  <c r="A91" i="6"/>
  <c r="N87" i="6"/>
  <c r="O87" i="6"/>
  <c r="M87" i="6"/>
  <c r="F88" i="6"/>
  <c r="G88" i="6"/>
  <c r="K88" i="6"/>
  <c r="B91" i="6"/>
  <c r="A92" i="6"/>
  <c r="I90" i="6"/>
  <c r="E90" i="6"/>
  <c r="J90" i="6"/>
  <c r="D90" i="6"/>
  <c r="F90" i="6"/>
  <c r="G90" i="6"/>
  <c r="H89" i="6"/>
  <c r="L89" i="6"/>
  <c r="H88" i="6"/>
  <c r="L88" i="6"/>
  <c r="M89" i="6"/>
  <c r="N89" i="6"/>
  <c r="O89" i="6"/>
  <c r="H90" i="6"/>
  <c r="N88" i="6"/>
  <c r="O88" i="6"/>
  <c r="M88" i="6"/>
  <c r="K90" i="6"/>
  <c r="L90" i="6"/>
  <c r="B92" i="6"/>
  <c r="A93" i="6"/>
  <c r="I91" i="6"/>
  <c r="K91" i="6"/>
  <c r="J91" i="6"/>
  <c r="E91" i="6"/>
  <c r="D91" i="6"/>
  <c r="F91" i="6"/>
  <c r="G91" i="6"/>
  <c r="M90" i="6"/>
  <c r="N90" i="6"/>
  <c r="O90" i="6"/>
  <c r="J92" i="6"/>
  <c r="I92" i="6"/>
  <c r="K92" i="6"/>
  <c r="E92" i="6"/>
  <c r="D92" i="6"/>
  <c r="F92" i="6"/>
  <c r="G92" i="6"/>
  <c r="H91" i="6"/>
  <c r="L91" i="6"/>
  <c r="B93" i="6"/>
  <c r="A94" i="6"/>
  <c r="H92" i="6"/>
  <c r="L92" i="6"/>
  <c r="M91" i="6"/>
  <c r="N91" i="6"/>
  <c r="O91" i="6"/>
  <c r="B94" i="6"/>
  <c r="A95" i="6"/>
  <c r="D93" i="6"/>
  <c r="E93" i="6"/>
  <c r="J93" i="6"/>
  <c r="I93" i="6"/>
  <c r="K93" i="6"/>
  <c r="F93" i="6"/>
  <c r="G93" i="6"/>
  <c r="B95" i="6"/>
  <c r="A96" i="6"/>
  <c r="I94" i="6"/>
  <c r="E94" i="6"/>
  <c r="D94" i="6"/>
  <c r="F94" i="6"/>
  <c r="G94" i="6"/>
  <c r="J94" i="6"/>
  <c r="N92" i="6"/>
  <c r="O92" i="6"/>
  <c r="M92" i="6"/>
  <c r="H94" i="6"/>
  <c r="K94" i="6"/>
  <c r="L94" i="6"/>
  <c r="A97" i="6"/>
  <c r="B96" i="6"/>
  <c r="E95" i="6"/>
  <c r="I95" i="6"/>
  <c r="K95" i="6"/>
  <c r="D95" i="6"/>
  <c r="F95" i="6"/>
  <c r="G95" i="6"/>
  <c r="J95" i="6"/>
  <c r="H93" i="6"/>
  <c r="L93" i="6"/>
  <c r="N94" i="6"/>
  <c r="O94" i="6"/>
  <c r="M94" i="6"/>
  <c r="L95" i="6"/>
  <c r="H95" i="6"/>
  <c r="E96" i="6"/>
  <c r="J96" i="6"/>
  <c r="I96" i="6"/>
  <c r="K96" i="6"/>
  <c r="D96" i="6"/>
  <c r="F96" i="6"/>
  <c r="G96" i="6"/>
  <c r="B97" i="6"/>
  <c r="A98" i="6"/>
  <c r="N93" i="6"/>
  <c r="O93" i="6"/>
  <c r="M93" i="6"/>
  <c r="N95" i="6"/>
  <c r="O95" i="6"/>
  <c r="M95" i="6"/>
  <c r="L96" i="6"/>
  <c r="H96" i="6"/>
  <c r="B98" i="6"/>
  <c r="A99" i="6"/>
  <c r="I97" i="6"/>
  <c r="K97" i="6"/>
  <c r="E97" i="6"/>
  <c r="J97" i="6"/>
  <c r="D97" i="6"/>
  <c r="B99" i="6"/>
  <c r="A100" i="6"/>
  <c r="J98" i="6"/>
  <c r="E98" i="6"/>
  <c r="I98" i="6"/>
  <c r="K98" i="6"/>
  <c r="D98" i="6"/>
  <c r="F98" i="6"/>
  <c r="G98" i="6"/>
  <c r="M96" i="6"/>
  <c r="N96" i="6"/>
  <c r="O96" i="6"/>
  <c r="F97" i="6"/>
  <c r="G97" i="6"/>
  <c r="H98" i="6"/>
  <c r="L98" i="6"/>
  <c r="B100" i="6"/>
  <c r="A101" i="6"/>
  <c r="B101" i="6"/>
  <c r="H97" i="6"/>
  <c r="L97" i="6"/>
  <c r="E99" i="6"/>
  <c r="J99" i="6"/>
  <c r="I99" i="6"/>
  <c r="D99" i="6"/>
  <c r="F99" i="6"/>
  <c r="G99" i="6"/>
  <c r="M97" i="6"/>
  <c r="N97" i="6"/>
  <c r="O97" i="6"/>
  <c r="J101" i="6"/>
  <c r="I101" i="6"/>
  <c r="K101" i="6"/>
  <c r="R101" i="6"/>
  <c r="E101" i="6"/>
  <c r="D101" i="6"/>
  <c r="F101" i="6"/>
  <c r="G101" i="6"/>
  <c r="E100" i="6"/>
  <c r="J100" i="6"/>
  <c r="I100" i="6"/>
  <c r="K100" i="6"/>
  <c r="D100" i="6"/>
  <c r="H99" i="6"/>
  <c r="N98" i="6"/>
  <c r="O98" i="6"/>
  <c r="M98" i="6"/>
  <c r="K99" i="6"/>
  <c r="L99" i="6"/>
  <c r="M99" i="6"/>
  <c r="N99" i="6"/>
  <c r="O99" i="6"/>
  <c r="H101" i="6"/>
  <c r="L101" i="6"/>
  <c r="F100" i="6"/>
  <c r="G100" i="6"/>
  <c r="H100" i="6"/>
  <c r="L100" i="6"/>
  <c r="M101" i="6"/>
  <c r="N101" i="6"/>
  <c r="O101" i="6"/>
  <c r="M100" i="6"/>
  <c r="N100" i="6"/>
  <c r="O100" i="6"/>
  <c r="C41" i="1" l="1"/>
  <c r="C116" i="1" s="1"/>
  <c r="C42" i="1"/>
  <c r="C43" i="1" s="1"/>
  <c r="C60" i="1"/>
  <c r="E60" i="1" s="1"/>
  <c r="C105" i="1" l="1"/>
  <c r="C108" i="1" s="1"/>
  <c r="C63" i="1"/>
  <c r="C57" i="1"/>
  <c r="C48" i="1"/>
  <c r="C49" i="1" s="1"/>
  <c r="E49" i="1" l="1"/>
  <c r="C58" i="1"/>
  <c r="C64" i="1" l="1"/>
  <c r="E58" i="1"/>
  <c r="E64" i="1" l="1"/>
  <c r="C71" i="1"/>
  <c r="E71" i="1" l="1"/>
  <c r="C83" i="1"/>
  <c r="C97" i="1" l="1"/>
  <c r="E83" i="1"/>
  <c r="E97" i="1" l="1"/>
  <c r="C109" i="1"/>
  <c r="E109" i="1" s="1"/>
</calcChain>
</file>

<file path=xl/sharedStrings.xml><?xml version="1.0" encoding="utf-8"?>
<sst xmlns="http://schemas.openxmlformats.org/spreadsheetml/2006/main" count="620" uniqueCount="342">
  <si>
    <t>This spreadsheet guides the User through the design process for a CONTINUOUS CONDUCTION MODE PFC BOOST converter using the UCC28019 controller.</t>
  </si>
  <si>
    <t>1. The Macros must be ENABLED.</t>
  </si>
  <si>
    <t>2. The Analysis ToolPak Add-In must be checked.</t>
  </si>
  <si>
    <t>• This feature can be found in the Tools Menu.</t>
  </si>
  <si>
    <t>• Select Add-Ins</t>
  </si>
  <si>
    <t>• Check the box next to Analysis ToolPak</t>
  </si>
  <si>
    <t>3. Enter the desired design parameters in the YELLOW shaded boxes</t>
  </si>
  <si>
    <t>5. Actual standard values must be entered for the spreadsheet to calculate the gain-phase plots.</t>
  </si>
  <si>
    <t>Design Specifications</t>
  </si>
  <si>
    <t>Description</t>
  </si>
  <si>
    <t xml:space="preserve">Minimum </t>
  </si>
  <si>
    <t>Maximum</t>
  </si>
  <si>
    <t xml:space="preserve">Typical </t>
  </si>
  <si>
    <t>Input Voltage</t>
  </si>
  <si>
    <t>Output Voltage</t>
  </si>
  <si>
    <t>Allowable Output Voltage
Transients (90% Load Step)</t>
  </si>
  <si>
    <t>Unit</t>
  </si>
  <si>
    <t>V</t>
  </si>
  <si>
    <t>W</t>
  </si>
  <si>
    <t xml:space="preserve"> </t>
  </si>
  <si>
    <t>kHz</t>
  </si>
  <si>
    <r>
      <t>Output Power (P</t>
    </r>
    <r>
      <rPr>
        <b/>
        <vertAlign val="subscript"/>
        <sz val="12"/>
        <rFont val="Arial"/>
        <family val="2"/>
      </rPr>
      <t>OUT</t>
    </r>
    <r>
      <rPr>
        <b/>
        <sz val="12"/>
        <rFont val="Arial"/>
        <family val="2"/>
      </rPr>
      <t>)</t>
    </r>
  </si>
  <si>
    <r>
      <t>Inductor (L</t>
    </r>
    <r>
      <rPr>
        <b/>
        <vertAlign val="subscript"/>
        <sz val="12"/>
        <rFont val="Arial"/>
        <family val="2"/>
      </rPr>
      <t>OUT</t>
    </r>
    <r>
      <rPr>
        <b/>
        <sz val="12"/>
        <rFont val="Arial"/>
        <family val="2"/>
      </rPr>
      <t>) Switching Frequency</t>
    </r>
  </si>
  <si>
    <t>Full Load Efficiency</t>
  </si>
  <si>
    <r>
      <t>P</t>
    </r>
    <r>
      <rPr>
        <b/>
        <vertAlign val="subscript"/>
        <sz val="12"/>
        <rFont val="Arial"/>
        <family val="2"/>
      </rPr>
      <t>BUDGET</t>
    </r>
  </si>
  <si>
    <r>
      <t>V</t>
    </r>
    <r>
      <rPr>
        <b/>
        <vertAlign val="subscript"/>
        <sz val="12"/>
        <rFont val="Arial"/>
        <family val="2"/>
      </rPr>
      <t>RDSON</t>
    </r>
  </si>
  <si>
    <t>a1</t>
  </si>
  <si>
    <t>Variable</t>
  </si>
  <si>
    <r>
      <t>T1 Transformer Turns Ratio=N</t>
    </r>
    <r>
      <rPr>
        <b/>
        <vertAlign val="subscript"/>
        <sz val="12"/>
        <rFont val="Arial"/>
        <family val="2"/>
      </rPr>
      <t>P</t>
    </r>
    <r>
      <rPr>
        <b/>
        <sz val="12"/>
        <rFont val="Arial"/>
        <family val="2"/>
      </rPr>
      <t>/N</t>
    </r>
    <r>
      <rPr>
        <b/>
        <vertAlign val="subscript"/>
        <sz val="12"/>
        <rFont val="Arial"/>
        <family val="2"/>
      </rPr>
      <t>S</t>
    </r>
  </si>
  <si>
    <t>Maximum Duty Cycle Nominal</t>
  </si>
  <si>
    <t>Typical Duty Cycle</t>
  </si>
  <si>
    <r>
      <t>D</t>
    </r>
    <r>
      <rPr>
        <b/>
        <vertAlign val="subscript"/>
        <sz val="12"/>
        <rFont val="Arial"/>
        <family val="2"/>
      </rPr>
      <t>MAX</t>
    </r>
  </si>
  <si>
    <r>
      <t>D</t>
    </r>
    <r>
      <rPr>
        <b/>
        <vertAlign val="subscript"/>
        <sz val="12"/>
        <rFont val="Arial"/>
        <family val="2"/>
      </rPr>
      <t>TYP</t>
    </r>
  </si>
  <si>
    <t>Inductor Ripple Current</t>
  </si>
  <si>
    <t>A</t>
  </si>
  <si>
    <r>
      <t>L</t>
    </r>
    <r>
      <rPr>
        <b/>
        <vertAlign val="subscript"/>
        <sz val="12"/>
        <rFont val="Arial"/>
        <family val="2"/>
      </rPr>
      <t>MAG</t>
    </r>
  </si>
  <si>
    <t>mH</t>
  </si>
  <si>
    <r>
      <t>I</t>
    </r>
    <r>
      <rPr>
        <b/>
        <vertAlign val="subscript"/>
        <sz val="12"/>
        <rFont val="Arial"/>
        <family val="2"/>
      </rPr>
      <t>PS</t>
    </r>
  </si>
  <si>
    <r>
      <t>I</t>
    </r>
    <r>
      <rPr>
        <b/>
        <vertAlign val="subscript"/>
        <sz val="12"/>
        <rFont val="Arial"/>
        <family val="2"/>
      </rPr>
      <t>MS</t>
    </r>
  </si>
  <si>
    <r>
      <t>I</t>
    </r>
    <r>
      <rPr>
        <b/>
        <vertAlign val="subscript"/>
        <sz val="12"/>
        <rFont val="Arial"/>
        <family val="2"/>
      </rPr>
      <t>SRMS1</t>
    </r>
  </si>
  <si>
    <r>
      <t>I</t>
    </r>
    <r>
      <rPr>
        <b/>
        <vertAlign val="subscript"/>
        <sz val="12"/>
        <rFont val="Arial"/>
        <family val="2"/>
      </rPr>
      <t>MS2</t>
    </r>
  </si>
  <si>
    <r>
      <t>I</t>
    </r>
    <r>
      <rPr>
        <b/>
        <vertAlign val="subscript"/>
        <sz val="12"/>
        <rFont val="Arial"/>
        <family val="2"/>
      </rPr>
      <t>SRMS2</t>
    </r>
  </si>
  <si>
    <r>
      <t>I</t>
    </r>
    <r>
      <rPr>
        <b/>
        <vertAlign val="subscript"/>
        <sz val="12"/>
        <rFont val="Arial"/>
        <family val="2"/>
      </rPr>
      <t>SRMS3</t>
    </r>
  </si>
  <si>
    <r>
      <t>I</t>
    </r>
    <r>
      <rPr>
        <b/>
        <vertAlign val="subscript"/>
        <sz val="12"/>
        <rFont val="Arial"/>
        <family val="2"/>
      </rPr>
      <t>SRMS</t>
    </r>
  </si>
  <si>
    <r>
      <t>dIL</t>
    </r>
    <r>
      <rPr>
        <b/>
        <vertAlign val="subscript"/>
        <sz val="12"/>
        <rFont val="Arial"/>
        <family val="2"/>
      </rPr>
      <t>MAG</t>
    </r>
  </si>
  <si>
    <r>
      <t>I</t>
    </r>
    <r>
      <rPr>
        <b/>
        <vertAlign val="subscript"/>
        <sz val="12"/>
        <rFont val="Arial"/>
        <family val="2"/>
      </rPr>
      <t>PP</t>
    </r>
  </si>
  <si>
    <r>
      <t>I</t>
    </r>
    <r>
      <rPr>
        <b/>
        <vertAlign val="subscript"/>
        <sz val="12"/>
        <rFont val="Arial"/>
        <family val="2"/>
      </rPr>
      <t>MP</t>
    </r>
  </si>
  <si>
    <r>
      <t>I</t>
    </r>
    <r>
      <rPr>
        <b/>
        <vertAlign val="subscript"/>
        <sz val="12"/>
        <rFont val="Arial"/>
        <family val="2"/>
      </rPr>
      <t>MP2</t>
    </r>
  </si>
  <si>
    <r>
      <t>I</t>
    </r>
    <r>
      <rPr>
        <b/>
        <vertAlign val="subscript"/>
        <sz val="12"/>
        <rFont val="Arial"/>
        <family val="2"/>
      </rPr>
      <t>PRMS1</t>
    </r>
  </si>
  <si>
    <r>
      <t>I</t>
    </r>
    <r>
      <rPr>
        <b/>
        <vertAlign val="subscript"/>
        <sz val="12"/>
        <rFont val="Arial"/>
        <family val="2"/>
      </rPr>
      <t>PRMS2</t>
    </r>
  </si>
  <si>
    <r>
      <t>DCR</t>
    </r>
    <r>
      <rPr>
        <b/>
        <vertAlign val="subscript"/>
        <sz val="12"/>
        <rFont val="Arial"/>
        <family val="2"/>
      </rPr>
      <t>P</t>
    </r>
  </si>
  <si>
    <r>
      <t>I</t>
    </r>
    <r>
      <rPr>
        <b/>
        <vertAlign val="subscript"/>
        <sz val="12"/>
        <rFont val="Arial"/>
        <family val="2"/>
      </rPr>
      <t>PRMS</t>
    </r>
  </si>
  <si>
    <r>
      <t>DCR</t>
    </r>
    <r>
      <rPr>
        <b/>
        <vertAlign val="subscript"/>
        <sz val="12"/>
        <rFont val="Arial"/>
        <family val="2"/>
      </rPr>
      <t>S</t>
    </r>
  </si>
  <si>
    <r>
      <t>P</t>
    </r>
    <r>
      <rPr>
        <b/>
        <vertAlign val="subscript"/>
        <sz val="12"/>
        <rFont val="Arial"/>
        <family val="2"/>
      </rPr>
      <t>T1</t>
    </r>
  </si>
  <si>
    <t>Transformer Primary DC Resistance</t>
  </si>
  <si>
    <t>Transformer Secondary DC Resistance</t>
  </si>
  <si>
    <t>Estimated transform loss, 2X Copper Losses</t>
  </si>
  <si>
    <t>Recalculate Power Budget</t>
  </si>
  <si>
    <t>QA, QB, QC, QD FET selection:</t>
  </si>
  <si>
    <r>
      <t>R</t>
    </r>
    <r>
      <rPr>
        <b/>
        <vertAlign val="subscript"/>
        <sz val="12"/>
        <rFont val="Arial"/>
        <family val="2"/>
      </rPr>
      <t>ds(on)QA</t>
    </r>
  </si>
  <si>
    <t>FET drain to source on resistance</t>
  </si>
  <si>
    <t>FET Specified Coss</t>
  </si>
  <si>
    <t>pF</t>
  </si>
  <si>
    <r>
      <t>C</t>
    </r>
    <r>
      <rPr>
        <b/>
        <vertAlign val="subscript"/>
        <sz val="12"/>
        <rFont val="Arial"/>
        <family val="2"/>
      </rPr>
      <t>OSS_QA_SPEC</t>
    </r>
  </si>
  <si>
    <r>
      <t>V</t>
    </r>
    <r>
      <rPr>
        <b/>
        <vertAlign val="subscript"/>
        <sz val="12"/>
        <rFont val="Arial"/>
        <family val="2"/>
      </rPr>
      <t>dsQA</t>
    </r>
  </si>
  <si>
    <r>
      <t>Calculate average C</t>
    </r>
    <r>
      <rPr>
        <b/>
        <vertAlign val="subscript"/>
        <sz val="12"/>
        <rFont val="Arial"/>
        <family val="2"/>
      </rPr>
      <t xml:space="preserve">OSS </t>
    </r>
  </si>
  <si>
    <r>
      <t>C</t>
    </r>
    <r>
      <rPr>
        <b/>
        <vertAlign val="subscript"/>
        <sz val="12"/>
        <rFont val="Arial"/>
        <family val="2"/>
      </rPr>
      <t>OSS_QA_AVG</t>
    </r>
  </si>
  <si>
    <r>
      <t>P</t>
    </r>
    <r>
      <rPr>
        <b/>
        <vertAlign val="subscript"/>
        <sz val="12"/>
        <rFont val="Arial"/>
        <family val="2"/>
      </rPr>
      <t>QA</t>
    </r>
  </si>
  <si>
    <t xml:space="preserve">Calculate QA losses </t>
  </si>
  <si>
    <r>
      <t>V</t>
    </r>
    <r>
      <rPr>
        <b/>
        <vertAlign val="subscript"/>
        <sz val="12"/>
        <rFont val="Arial"/>
        <family val="2"/>
      </rPr>
      <t>g</t>
    </r>
  </si>
  <si>
    <r>
      <t>QA</t>
    </r>
    <r>
      <rPr>
        <b/>
        <vertAlign val="subscript"/>
        <sz val="12"/>
        <rFont val="Arial"/>
        <family val="2"/>
      </rPr>
      <t>g</t>
    </r>
  </si>
  <si>
    <t>nC</t>
  </si>
  <si>
    <t>Primary Magnetizing Inductance</t>
  </si>
  <si>
    <r>
      <t>L</t>
    </r>
    <r>
      <rPr>
        <b/>
        <vertAlign val="subscript"/>
        <sz val="12"/>
        <rFont val="Arial"/>
        <family val="2"/>
      </rPr>
      <t>S</t>
    </r>
  </si>
  <si>
    <t>uH</t>
  </si>
  <si>
    <r>
      <t>DCR</t>
    </r>
    <r>
      <rPr>
        <b/>
        <vertAlign val="subscript"/>
        <sz val="12"/>
        <rFont val="Arial"/>
        <family val="2"/>
      </rPr>
      <t>LS</t>
    </r>
  </si>
  <si>
    <r>
      <t>L</t>
    </r>
    <r>
      <rPr>
        <b/>
        <vertAlign val="subscript"/>
        <sz val="12"/>
        <rFont val="Arial"/>
        <family val="2"/>
      </rPr>
      <t>S</t>
    </r>
    <r>
      <rPr>
        <b/>
        <sz val="12"/>
        <rFont val="Arial"/>
        <family val="2"/>
      </rPr>
      <t xml:space="preserve"> DC Resistance</t>
    </r>
  </si>
  <si>
    <r>
      <t>Estimate L</t>
    </r>
    <r>
      <rPr>
        <b/>
        <vertAlign val="subscript"/>
        <sz val="12"/>
        <rFont val="Arial"/>
        <family val="2"/>
      </rPr>
      <t xml:space="preserve">S </t>
    </r>
    <r>
      <rPr>
        <b/>
        <sz val="12"/>
        <rFont val="Arial"/>
        <family val="2"/>
      </rPr>
      <t>power loss (P</t>
    </r>
    <r>
      <rPr>
        <b/>
        <vertAlign val="subscript"/>
        <sz val="12"/>
        <rFont val="Arial"/>
        <family val="2"/>
      </rPr>
      <t>LS</t>
    </r>
    <r>
      <rPr>
        <b/>
        <sz val="12"/>
        <rFont val="Arial"/>
        <family val="2"/>
      </rPr>
      <t xml:space="preserve">) </t>
    </r>
  </si>
  <si>
    <r>
      <t>P</t>
    </r>
    <r>
      <rPr>
        <b/>
        <vertAlign val="subscript"/>
        <sz val="12"/>
        <rFont val="Arial"/>
        <family val="2"/>
      </rPr>
      <t>LS</t>
    </r>
  </si>
  <si>
    <r>
      <t>L</t>
    </r>
    <r>
      <rPr>
        <b/>
        <vertAlign val="subscript"/>
        <sz val="12"/>
        <rFont val="Arial"/>
        <family val="2"/>
      </rPr>
      <t>OUT</t>
    </r>
  </si>
  <si>
    <r>
      <t>DCR</t>
    </r>
    <r>
      <rPr>
        <b/>
        <vertAlign val="subscript"/>
        <sz val="12"/>
        <rFont val="Arial"/>
        <family val="2"/>
      </rPr>
      <t>LOUT</t>
    </r>
  </si>
  <si>
    <r>
      <t>Estimate L</t>
    </r>
    <r>
      <rPr>
        <b/>
        <vertAlign val="subscript"/>
        <sz val="12"/>
        <rFont val="Arial"/>
        <family val="2"/>
      </rPr>
      <t xml:space="preserve">OUT </t>
    </r>
    <r>
      <rPr>
        <b/>
        <sz val="12"/>
        <rFont val="Arial"/>
        <family val="2"/>
      </rPr>
      <t>power loss</t>
    </r>
  </si>
  <si>
    <r>
      <t>P</t>
    </r>
    <r>
      <rPr>
        <b/>
        <vertAlign val="subscript"/>
        <sz val="12"/>
        <rFont val="Arial"/>
        <family val="2"/>
      </rPr>
      <t>LOUT</t>
    </r>
  </si>
  <si>
    <r>
      <t>Calculate L</t>
    </r>
    <r>
      <rPr>
        <b/>
        <vertAlign val="subscript"/>
        <sz val="12"/>
        <rFont val="Arial"/>
        <family val="2"/>
      </rPr>
      <t>OUT</t>
    </r>
    <r>
      <rPr>
        <b/>
        <sz val="12"/>
        <rFont val="Arial"/>
        <family val="2"/>
      </rPr>
      <t xml:space="preserve"> RMS Current</t>
    </r>
  </si>
  <si>
    <r>
      <t>I</t>
    </r>
    <r>
      <rPr>
        <b/>
        <vertAlign val="subscript"/>
        <sz val="12"/>
        <rFont val="Arial"/>
        <family val="2"/>
      </rPr>
      <t>LOUT_RMS</t>
    </r>
  </si>
  <si>
    <t>Calculated Shim Inductance</t>
  </si>
  <si>
    <t>Calculate Output Inductance</t>
  </si>
  <si>
    <r>
      <t>t</t>
    </r>
    <r>
      <rPr>
        <b/>
        <vertAlign val="subscript"/>
        <sz val="12"/>
        <rFont val="Arial"/>
        <family val="2"/>
      </rPr>
      <t>HU</t>
    </r>
  </si>
  <si>
    <r>
      <t>Time it takes L</t>
    </r>
    <r>
      <rPr>
        <b/>
        <vertAlign val="subscript"/>
        <sz val="12"/>
        <rFont val="Arial"/>
        <family val="2"/>
      </rPr>
      <t xml:space="preserve">OUT </t>
    </r>
    <r>
      <rPr>
        <b/>
        <sz val="12"/>
        <rFont val="Arial"/>
        <family val="2"/>
      </rPr>
      <t>to change 90% of its full load current</t>
    </r>
  </si>
  <si>
    <t>us</t>
  </si>
  <si>
    <r>
      <t>ESR</t>
    </r>
    <r>
      <rPr>
        <b/>
        <vertAlign val="subscript"/>
        <sz val="12"/>
        <rFont val="Arial"/>
        <family val="2"/>
      </rPr>
      <t>COUT</t>
    </r>
  </si>
  <si>
    <r>
      <t>C</t>
    </r>
    <r>
      <rPr>
        <b/>
        <vertAlign val="subscript"/>
        <sz val="12"/>
        <rFont val="Arial"/>
        <family val="2"/>
      </rPr>
      <t>OUT</t>
    </r>
  </si>
  <si>
    <t>uF</t>
  </si>
  <si>
    <t>n</t>
  </si>
  <si>
    <t>Single Capacitor Capacitance</t>
  </si>
  <si>
    <t>Single Capacitor ESR</t>
  </si>
  <si>
    <t>Total Output Capacitance</t>
  </si>
  <si>
    <r>
      <t>I</t>
    </r>
    <r>
      <rPr>
        <b/>
        <vertAlign val="subscript"/>
        <sz val="12"/>
        <rFont val="Arial"/>
        <family val="2"/>
      </rPr>
      <t>COUT_RMS</t>
    </r>
  </si>
  <si>
    <t>Output Capacitance RMS Current</t>
  </si>
  <si>
    <t>Calculate Output Capacitance Loss</t>
  </si>
  <si>
    <r>
      <t>P</t>
    </r>
    <r>
      <rPr>
        <b/>
        <vertAlign val="subscript"/>
        <sz val="12"/>
        <rFont val="Arial"/>
        <family val="2"/>
      </rPr>
      <t>COUT</t>
    </r>
  </si>
  <si>
    <r>
      <t>V</t>
    </r>
    <r>
      <rPr>
        <b/>
        <vertAlign val="subscript"/>
        <sz val="12"/>
        <rFont val="Arial"/>
        <family val="2"/>
      </rPr>
      <t>DROP</t>
    </r>
  </si>
  <si>
    <t>Minimum Input During Line Dropout</t>
  </si>
  <si>
    <r>
      <t>C</t>
    </r>
    <r>
      <rPr>
        <b/>
        <vertAlign val="subscript"/>
        <sz val="12"/>
        <rFont val="Arial"/>
        <family val="2"/>
      </rPr>
      <t>IN</t>
    </r>
  </si>
  <si>
    <t>Calculate Minimum Input Capacitance</t>
  </si>
  <si>
    <r>
      <t>High Frequency C</t>
    </r>
    <r>
      <rPr>
        <b/>
        <vertAlign val="subscript"/>
        <sz val="12"/>
        <rFont val="Arial"/>
        <family val="2"/>
      </rPr>
      <t>IN</t>
    </r>
    <r>
      <rPr>
        <b/>
        <sz val="12"/>
        <rFont val="Arial"/>
        <family val="2"/>
      </rPr>
      <t xml:space="preserve"> RMS Current</t>
    </r>
  </si>
  <si>
    <r>
      <t>I</t>
    </r>
    <r>
      <rPr>
        <b/>
        <vertAlign val="subscript"/>
        <sz val="12"/>
        <rFont val="Arial"/>
        <family val="2"/>
      </rPr>
      <t>CINRMS</t>
    </r>
  </si>
  <si>
    <r>
      <t>ESR</t>
    </r>
    <r>
      <rPr>
        <b/>
        <vertAlign val="subscript"/>
        <sz val="12"/>
        <rFont val="Arial"/>
        <family val="2"/>
      </rPr>
      <t>CIN</t>
    </r>
  </si>
  <si>
    <r>
      <t>P</t>
    </r>
    <r>
      <rPr>
        <b/>
        <vertAlign val="subscript"/>
        <sz val="12"/>
        <rFont val="Arial"/>
        <family val="2"/>
      </rPr>
      <t>CIN</t>
    </r>
  </si>
  <si>
    <t>Select FETs QE and QF:</t>
  </si>
  <si>
    <r>
      <t>QE</t>
    </r>
    <r>
      <rPr>
        <b/>
        <vertAlign val="subscript"/>
        <sz val="12"/>
        <rFont val="Arial"/>
        <family val="2"/>
      </rPr>
      <t>g</t>
    </r>
  </si>
  <si>
    <r>
      <t>R</t>
    </r>
    <r>
      <rPr>
        <b/>
        <vertAlign val="subscript"/>
        <sz val="12"/>
        <rFont val="Arial"/>
        <family val="2"/>
      </rPr>
      <t>ds(on)QE</t>
    </r>
  </si>
  <si>
    <t>QE and QF Gate Charge</t>
  </si>
  <si>
    <t xml:space="preserve">Set Initial Power Budget </t>
  </si>
  <si>
    <t>Estimated FET Voltage Drop</t>
  </si>
  <si>
    <t>QA FET Gate Charge</t>
  </si>
  <si>
    <r>
      <t>Voltage Across Drain to Source Where C</t>
    </r>
    <r>
      <rPr>
        <b/>
        <vertAlign val="subscript"/>
        <sz val="12"/>
        <rFont val="Arial"/>
        <family val="2"/>
      </rPr>
      <t xml:space="preserve">OSS </t>
    </r>
    <r>
      <rPr>
        <b/>
        <sz val="12"/>
        <color indexed="8"/>
        <rFont val="Arial"/>
        <family val="2"/>
      </rPr>
      <t>was Measured, Data Sheet Parameter</t>
    </r>
  </si>
  <si>
    <r>
      <t>V</t>
    </r>
    <r>
      <rPr>
        <b/>
        <vertAlign val="subscript"/>
        <sz val="12"/>
        <rFont val="Arial"/>
        <family val="2"/>
      </rPr>
      <t>dsQE</t>
    </r>
  </si>
  <si>
    <r>
      <t>V</t>
    </r>
    <r>
      <rPr>
        <b/>
        <vertAlign val="subscript"/>
        <sz val="12"/>
        <rFont val="Arial"/>
        <family val="2"/>
      </rPr>
      <t>dsQE_SPEC</t>
    </r>
  </si>
  <si>
    <r>
      <t>Voltage Specified at C</t>
    </r>
    <r>
      <rPr>
        <b/>
        <vertAlign val="subscript"/>
        <sz val="12"/>
        <rFont val="Arial"/>
        <family val="2"/>
      </rPr>
      <t>OSS</t>
    </r>
    <r>
      <rPr>
        <b/>
        <sz val="12"/>
        <rFont val="Arial"/>
        <family val="2"/>
      </rPr>
      <t xml:space="preserve"> Specified in the Data Sheet</t>
    </r>
  </si>
  <si>
    <r>
      <t>C</t>
    </r>
    <r>
      <rPr>
        <b/>
        <vertAlign val="subscript"/>
        <sz val="12"/>
        <rFont val="Arial"/>
        <family val="2"/>
      </rPr>
      <t>OSS_SPEC</t>
    </r>
  </si>
  <si>
    <r>
      <t>Specified QE and QF C</t>
    </r>
    <r>
      <rPr>
        <b/>
        <vertAlign val="subscript"/>
        <sz val="12"/>
        <rFont val="Arial"/>
        <family val="2"/>
      </rPr>
      <t xml:space="preserve">OSS </t>
    </r>
    <r>
      <rPr>
        <b/>
        <sz val="12"/>
        <rFont val="Arial"/>
        <family val="2"/>
      </rPr>
      <t>From the Data Sheet</t>
    </r>
  </si>
  <si>
    <r>
      <t>C</t>
    </r>
    <r>
      <rPr>
        <b/>
        <vertAlign val="subscript"/>
        <sz val="12"/>
        <rFont val="Arial"/>
        <family val="2"/>
      </rPr>
      <t>OSS_QE_AVG</t>
    </r>
  </si>
  <si>
    <r>
      <t>Average QE and QF C</t>
    </r>
    <r>
      <rPr>
        <b/>
        <vertAlign val="subscript"/>
        <sz val="12"/>
        <rFont val="Arial"/>
        <family val="2"/>
      </rPr>
      <t>OSS</t>
    </r>
  </si>
  <si>
    <t>QE and QF RMS Current</t>
  </si>
  <si>
    <r>
      <t>I</t>
    </r>
    <r>
      <rPr>
        <b/>
        <vertAlign val="subscript"/>
        <sz val="12"/>
        <rFont val="Arial"/>
        <family val="2"/>
      </rPr>
      <t>QE_RMS</t>
    </r>
  </si>
  <si>
    <r>
      <t>QE</t>
    </r>
    <r>
      <rPr>
        <b/>
        <vertAlign val="subscript"/>
        <sz val="12"/>
        <rFont val="Arial"/>
        <family val="2"/>
      </rPr>
      <t>MILLER_MAX</t>
    </r>
  </si>
  <si>
    <r>
      <t>QE</t>
    </r>
    <r>
      <rPr>
        <b/>
        <vertAlign val="subscript"/>
        <sz val="12"/>
        <rFont val="Arial"/>
        <family val="2"/>
      </rPr>
      <t>MILLER_MIN</t>
    </r>
  </si>
  <si>
    <t>Maximum Gate Charge at the end of the Miller Plateau</t>
  </si>
  <si>
    <t>Peak Current Gate of QE and QF is Driven with</t>
  </si>
  <si>
    <r>
      <t>I</t>
    </r>
    <r>
      <rPr>
        <b/>
        <vertAlign val="subscript"/>
        <sz val="12"/>
        <rFont val="Arial"/>
        <family val="2"/>
      </rPr>
      <t>P</t>
    </r>
  </si>
  <si>
    <r>
      <t>t</t>
    </r>
    <r>
      <rPr>
        <b/>
        <vertAlign val="subscript"/>
        <sz val="12"/>
        <rFont val="Arial"/>
        <family val="2"/>
      </rPr>
      <t>r</t>
    </r>
    <r>
      <rPr>
        <b/>
        <sz val="12"/>
        <rFont val="Arial"/>
        <family val="2"/>
      </rPr>
      <t xml:space="preserve"> ≈ t</t>
    </r>
    <r>
      <rPr>
        <b/>
        <vertAlign val="subscript"/>
        <sz val="12"/>
        <rFont val="Arial"/>
        <family val="2"/>
      </rPr>
      <t>f</t>
    </r>
  </si>
  <si>
    <t>ns</t>
  </si>
  <si>
    <t>Estimate QE FET Losses</t>
  </si>
  <si>
    <r>
      <t>P</t>
    </r>
    <r>
      <rPr>
        <b/>
        <vertAlign val="subscript"/>
        <sz val="12"/>
        <rFont val="Arial"/>
        <family val="2"/>
      </rPr>
      <t>QE</t>
    </r>
  </si>
  <si>
    <t>Maximum Voltage Across QE and QF</t>
  </si>
  <si>
    <t>a2</t>
  </si>
  <si>
    <r>
      <t>Select CT and Enter Turns Ratio a2 = I</t>
    </r>
    <r>
      <rPr>
        <b/>
        <vertAlign val="subscript"/>
        <sz val="12"/>
        <rFont val="Arial"/>
        <family val="2"/>
      </rPr>
      <t>P</t>
    </r>
    <r>
      <rPr>
        <b/>
        <sz val="12"/>
        <rFont val="Arial"/>
        <family val="2"/>
      </rPr>
      <t>/I</t>
    </r>
    <r>
      <rPr>
        <b/>
        <vertAlign val="subscript"/>
        <sz val="12"/>
        <rFont val="Arial"/>
        <family val="2"/>
      </rPr>
      <t>S</t>
    </r>
  </si>
  <si>
    <t>Std. Resistors</t>
  </si>
  <si>
    <t>Capacitors</t>
  </si>
  <si>
    <t>Enter resistor value</t>
  </si>
  <si>
    <t>E6</t>
  </si>
  <si>
    <t>E96</t>
  </si>
  <si>
    <t>Cap value</t>
  </si>
  <si>
    <t>Closest E6 Value</t>
  </si>
  <si>
    <t>Closest E12 Value</t>
  </si>
  <si>
    <t>C values up to 10nF</t>
  </si>
  <si>
    <t>Closest E24 Value</t>
  </si>
  <si>
    <t>Closest E48 Value</t>
  </si>
  <si>
    <t>Closest E96 Value</t>
  </si>
  <si>
    <t>E12</t>
  </si>
  <si>
    <t>C values greater than 10nF</t>
  </si>
  <si>
    <t>E24</t>
  </si>
  <si>
    <t>E48</t>
  </si>
  <si>
    <r>
      <t>R</t>
    </r>
    <r>
      <rPr>
        <b/>
        <vertAlign val="subscript"/>
        <sz val="12"/>
        <rFont val="Arial"/>
        <family val="2"/>
      </rPr>
      <t>S</t>
    </r>
  </si>
  <si>
    <t>Calculate Current Sense Resistor</t>
  </si>
  <si>
    <t>Ω</t>
  </si>
  <si>
    <r>
      <t>I</t>
    </r>
    <r>
      <rPr>
        <b/>
        <vertAlign val="subscript"/>
        <sz val="12"/>
        <rFont val="Arial"/>
        <family val="2"/>
      </rPr>
      <t>P1</t>
    </r>
  </si>
  <si>
    <r>
      <t>Calculate nominal peak current (I</t>
    </r>
    <r>
      <rPr>
        <b/>
        <vertAlign val="subscript"/>
        <sz val="12"/>
        <rFont val="Arial"/>
        <family val="2"/>
      </rPr>
      <t>P1</t>
    </r>
    <r>
      <rPr>
        <b/>
        <sz val="12"/>
        <rFont val="Arial"/>
        <family val="2"/>
      </rPr>
      <t>) at V</t>
    </r>
    <r>
      <rPr>
        <b/>
        <vertAlign val="subscript"/>
        <sz val="12"/>
        <rFont val="Arial"/>
        <family val="2"/>
      </rPr>
      <t>INMIN</t>
    </r>
  </si>
  <si>
    <t>Select Current Sense Resistor for Your Design</t>
  </si>
  <si>
    <t>Estimate Rs Power Loss</t>
  </si>
  <si>
    <r>
      <t>P</t>
    </r>
    <r>
      <rPr>
        <b/>
        <vertAlign val="subscript"/>
        <sz val="12"/>
        <rFont val="Arial"/>
        <family val="2"/>
      </rPr>
      <t>RS</t>
    </r>
  </si>
  <si>
    <r>
      <t>V</t>
    </r>
    <r>
      <rPr>
        <b/>
        <vertAlign val="subscript"/>
        <sz val="12"/>
        <rFont val="Arial"/>
        <family val="2"/>
      </rPr>
      <t>DA</t>
    </r>
  </si>
  <si>
    <r>
      <t>Maximum Diode D</t>
    </r>
    <r>
      <rPr>
        <b/>
        <vertAlign val="subscript"/>
        <sz val="12"/>
        <rFont val="Arial"/>
        <family val="2"/>
      </rPr>
      <t>A</t>
    </r>
    <r>
      <rPr>
        <b/>
        <sz val="12"/>
        <rFont val="Arial"/>
        <family val="2"/>
      </rPr>
      <t xml:space="preserve"> Reverse Voltage</t>
    </r>
  </si>
  <si>
    <r>
      <t>t</t>
    </r>
    <r>
      <rPr>
        <b/>
        <vertAlign val="subscript"/>
        <sz val="12"/>
        <rFont val="Arial"/>
        <family val="2"/>
      </rPr>
      <t>DELAY</t>
    </r>
  </si>
  <si>
    <t>fr</t>
  </si>
  <si>
    <t>Calculate Resonant Tank Frequency</t>
  </si>
  <si>
    <t>Possible Delay That will Be Required for ZVS</t>
  </si>
  <si>
    <r>
      <t>D</t>
    </r>
    <r>
      <rPr>
        <b/>
        <vertAlign val="subscript"/>
        <sz val="12"/>
        <rFont val="Arial"/>
        <family val="2"/>
      </rPr>
      <t>CLAMP</t>
    </r>
  </si>
  <si>
    <r>
      <t>t</t>
    </r>
    <r>
      <rPr>
        <b/>
        <vertAlign val="subscript"/>
        <sz val="12"/>
        <rFont val="Arial"/>
        <family val="2"/>
      </rPr>
      <t>DELAY</t>
    </r>
    <r>
      <rPr>
        <b/>
        <sz val="12"/>
        <rFont val="Arial"/>
        <family val="2"/>
      </rPr>
      <t xml:space="preserve"> will act as a duty cycle clamp</t>
    </r>
  </si>
  <si>
    <t>Switching Cycle Period</t>
  </si>
  <si>
    <t>ts</t>
  </si>
  <si>
    <t>Shim Inductance Used</t>
  </si>
  <si>
    <t>Output Inductance Used</t>
  </si>
  <si>
    <t>Selecting Power Transformer (T1)</t>
  </si>
  <si>
    <t>Number of Output Capacitors Used</t>
  </si>
  <si>
    <t>Input Capacitance Used</t>
  </si>
  <si>
    <r>
      <t>Estimate D</t>
    </r>
    <r>
      <rPr>
        <b/>
        <vertAlign val="subscript"/>
        <sz val="12"/>
        <rFont val="Arial"/>
        <family val="2"/>
      </rPr>
      <t>A</t>
    </r>
    <r>
      <rPr>
        <b/>
        <sz val="12"/>
        <rFont val="Arial"/>
        <family val="2"/>
      </rPr>
      <t xml:space="preserve"> Losses</t>
    </r>
  </si>
  <si>
    <r>
      <t>P</t>
    </r>
    <r>
      <rPr>
        <b/>
        <vertAlign val="subscript"/>
        <sz val="12"/>
        <rFont val="Arial"/>
        <family val="2"/>
      </rPr>
      <t>DA</t>
    </r>
  </si>
  <si>
    <t>V1</t>
  </si>
  <si>
    <r>
      <t>R</t>
    </r>
    <r>
      <rPr>
        <b/>
        <vertAlign val="subscript"/>
        <sz val="12"/>
        <rFont val="Arial"/>
        <family val="2"/>
      </rPr>
      <t>B</t>
    </r>
  </si>
  <si>
    <t>Select Standard Resistor</t>
  </si>
  <si>
    <r>
      <t>R</t>
    </r>
    <r>
      <rPr>
        <b/>
        <vertAlign val="subscript"/>
        <sz val="12"/>
        <rFont val="Arial"/>
        <family val="2"/>
      </rPr>
      <t>A</t>
    </r>
  </si>
  <si>
    <t>Calculated Resistance</t>
  </si>
  <si>
    <r>
      <t>R</t>
    </r>
    <r>
      <rPr>
        <b/>
        <vertAlign val="subscript"/>
        <sz val="12"/>
        <rFont val="Arial"/>
        <family val="2"/>
      </rPr>
      <t>C</t>
    </r>
  </si>
  <si>
    <r>
      <t>R</t>
    </r>
    <r>
      <rPr>
        <b/>
        <vertAlign val="subscript"/>
        <sz val="12"/>
        <rFont val="Arial"/>
        <family val="2"/>
      </rPr>
      <t>I</t>
    </r>
  </si>
  <si>
    <r>
      <t>f</t>
    </r>
    <r>
      <rPr>
        <b/>
        <vertAlign val="subscript"/>
        <sz val="12"/>
        <rFont val="Arial"/>
        <family val="2"/>
      </rPr>
      <t>C</t>
    </r>
  </si>
  <si>
    <t>Voltage Loop Crossover Frequency</t>
  </si>
  <si>
    <r>
      <t>R</t>
    </r>
    <r>
      <rPr>
        <b/>
        <vertAlign val="subscript"/>
        <sz val="12"/>
        <rFont val="Arial"/>
        <family val="2"/>
      </rPr>
      <t>LOAD</t>
    </r>
  </si>
  <si>
    <t>a1*a2*rload/rs</t>
  </si>
  <si>
    <t>Constant</t>
  </si>
  <si>
    <t>n1/d1</t>
  </si>
  <si>
    <t>n1divd1</t>
  </si>
  <si>
    <t>1/d2</t>
  </si>
  <si>
    <t>n1/(d1*d2)</t>
  </si>
  <si>
    <t>a1*a2*rload/rs*(n1/(d1*d2))</t>
  </si>
  <si>
    <t>absolute maximum(a1*a2*rload/rs*(n1/(d1*d2)))</t>
  </si>
  <si>
    <t>n1</t>
  </si>
  <si>
    <t>|Gco(fc)|</t>
  </si>
  <si>
    <r>
      <t>R</t>
    </r>
    <r>
      <rPr>
        <b/>
        <vertAlign val="subscript"/>
        <sz val="12"/>
        <rFont val="Arial"/>
        <family val="2"/>
      </rPr>
      <t>F</t>
    </r>
  </si>
  <si>
    <t>Calculate Feedback Resistor</t>
  </si>
  <si>
    <r>
      <t>C</t>
    </r>
    <r>
      <rPr>
        <b/>
        <vertAlign val="subscript"/>
        <sz val="12"/>
        <rFont val="Arial"/>
        <family val="2"/>
      </rPr>
      <t>Z</t>
    </r>
  </si>
  <si>
    <t>nF</t>
  </si>
  <si>
    <t>Calculate Pole Capacitor</t>
  </si>
  <si>
    <t>Calculate Zero Capacitor</t>
  </si>
  <si>
    <t>mΩ</t>
  </si>
  <si>
    <t>Output Capacitance ESR  ≤</t>
  </si>
  <si>
    <t>Output Capacitance Cout  ≥</t>
  </si>
  <si>
    <t>kΩ</t>
  </si>
  <si>
    <r>
      <t>C</t>
    </r>
    <r>
      <rPr>
        <b/>
        <vertAlign val="subscript"/>
        <sz val="12"/>
        <rFont val="Arial"/>
        <family val="2"/>
      </rPr>
      <t>P</t>
    </r>
  </si>
  <si>
    <t>Cz</t>
  </si>
  <si>
    <t>values up to 10 nF</t>
  </si>
  <si>
    <t>values greater than 10nf</t>
  </si>
  <si>
    <r>
      <t>t</t>
    </r>
    <r>
      <rPr>
        <b/>
        <vertAlign val="subscript"/>
        <sz val="12"/>
        <rFont val="Arial"/>
        <family val="2"/>
      </rPr>
      <t>SS</t>
    </r>
  </si>
  <si>
    <t>Soft Start Time</t>
  </si>
  <si>
    <t>ms</t>
  </si>
  <si>
    <r>
      <t>C</t>
    </r>
    <r>
      <rPr>
        <b/>
        <vertAlign val="subscript"/>
        <sz val="12"/>
        <rFont val="Arial"/>
        <family val="2"/>
      </rPr>
      <t>SS</t>
    </r>
  </si>
  <si>
    <t>values greater than 10 nf</t>
  </si>
  <si>
    <r>
      <t>t</t>
    </r>
    <r>
      <rPr>
        <b/>
        <vertAlign val="subscript"/>
        <sz val="12"/>
        <rFont val="Arial"/>
        <family val="2"/>
      </rPr>
      <t>ABSET</t>
    </r>
  </si>
  <si>
    <r>
      <t>R</t>
    </r>
    <r>
      <rPr>
        <b/>
        <vertAlign val="subscript"/>
        <sz val="12"/>
        <rFont val="Arial"/>
        <family val="2"/>
      </rPr>
      <t>DELAB</t>
    </r>
  </si>
  <si>
    <r>
      <t>R</t>
    </r>
    <r>
      <rPr>
        <b/>
        <vertAlign val="subscript"/>
        <sz val="12"/>
        <rFont val="Arial"/>
        <family val="2"/>
      </rPr>
      <t>DELCD</t>
    </r>
  </si>
  <si>
    <r>
      <t>t</t>
    </r>
    <r>
      <rPr>
        <b/>
        <vertAlign val="subscript"/>
        <sz val="12"/>
        <rFont val="Arial"/>
        <family val="2"/>
      </rPr>
      <t>CDSET</t>
    </r>
  </si>
  <si>
    <r>
      <t>Set to half of t</t>
    </r>
    <r>
      <rPr>
        <b/>
        <vertAlign val="subscript"/>
        <sz val="12"/>
        <rFont val="Arial"/>
        <family val="2"/>
      </rPr>
      <t>ABSET</t>
    </r>
  </si>
  <si>
    <r>
      <t>R</t>
    </r>
    <r>
      <rPr>
        <b/>
        <vertAlign val="subscript"/>
        <sz val="12"/>
        <rFont val="Arial"/>
        <family val="2"/>
      </rPr>
      <t>DELEF</t>
    </r>
  </si>
  <si>
    <t>Setting Minimum on Time</t>
  </si>
  <si>
    <t>Minimum on Time</t>
  </si>
  <si>
    <r>
      <t>t</t>
    </r>
    <r>
      <rPr>
        <b/>
        <vertAlign val="subscript"/>
        <sz val="12"/>
        <rFont val="Arial"/>
        <family val="2"/>
      </rPr>
      <t>MIN</t>
    </r>
  </si>
  <si>
    <r>
      <t>R</t>
    </r>
    <r>
      <rPr>
        <b/>
        <vertAlign val="subscript"/>
        <sz val="12"/>
        <rFont val="Arial"/>
        <family val="2"/>
      </rPr>
      <t>TMIN</t>
    </r>
  </si>
  <si>
    <r>
      <t>Calculate R</t>
    </r>
    <r>
      <rPr>
        <b/>
        <vertAlign val="subscript"/>
        <sz val="12"/>
        <rFont val="Arial"/>
        <family val="2"/>
      </rPr>
      <t>TMIN</t>
    </r>
  </si>
  <si>
    <t>Setup PWM Switching Frequency</t>
  </si>
  <si>
    <r>
      <t>Calculate R</t>
    </r>
    <r>
      <rPr>
        <b/>
        <vertAlign val="subscript"/>
        <sz val="12"/>
        <rFont val="Arial"/>
        <family val="2"/>
      </rPr>
      <t>T</t>
    </r>
    <r>
      <rPr>
        <b/>
        <sz val="12"/>
        <rFont val="Arial"/>
        <family val="2"/>
      </rPr>
      <t xml:space="preserve"> Value</t>
    </r>
  </si>
  <si>
    <r>
      <t>R</t>
    </r>
    <r>
      <rPr>
        <b/>
        <vertAlign val="subscript"/>
        <sz val="12"/>
        <rFont val="Arial"/>
        <family val="2"/>
      </rPr>
      <t>T</t>
    </r>
  </si>
  <si>
    <t>Setup Slope Compensation</t>
  </si>
  <si>
    <t>V/us</t>
  </si>
  <si>
    <r>
      <t>Calculate V</t>
    </r>
    <r>
      <rPr>
        <b/>
        <vertAlign val="subscript"/>
        <sz val="12"/>
        <rFont val="Arial"/>
        <family val="2"/>
      </rPr>
      <t>SLOPE</t>
    </r>
  </si>
  <si>
    <r>
      <t>V</t>
    </r>
    <r>
      <rPr>
        <b/>
        <vertAlign val="subscript"/>
        <sz val="12"/>
        <rFont val="Arial"/>
        <family val="2"/>
      </rPr>
      <t>SLOPE</t>
    </r>
  </si>
  <si>
    <r>
      <t>Calculate R</t>
    </r>
    <r>
      <rPr>
        <b/>
        <vertAlign val="subscript"/>
        <sz val="12"/>
        <rFont val="Arial"/>
        <family val="2"/>
      </rPr>
      <t>SUM</t>
    </r>
  </si>
  <si>
    <r>
      <t>R</t>
    </r>
    <r>
      <rPr>
        <b/>
        <vertAlign val="subscript"/>
        <sz val="12"/>
        <rFont val="Arial"/>
        <family val="2"/>
      </rPr>
      <t>SUM</t>
    </r>
  </si>
  <si>
    <r>
      <t>Voltage across R</t>
    </r>
    <r>
      <rPr>
        <b/>
        <vertAlign val="subscript"/>
        <sz val="12"/>
        <rFont val="Arial"/>
        <family val="2"/>
      </rPr>
      <t>S</t>
    </r>
    <r>
      <rPr>
        <b/>
        <sz val="12"/>
        <rFont val="Arial"/>
        <family val="2"/>
      </rPr>
      <t xml:space="preserve"> at 15% load</t>
    </r>
  </si>
  <si>
    <r>
      <t>V</t>
    </r>
    <r>
      <rPr>
        <b/>
        <vertAlign val="subscript"/>
        <sz val="12"/>
        <rFont val="Arial"/>
        <family val="2"/>
      </rPr>
      <t>RS</t>
    </r>
  </si>
  <si>
    <r>
      <t>R</t>
    </r>
    <r>
      <rPr>
        <b/>
        <vertAlign val="subscript"/>
        <sz val="12"/>
        <rFont val="Arial"/>
        <family val="2"/>
      </rPr>
      <t>G</t>
    </r>
  </si>
  <si>
    <r>
      <t>R</t>
    </r>
    <r>
      <rPr>
        <b/>
        <vertAlign val="subscript"/>
        <sz val="12"/>
        <rFont val="Arial"/>
        <family val="2"/>
      </rPr>
      <t>E</t>
    </r>
  </si>
  <si>
    <r>
      <t>Calculate R</t>
    </r>
    <r>
      <rPr>
        <b/>
        <vertAlign val="subscript"/>
        <sz val="12"/>
        <rFont val="Arial"/>
        <family val="2"/>
      </rPr>
      <t xml:space="preserve">E </t>
    </r>
  </si>
  <si>
    <r>
      <t>Δ</t>
    </r>
    <r>
      <rPr>
        <b/>
        <sz val="12"/>
        <rFont val="Arial"/>
        <family val="2"/>
      </rPr>
      <t>I</t>
    </r>
    <r>
      <rPr>
        <b/>
        <vertAlign val="subscript"/>
        <sz val="12"/>
        <rFont val="Arial"/>
        <family val="2"/>
      </rPr>
      <t>LOUT</t>
    </r>
  </si>
  <si>
    <t>Partial RMS Current</t>
  </si>
  <si>
    <t>Counter</t>
  </si>
  <si>
    <t>Gco n1/d1</t>
  </si>
  <si>
    <t>Gco 1/d2</t>
  </si>
  <si>
    <t>Gco n1/(d1*d2)</t>
  </si>
  <si>
    <t>Gco(f)</t>
  </si>
  <si>
    <t>|Gco(f)|</t>
  </si>
  <si>
    <t>Gc n1/n1</t>
  </si>
  <si>
    <t>Gc 1/n2</t>
  </si>
  <si>
    <t>Gc(f)</t>
  </si>
  <si>
    <t>Gc(f)*Gco(f)</t>
  </si>
  <si>
    <t>TvdB(f)</t>
  </si>
  <si>
    <r>
      <t>ӨT</t>
    </r>
    <r>
      <rPr>
        <vertAlign val="subscript"/>
        <sz val="10"/>
        <rFont val="Arial"/>
        <family val="2"/>
      </rPr>
      <t>V</t>
    </r>
    <r>
      <rPr>
        <sz val="10"/>
        <rFont val="Arial"/>
      </rPr>
      <t>(f)</t>
    </r>
  </si>
  <si>
    <t>frequency</t>
  </si>
  <si>
    <t>TvdB(f)
MathCad Check</t>
  </si>
  <si>
    <r>
      <t>ӨT</t>
    </r>
    <r>
      <rPr>
        <vertAlign val="subscript"/>
        <sz val="10"/>
        <rFont val="Arial"/>
        <family val="2"/>
      </rPr>
      <t>V</t>
    </r>
    <r>
      <rPr>
        <sz val="10"/>
        <rFont val="Arial"/>
      </rPr>
      <t>(f)
MathCAD
Check</t>
    </r>
  </si>
  <si>
    <t>Frequency</t>
  </si>
  <si>
    <t>ӨTv(f)</t>
  </si>
  <si>
    <t>T1 Primary Magnetizing Inductance &gt; or =</t>
  </si>
  <si>
    <r>
      <t>Calculate T1 Secondary RMS Current (I</t>
    </r>
    <r>
      <rPr>
        <b/>
        <vertAlign val="subscript"/>
        <sz val="12"/>
        <rFont val="Arial"/>
        <family val="2"/>
      </rPr>
      <t>SRMS</t>
    </r>
    <r>
      <rPr>
        <b/>
        <sz val="12"/>
        <rFont val="Arial"/>
        <family val="2"/>
      </rPr>
      <t>)</t>
    </r>
  </si>
  <si>
    <r>
      <t>L</t>
    </r>
    <r>
      <rPr>
        <b/>
        <vertAlign val="subscript"/>
        <sz val="12"/>
        <rFont val="Arial"/>
        <family val="2"/>
      </rPr>
      <t>OUT</t>
    </r>
    <r>
      <rPr>
        <b/>
        <sz val="12"/>
        <rFont val="Arial"/>
        <family val="2"/>
      </rPr>
      <t xml:space="preserve"> equivalent series resistance</t>
    </r>
  </si>
  <si>
    <t>Total Equivalent Series Resistance</t>
  </si>
  <si>
    <t>QE and QF on Resistance</t>
  </si>
  <si>
    <t>Minimum Gate Charge at the beginning of the Miller Plateau</t>
  </si>
  <si>
    <r>
      <t>Approximate QE and QF V</t>
    </r>
    <r>
      <rPr>
        <b/>
        <vertAlign val="subscript"/>
        <sz val="12"/>
        <rFont val="Arial"/>
        <family val="2"/>
      </rPr>
      <t>ds</t>
    </r>
    <r>
      <rPr>
        <b/>
        <sz val="12"/>
        <rFont val="Arial"/>
        <family val="2"/>
      </rPr>
      <t xml:space="preserve"> Rise and Fall Times</t>
    </r>
  </si>
  <si>
    <t>Equivalent Series Resistance</t>
  </si>
  <si>
    <r>
      <t>Estimate C</t>
    </r>
    <r>
      <rPr>
        <b/>
        <vertAlign val="subscript"/>
        <sz val="12"/>
        <rFont val="Arial"/>
        <family val="2"/>
      </rPr>
      <t>IN</t>
    </r>
    <r>
      <rPr>
        <b/>
        <sz val="12"/>
        <rFont val="Arial"/>
        <family val="2"/>
      </rPr>
      <t xml:space="preserve"> Power Dissipation</t>
    </r>
  </si>
  <si>
    <t>Programmed Voltage Reference, Needs to be &lt; 5V</t>
  </si>
  <si>
    <t>Load Impedance at 10% Load</t>
  </si>
  <si>
    <t>Calculate Soft Start Capacitor</t>
  </si>
  <si>
    <t>Calculate 1/4 LC Tank Frequency and set AB Initial Delay</t>
  </si>
  <si>
    <t>Calculate AB timing resistor</t>
  </si>
  <si>
    <r>
      <t>Set Initial CD delay to AB Delay t</t>
    </r>
    <r>
      <rPr>
        <b/>
        <vertAlign val="subscript"/>
        <sz val="12"/>
        <rFont val="Arial"/>
        <family val="2"/>
      </rPr>
      <t>ABSET</t>
    </r>
    <r>
      <rPr>
        <b/>
        <sz val="12"/>
        <rFont val="Arial"/>
        <family val="2"/>
      </rPr>
      <t xml:space="preserve"> = t</t>
    </r>
    <r>
      <rPr>
        <b/>
        <vertAlign val="subscript"/>
        <sz val="12"/>
        <rFont val="Arial"/>
        <family val="2"/>
      </rPr>
      <t>CDSET</t>
    </r>
  </si>
  <si>
    <r>
      <t>Calculate Magnetizing Current during I</t>
    </r>
    <r>
      <rPr>
        <b/>
        <vertAlign val="subscript"/>
        <sz val="12"/>
        <rFont val="Arial"/>
        <family val="2"/>
      </rPr>
      <t>LOUT</t>
    </r>
    <r>
      <rPr>
        <b/>
        <sz val="12"/>
        <rFont val="Arial"/>
        <family val="2"/>
      </rPr>
      <t xml:space="preserve"> down slope</t>
    </r>
  </si>
  <si>
    <t>Setup DCM Comparator</t>
  </si>
  <si>
    <t>Voltage Applied to FET Gate ≈ VDD</t>
  </si>
  <si>
    <r>
      <t>Double pole of G</t>
    </r>
    <r>
      <rPr>
        <b/>
        <vertAlign val="subscript"/>
        <sz val="12"/>
        <rFont val="Arial"/>
        <family val="2"/>
      </rPr>
      <t>CO</t>
    </r>
    <r>
      <rPr>
        <b/>
        <sz val="12"/>
        <rFont val="Arial"/>
        <family val="2"/>
      </rPr>
      <t>(f)</t>
    </r>
  </si>
  <si>
    <r>
      <t>f</t>
    </r>
    <r>
      <rPr>
        <b/>
        <vertAlign val="subscript"/>
        <sz val="12"/>
        <rFont val="Arial"/>
        <family val="2"/>
      </rPr>
      <t>PP</t>
    </r>
  </si>
  <si>
    <r>
      <t>Select Shim Inductor (L</t>
    </r>
    <r>
      <rPr>
        <b/>
        <vertAlign val="subscript"/>
        <sz val="12"/>
        <color indexed="9"/>
        <rFont val="Arial"/>
        <family val="2"/>
      </rPr>
      <t>S</t>
    </r>
    <r>
      <rPr>
        <b/>
        <sz val="12"/>
        <color indexed="9"/>
        <rFont val="Arial"/>
        <family val="2"/>
      </rPr>
      <t>)</t>
    </r>
  </si>
  <si>
    <r>
      <t>Selecting Output Inductor (L</t>
    </r>
    <r>
      <rPr>
        <b/>
        <vertAlign val="subscript"/>
        <sz val="12"/>
        <color indexed="9"/>
        <rFont val="Arial"/>
        <family val="2"/>
      </rPr>
      <t>OUT</t>
    </r>
    <r>
      <rPr>
        <b/>
        <sz val="12"/>
        <color indexed="9"/>
        <rFont val="Arial"/>
        <family val="2"/>
      </rPr>
      <t>)</t>
    </r>
  </si>
  <si>
    <r>
      <t>Selecting Output Capacitance (C</t>
    </r>
    <r>
      <rPr>
        <b/>
        <vertAlign val="subscript"/>
        <sz val="12"/>
        <color indexed="9"/>
        <rFont val="Arial"/>
        <family val="2"/>
      </rPr>
      <t>OUT</t>
    </r>
    <r>
      <rPr>
        <b/>
        <sz val="12"/>
        <color indexed="9"/>
        <rFont val="Arial"/>
        <family val="2"/>
      </rPr>
      <t>)</t>
    </r>
  </si>
  <si>
    <r>
      <t>Input Capacitance Calculations (C</t>
    </r>
    <r>
      <rPr>
        <b/>
        <vertAlign val="subscript"/>
        <sz val="12"/>
        <color indexed="9"/>
        <rFont val="Arial"/>
        <family val="2"/>
      </rPr>
      <t>IN</t>
    </r>
    <r>
      <rPr>
        <b/>
        <sz val="12"/>
        <color indexed="9"/>
        <rFont val="Arial"/>
        <family val="2"/>
      </rPr>
      <t>)</t>
    </r>
  </si>
  <si>
    <t>Recalculate Power Budget 
This is the remaining power left for the CT network, IC and IC sensing resistors</t>
  </si>
  <si>
    <r>
      <t>Setting up Voltage Amplifier Reference G</t>
    </r>
    <r>
      <rPr>
        <b/>
        <vertAlign val="subscript"/>
        <sz val="12"/>
        <color indexed="9"/>
        <rFont val="Arial"/>
        <family val="2"/>
      </rPr>
      <t>C</t>
    </r>
    <r>
      <rPr>
        <b/>
        <sz val="12"/>
        <color indexed="9"/>
        <rFont val="Arial"/>
        <family val="2"/>
      </rPr>
      <t>(f)</t>
    </r>
  </si>
  <si>
    <r>
      <t>Select Soft Start Capacitor (C</t>
    </r>
    <r>
      <rPr>
        <b/>
        <vertAlign val="subscript"/>
        <sz val="12"/>
        <color indexed="9"/>
        <rFont val="Arial"/>
        <family val="2"/>
      </rPr>
      <t>SS</t>
    </r>
    <r>
      <rPr>
        <b/>
        <sz val="12"/>
        <color indexed="9"/>
        <rFont val="Arial"/>
        <family val="2"/>
      </rPr>
      <t>)</t>
    </r>
  </si>
  <si>
    <t>It is recommended that you read this application note before using this design tool</t>
  </si>
  <si>
    <t>Please Refer to Figure of T1 Current</t>
  </si>
  <si>
    <r>
      <t>Primary Magnetizing Current Based on L</t>
    </r>
    <r>
      <rPr>
        <b/>
        <vertAlign val="subscript"/>
        <sz val="12"/>
        <rFont val="Arial"/>
        <family val="2"/>
      </rPr>
      <t>MAG</t>
    </r>
  </si>
  <si>
    <r>
      <t>Calculate T1 Primary RMS Current (I</t>
    </r>
    <r>
      <rPr>
        <b/>
        <vertAlign val="subscript"/>
        <sz val="12"/>
        <rFont val="Arial"/>
        <family val="2"/>
      </rPr>
      <t>PRMS</t>
    </r>
    <r>
      <rPr>
        <b/>
        <sz val="12"/>
        <rFont val="Arial"/>
        <family val="2"/>
      </rPr>
      <t>)</t>
    </r>
  </si>
  <si>
    <r>
      <t>Setting up the current sense network (CT, R</t>
    </r>
    <r>
      <rPr>
        <b/>
        <vertAlign val="subscript"/>
        <sz val="12"/>
        <color indexed="9"/>
        <rFont val="Arial"/>
        <family val="2"/>
      </rPr>
      <t>S</t>
    </r>
    <r>
      <rPr>
        <b/>
        <sz val="12"/>
        <color indexed="9"/>
        <rFont val="Arial"/>
        <family val="2"/>
      </rPr>
      <t>, R</t>
    </r>
    <r>
      <rPr>
        <b/>
        <vertAlign val="subscript"/>
        <sz val="12"/>
        <color indexed="9"/>
        <rFont val="Arial"/>
        <family val="2"/>
      </rPr>
      <t xml:space="preserve">RE, </t>
    </r>
    <r>
      <rPr>
        <b/>
        <sz val="12"/>
        <color indexed="9"/>
        <rFont val="Arial"/>
        <family val="2"/>
      </rPr>
      <t>D</t>
    </r>
    <r>
      <rPr>
        <b/>
        <vertAlign val="subscript"/>
        <sz val="12"/>
        <color indexed="9"/>
        <rFont val="Arial"/>
        <family val="2"/>
      </rPr>
      <t>A</t>
    </r>
    <r>
      <rPr>
        <b/>
        <sz val="12"/>
        <color indexed="9"/>
        <rFont val="Arial"/>
        <family val="2"/>
      </rPr>
      <t>):</t>
    </r>
  </si>
  <si>
    <t>Closest Standard Capacitor Value</t>
  </si>
  <si>
    <t>Closest Standard Resistor Value (E48)</t>
  </si>
  <si>
    <t>4. The spreadsheet will calculate the ideal values and display the results in red type.</t>
  </si>
  <si>
    <r>
      <t>L</t>
    </r>
    <r>
      <rPr>
        <b/>
        <vertAlign val="subscript"/>
        <sz val="12"/>
        <rFont val="Arial"/>
        <family val="2"/>
      </rPr>
      <t>LK</t>
    </r>
  </si>
  <si>
    <t>Measured Transformer Primary Leakage Inductance</t>
  </si>
  <si>
    <t>&gt; Invalid parameters entered in yellow cells</t>
  </si>
  <si>
    <t>&gt; Design cannot calculate realistic values for your design parameters</t>
  </si>
  <si>
    <t>&gt; Efficiency goal with selected components may not be achievable</t>
  </si>
  <si>
    <t>Warning Negative Numbers in Calculated Values Could Indicate</t>
  </si>
  <si>
    <t>Select Transformer Turns Ratio</t>
  </si>
  <si>
    <r>
      <t>R</t>
    </r>
    <r>
      <rPr>
        <b/>
        <vertAlign val="subscript"/>
        <sz val="12"/>
        <rFont val="Arial"/>
        <family val="2"/>
      </rPr>
      <t>DA1</t>
    </r>
  </si>
  <si>
    <r>
      <t>V</t>
    </r>
    <r>
      <rPr>
        <b/>
        <vertAlign val="subscript"/>
        <sz val="12"/>
        <rFont val="Arial"/>
        <family val="2"/>
      </rPr>
      <t>ADEL</t>
    </r>
  </si>
  <si>
    <t>Calculate Voltage at ADEL pin to Meet Delay Range</t>
  </si>
  <si>
    <r>
      <t>Select Standard Resistor for R</t>
    </r>
    <r>
      <rPr>
        <b/>
        <vertAlign val="subscript"/>
        <sz val="12"/>
        <rFont val="Arial"/>
        <family val="2"/>
      </rPr>
      <t xml:space="preserve">DA1 </t>
    </r>
    <r>
      <rPr>
        <b/>
        <sz val="12"/>
        <rFont val="Arial"/>
        <family val="2"/>
      </rPr>
      <t>for t</t>
    </r>
    <r>
      <rPr>
        <b/>
        <vertAlign val="subscript"/>
        <sz val="12"/>
        <rFont val="Arial"/>
        <family val="2"/>
      </rPr>
      <t xml:space="preserve">ABSET </t>
    </r>
    <r>
      <rPr>
        <b/>
        <sz val="12"/>
        <rFont val="Arial"/>
        <family val="2"/>
      </rPr>
      <t>Delay Range</t>
    </r>
  </si>
  <si>
    <r>
      <t>Calculate R</t>
    </r>
    <r>
      <rPr>
        <b/>
        <vertAlign val="subscript"/>
        <sz val="12"/>
        <rFont val="Arial"/>
        <family val="2"/>
      </rPr>
      <t>DA2</t>
    </r>
  </si>
  <si>
    <r>
      <t>R</t>
    </r>
    <r>
      <rPr>
        <b/>
        <vertAlign val="subscript"/>
        <sz val="12"/>
        <rFont val="Arial"/>
        <family val="2"/>
      </rPr>
      <t>DA2</t>
    </r>
  </si>
  <si>
    <r>
      <t>Select Standard Resistor for R</t>
    </r>
    <r>
      <rPr>
        <b/>
        <vertAlign val="subscript"/>
        <sz val="12"/>
        <rFont val="Arial"/>
        <family val="2"/>
      </rPr>
      <t xml:space="preserve">DA2 </t>
    </r>
    <r>
      <rPr>
        <b/>
        <sz val="12"/>
        <rFont val="Arial"/>
        <family val="2"/>
      </rPr>
      <t>for t</t>
    </r>
    <r>
      <rPr>
        <b/>
        <vertAlign val="subscript"/>
        <sz val="12"/>
        <rFont val="Arial"/>
        <family val="2"/>
      </rPr>
      <t xml:space="preserve">ABSET </t>
    </r>
    <r>
      <rPr>
        <b/>
        <sz val="12"/>
        <rFont val="Arial"/>
        <family val="2"/>
      </rPr>
      <t>Delay Range</t>
    </r>
  </si>
  <si>
    <r>
      <t>Recalculate V</t>
    </r>
    <r>
      <rPr>
        <b/>
        <vertAlign val="subscript"/>
        <sz val="12"/>
        <rFont val="Arial"/>
        <family val="2"/>
      </rPr>
      <t>ADEL</t>
    </r>
    <r>
      <rPr>
        <b/>
        <sz val="12"/>
        <rFont val="Arial"/>
        <family val="2"/>
      </rPr>
      <t xml:space="preserve"> Based on R</t>
    </r>
    <r>
      <rPr>
        <b/>
        <vertAlign val="subscript"/>
        <sz val="12"/>
        <rFont val="Arial"/>
        <family val="2"/>
      </rPr>
      <t>DA1</t>
    </r>
    <r>
      <rPr>
        <b/>
        <sz val="12"/>
        <rFont val="Arial"/>
        <family val="2"/>
      </rPr>
      <t xml:space="preserve"> and R</t>
    </r>
    <r>
      <rPr>
        <b/>
        <vertAlign val="subscript"/>
        <sz val="12"/>
        <rFont val="Arial"/>
        <family val="2"/>
      </rPr>
      <t>DA2</t>
    </r>
    <r>
      <rPr>
        <b/>
        <sz val="12"/>
        <rFont val="Arial"/>
        <family val="2"/>
      </rPr>
      <t xml:space="preserve"> Selection</t>
    </r>
  </si>
  <si>
    <r>
      <t>Enter/Fine Tune t</t>
    </r>
    <r>
      <rPr>
        <b/>
        <vertAlign val="subscript"/>
        <sz val="12"/>
        <rFont val="Arial"/>
        <family val="2"/>
      </rPr>
      <t>ABSET</t>
    </r>
    <r>
      <rPr>
        <b/>
        <sz val="12"/>
        <rFont val="Arial"/>
        <family val="2"/>
      </rPr>
      <t xml:space="preserve"> Based on Valley Switching/ZVS</t>
    </r>
  </si>
  <si>
    <r>
      <t>Setting AB Initial Turn-on Delay (t</t>
    </r>
    <r>
      <rPr>
        <b/>
        <vertAlign val="subscript"/>
        <sz val="12"/>
        <color indexed="9"/>
        <rFont val="Arial"/>
        <family val="2"/>
      </rPr>
      <t>ABSET</t>
    </r>
    <r>
      <rPr>
        <b/>
        <sz val="12"/>
        <color indexed="9"/>
        <rFont val="Arial"/>
        <family val="2"/>
      </rPr>
      <t>)</t>
    </r>
  </si>
  <si>
    <r>
      <t>Setting CD Initial Turn-on Delay (t</t>
    </r>
    <r>
      <rPr>
        <b/>
        <vertAlign val="subscript"/>
        <sz val="12"/>
        <color indexed="9"/>
        <rFont val="Arial"/>
        <family val="2"/>
      </rPr>
      <t>CDSET</t>
    </r>
    <r>
      <rPr>
        <b/>
        <sz val="12"/>
        <color indexed="9"/>
        <rFont val="Arial"/>
        <family val="2"/>
      </rPr>
      <t>)</t>
    </r>
  </si>
  <si>
    <r>
      <t>R</t>
    </r>
    <r>
      <rPr>
        <b/>
        <vertAlign val="subscript"/>
        <sz val="12"/>
        <rFont val="Arial"/>
        <family val="2"/>
      </rPr>
      <t>CA1</t>
    </r>
  </si>
  <si>
    <r>
      <t>Select Standard Resistor for R</t>
    </r>
    <r>
      <rPr>
        <b/>
        <vertAlign val="subscript"/>
        <sz val="12"/>
        <rFont val="Arial"/>
        <family val="2"/>
      </rPr>
      <t xml:space="preserve">CA1 </t>
    </r>
    <r>
      <rPr>
        <b/>
        <sz val="12"/>
        <rFont val="Arial"/>
        <family val="2"/>
      </rPr>
      <t>for t</t>
    </r>
    <r>
      <rPr>
        <b/>
        <vertAlign val="subscript"/>
        <sz val="12"/>
        <rFont val="Arial"/>
        <family val="2"/>
      </rPr>
      <t xml:space="preserve">AFSET </t>
    </r>
    <r>
      <rPr>
        <b/>
        <sz val="12"/>
        <rFont val="Arial"/>
        <family val="2"/>
      </rPr>
      <t>Delay Range</t>
    </r>
  </si>
  <si>
    <r>
      <t>Calculate R</t>
    </r>
    <r>
      <rPr>
        <b/>
        <vertAlign val="subscript"/>
        <sz val="12"/>
        <rFont val="Arial"/>
        <family val="2"/>
      </rPr>
      <t>CA2</t>
    </r>
  </si>
  <si>
    <r>
      <t>R</t>
    </r>
    <r>
      <rPr>
        <b/>
        <vertAlign val="subscript"/>
        <sz val="12"/>
        <rFont val="Arial"/>
        <family val="2"/>
      </rPr>
      <t>CA2</t>
    </r>
  </si>
  <si>
    <t>Calculate Voltage at ADELEF pin to Meet Delay Range</t>
  </si>
  <si>
    <r>
      <t>V</t>
    </r>
    <r>
      <rPr>
        <b/>
        <vertAlign val="subscript"/>
        <sz val="12"/>
        <rFont val="Arial"/>
        <family val="2"/>
      </rPr>
      <t>ADELEF</t>
    </r>
  </si>
  <si>
    <r>
      <t>t</t>
    </r>
    <r>
      <rPr>
        <b/>
        <vertAlign val="subscript"/>
        <sz val="12"/>
        <rFont val="Arial"/>
        <family val="2"/>
      </rPr>
      <t xml:space="preserve">AFSET </t>
    </r>
    <r>
      <rPr>
        <b/>
        <sz val="12"/>
        <rFont val="Arial"/>
        <family val="2"/>
      </rPr>
      <t>= t</t>
    </r>
    <r>
      <rPr>
        <b/>
        <vertAlign val="subscript"/>
        <sz val="12"/>
        <rFont val="Arial"/>
        <family val="2"/>
      </rPr>
      <t>BESET</t>
    </r>
  </si>
  <si>
    <r>
      <t>Enter/Fine Tune t</t>
    </r>
    <r>
      <rPr>
        <b/>
        <vertAlign val="subscript"/>
        <sz val="12"/>
        <rFont val="Arial"/>
        <family val="2"/>
      </rPr>
      <t xml:space="preserve">AFSET </t>
    </r>
    <r>
      <rPr>
        <b/>
        <sz val="12"/>
        <rFont val="Arial"/>
        <family val="2"/>
      </rPr>
      <t>and t</t>
    </r>
    <r>
      <rPr>
        <b/>
        <vertAlign val="subscript"/>
        <sz val="12"/>
        <rFont val="Arial"/>
        <family val="2"/>
      </rPr>
      <t>AFSET</t>
    </r>
  </si>
  <si>
    <t>Select Standard Resistor Value</t>
  </si>
  <si>
    <r>
      <t>Setting AF and BE turnoff delay (t</t>
    </r>
    <r>
      <rPr>
        <b/>
        <vertAlign val="subscript"/>
        <sz val="12"/>
        <color indexed="9"/>
        <rFont val="Arial"/>
        <family val="2"/>
      </rPr>
      <t>AFSET</t>
    </r>
    <r>
      <rPr>
        <b/>
        <sz val="12"/>
        <color indexed="9"/>
        <rFont val="Arial"/>
        <family val="2"/>
      </rPr>
      <t>, t</t>
    </r>
    <r>
      <rPr>
        <b/>
        <vertAlign val="subscript"/>
        <sz val="12"/>
        <color indexed="9"/>
        <rFont val="Arial"/>
        <family val="2"/>
      </rPr>
      <t>BESET</t>
    </r>
    <r>
      <rPr>
        <b/>
        <sz val="12"/>
        <color indexed="9"/>
        <rFont val="Arial"/>
        <family val="2"/>
      </rPr>
      <t>)</t>
    </r>
  </si>
  <si>
    <t>Select Standard Capacitor Value</t>
  </si>
  <si>
    <t>Select Standard Resistor Value (Between 13K and 90K ohm)</t>
  </si>
  <si>
    <t>Select Standard Resistor Value(Between 13K and 90K ohm)</t>
  </si>
  <si>
    <t>This design tool was generated based on the information in application report SLUA560</t>
  </si>
  <si>
    <r>
      <t>Δ</t>
    </r>
    <r>
      <rPr>
        <b/>
        <sz val="12"/>
        <rFont val="Arial"/>
        <family val="2"/>
      </rPr>
      <t>I</t>
    </r>
    <r>
      <rPr>
        <b/>
        <vertAlign val="subscript"/>
        <sz val="12"/>
        <rFont val="Arial"/>
        <family val="2"/>
      </rPr>
      <t>LMAG</t>
    </r>
  </si>
  <si>
    <t>6. Note this design tool was generated to accompany application report     SLUA560</t>
  </si>
  <si>
    <t>Enter Design Parameters and Chosen Component Values in Yellow Cells</t>
  </si>
  <si>
    <r>
      <t>V</t>
    </r>
    <r>
      <rPr>
        <b/>
        <vertAlign val="subscript"/>
        <sz val="12"/>
        <rFont val="Arial"/>
        <family val="2"/>
      </rPr>
      <t>SLOPE1</t>
    </r>
  </si>
  <si>
    <r>
      <t>V</t>
    </r>
    <r>
      <rPr>
        <b/>
        <vertAlign val="subscript"/>
        <sz val="12"/>
        <rFont val="Arial"/>
        <family val="2"/>
      </rPr>
      <t>SLOPE2</t>
    </r>
  </si>
  <si>
    <r>
      <t>Calculate V</t>
    </r>
    <r>
      <rPr>
        <b/>
        <vertAlign val="subscript"/>
        <sz val="12"/>
        <rFont val="Arial"/>
        <family val="2"/>
      </rPr>
      <t>SLOPE1</t>
    </r>
  </si>
  <si>
    <r>
      <t>Calculate V</t>
    </r>
    <r>
      <rPr>
        <b/>
        <vertAlign val="subscript"/>
        <sz val="12"/>
        <rFont val="Arial"/>
        <family val="2"/>
      </rPr>
      <t>SLOPE2</t>
    </r>
  </si>
  <si>
    <t>Assumes the centre tapped secondary - as per Functional Schematic</t>
  </si>
  <si>
    <t>UCC28950 and UCC28951 Design Calculator</t>
  </si>
  <si>
    <t>Revision: E</t>
  </si>
  <si>
    <t>UCC28950 and UCC28951 Excel Design Tool: SLUC222E</t>
  </si>
  <si>
    <t>Important Notice and Disclaimer</t>
  </si>
  <si>
    <t xml:space="preserve">
TI PROVIDES TECHNICAL AND RELIABILITY DATA (INCLUDING DATASHEETS), DESIGN RESOURCES (INCLUDING REFERENCE DESIGNS), APPLICATION OR OTHER DESIGN ADVICE, WEB TOOLS, SAFETY INFORMATION, AND OTHER RESOURCES “AS IS” AND WITH ALL FAULTS, AND DISCLAIMS ALL WARRANTIES, EXPRESS AND IMPLIED, INCLUDING WITHOUT LIMITATION ANY IMPLIED WARRANTIES OF MERCHANTABILITY, FITNESS FOR A PARTICULAR PURPOSE OR NON-INFRINGEMENT OF THIRD PARTY INTELLECTUAL PROPERTY RIGHTS.
These resources are intended for skilled developers designing with TI products. You are solely responsible for (1) selecting the appropriate TI products for your application, (2) designing, validating and testing your application, and (3) ensuring your application meets applicable standards, and any other safety, security, regulatory or other requirements.
These resources are subject to change without notice. TI grants you permission to use these resources only for development of an application that uses the TI products described in the resource. Other reproduction and display of these resources is prohibited. No license is granted to any other TI intellectual property right or to any third party intellectual property right. TI disclaims responsibility for, and you will fully indemnify TI and its representatives against, any claims, damages, costs, losses, and liabilities arising out of your use of these resources.
TI’s products are provided subject to TI’s Terms of Sale or other applicable terms available either on ti.com or provided in conjunction with such TI products. TI’s provision of these resources does not expand or otherwise alter TI’s applicable warranties or warranty disclaimers for TI products.  
TI objects to and rejects any additional or different terms you may have proposed.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</si>
</sst>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0"/>
    <numFmt numFmtId="173" formatCode="0.000"/>
  </numFmts>
  <fonts count="35" x14ac:knownFonts="1">
    <font>
      <sz val="10"/>
      <name val="Arial"/>
    </font>
    <font>
      <sz val="10"/>
      <name val="Arial"/>
    </font>
    <font>
      <b/>
      <sz val="12"/>
      <name val="Arial"/>
      <family val="2"/>
    </font>
    <font>
      <b/>
      <sz val="26"/>
      <color indexed="10"/>
      <name val="Arial"/>
      <family val="2"/>
    </font>
    <font>
      <sz val="20"/>
      <name val="Arial"/>
      <family val="2"/>
    </font>
    <font>
      <b/>
      <vertAlign val="subscript"/>
      <sz val="12"/>
      <name val="Arial"/>
      <family val="2"/>
    </font>
    <font>
      <b/>
      <sz val="12"/>
      <color indexed="8"/>
      <name val="Arial"/>
      <family val="2"/>
    </font>
    <font>
      <sz val="10"/>
      <color indexed="10"/>
      <name val="Arial"/>
      <family val="2"/>
    </font>
    <font>
      <b/>
      <sz val="14"/>
      <color indexed="10"/>
      <name val="Arial"/>
      <family val="2"/>
    </font>
    <font>
      <b/>
      <sz val="10"/>
      <color indexed="12"/>
      <name val="Arial"/>
      <family val="2"/>
    </font>
    <font>
      <b/>
      <sz val="10"/>
      <color indexed="8"/>
      <name val="Arial"/>
      <family val="2"/>
    </font>
    <font>
      <b/>
      <sz val="10"/>
      <color indexed="17"/>
      <name val="Arial"/>
      <family val="2"/>
    </font>
    <font>
      <sz val="10"/>
      <color indexed="9"/>
      <name val="Arial"/>
      <family val="2"/>
    </font>
    <font>
      <b/>
      <sz val="10"/>
      <color indexed="9"/>
      <name val="Arial"/>
      <family val="2"/>
    </font>
    <font>
      <b/>
      <sz val="8"/>
      <name val="Arial"/>
      <family val="2"/>
    </font>
    <font>
      <sz val="8"/>
      <name val="Verdana"/>
      <family val="2"/>
    </font>
    <font>
      <sz val="10"/>
      <name val="Arial"/>
      <family val="2"/>
    </font>
    <font>
      <b/>
      <sz val="10"/>
      <color indexed="10"/>
      <name val="Arial"/>
      <family val="2"/>
    </font>
    <font>
      <sz val="10"/>
      <color indexed="22"/>
      <name val="Arial"/>
      <family val="2"/>
    </font>
    <font>
      <sz val="14"/>
      <name val="Arial"/>
      <family val="2"/>
    </font>
    <font>
      <sz val="12"/>
      <name val="Times New Roman"/>
      <family val="1"/>
    </font>
    <font>
      <sz val="8"/>
      <name val="Arial"/>
      <family val="2"/>
    </font>
    <font>
      <sz val="12"/>
      <name val="Arial"/>
      <family val="2"/>
    </font>
    <font>
      <b/>
      <sz val="12"/>
      <name val="Arial"/>
      <family val="2"/>
    </font>
    <font>
      <sz val="12"/>
      <name val="Arial"/>
      <family val="2"/>
    </font>
    <font>
      <vertAlign val="subscript"/>
      <sz val="10"/>
      <name val="Arial"/>
      <family val="2"/>
    </font>
    <font>
      <b/>
      <sz val="12"/>
      <color indexed="9"/>
      <name val="Arial"/>
      <family val="2"/>
    </font>
    <font>
      <b/>
      <vertAlign val="subscript"/>
      <sz val="12"/>
      <color indexed="9"/>
      <name val="Arial"/>
      <family val="2"/>
    </font>
    <font>
      <b/>
      <sz val="12"/>
      <color indexed="10"/>
      <name val="Arial"/>
      <family val="2"/>
    </font>
    <font>
      <b/>
      <sz val="12"/>
      <color indexed="53"/>
      <name val="Arial"/>
      <family val="2"/>
    </font>
    <font>
      <b/>
      <sz val="12"/>
      <color rgb="FFFF0000"/>
      <name val="Arial"/>
      <family val="2"/>
    </font>
    <font>
      <sz val="11"/>
      <color rgb="FF00B050"/>
      <name val="Calibri"/>
      <family val="2"/>
    </font>
    <font>
      <b/>
      <sz val="12"/>
      <color rgb="FF00B050"/>
      <name val="Arial"/>
      <family val="2"/>
    </font>
    <font>
      <sz val="26"/>
      <color rgb="FF000000"/>
      <name val="Arial Nova"/>
      <family val="2"/>
    </font>
    <font>
      <sz val="12"/>
      <color rgb="FF555555"/>
      <name val="Arial Nova"/>
      <family val="2"/>
    </font>
  </fonts>
  <fills count="15">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34"/>
        <bgColor indexed="64"/>
      </patternFill>
    </fill>
    <fill>
      <patternFill patternType="solid">
        <fgColor indexed="8"/>
        <bgColor indexed="64"/>
      </patternFill>
    </fill>
    <fill>
      <patternFill patternType="solid">
        <fgColor indexed="12"/>
        <bgColor indexed="64"/>
      </patternFill>
    </fill>
    <fill>
      <patternFill patternType="solid">
        <fgColor indexed="10"/>
        <bgColor indexed="64"/>
      </patternFill>
    </fill>
    <fill>
      <patternFill patternType="solid">
        <fgColor indexed="13"/>
        <bgColor indexed="64"/>
      </patternFill>
    </fill>
    <fill>
      <patternFill patternType="solid">
        <fgColor indexed="23"/>
        <bgColor indexed="64"/>
      </patternFill>
    </fill>
  </fills>
  <borders count="22">
    <border>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9"/>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9"/>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9"/>
      </left>
      <right/>
      <top/>
      <bottom/>
      <diagonal/>
    </border>
    <border>
      <left style="medium">
        <color indexed="9"/>
      </left>
      <right/>
      <top style="medium">
        <color indexed="9"/>
      </top>
      <bottom/>
      <diagonal/>
    </border>
    <border>
      <left/>
      <right style="medium">
        <color indexed="9"/>
      </right>
      <top style="medium">
        <color indexed="9"/>
      </top>
      <bottom/>
      <diagonal/>
    </border>
  </borders>
  <cellStyleXfs count="1">
    <xf numFmtId="0" fontId="0" fillId="0" borderId="0"/>
  </cellStyleXfs>
  <cellXfs count="125">
    <xf numFmtId="0" fontId="0" fillId="0" borderId="0" xfId="0"/>
    <xf numFmtId="0" fontId="4" fillId="2" borderId="0" xfId="0" applyFont="1" applyFill="1" applyAlignment="1">
      <alignment vertical="center"/>
    </xf>
    <xf numFmtId="0" fontId="7" fillId="3" borderId="0" xfId="0" applyFont="1" applyFill="1" applyBorder="1" applyProtection="1">
      <protection hidden="1"/>
    </xf>
    <xf numFmtId="0" fontId="1" fillId="3" borderId="0" xfId="0" applyFont="1" applyFill="1" applyProtection="1">
      <protection hidden="1"/>
    </xf>
    <xf numFmtId="0" fontId="8" fillId="3" borderId="0" xfId="0" applyFont="1" applyFill="1" applyBorder="1" applyProtection="1">
      <protection hidden="1"/>
    </xf>
    <xf numFmtId="0" fontId="1" fillId="3" borderId="0" xfId="0" applyFont="1" applyFill="1" applyBorder="1" applyProtection="1">
      <protection hidden="1"/>
    </xf>
    <xf numFmtId="49" fontId="1" fillId="3" borderId="0" xfId="0" applyNumberFormat="1" applyFont="1" applyFill="1" applyBorder="1" applyProtection="1">
      <protection hidden="1"/>
    </xf>
    <xf numFmtId="0" fontId="7" fillId="3" borderId="1" xfId="0" applyFont="1" applyFill="1" applyBorder="1" applyProtection="1">
      <protection hidden="1"/>
    </xf>
    <xf numFmtId="0" fontId="1" fillId="3" borderId="2" xfId="0" applyFont="1" applyFill="1" applyBorder="1" applyProtection="1">
      <protection hidden="1"/>
    </xf>
    <xf numFmtId="0" fontId="9" fillId="4" borderId="3" xfId="0" applyFont="1" applyFill="1" applyBorder="1" applyProtection="1">
      <protection hidden="1"/>
    </xf>
    <xf numFmtId="1" fontId="7" fillId="3" borderId="0" xfId="0" applyNumberFormat="1" applyFont="1" applyFill="1" applyBorder="1" applyProtection="1">
      <protection hidden="1"/>
    </xf>
    <xf numFmtId="1" fontId="11" fillId="5" borderId="4" xfId="0" applyNumberFormat="1" applyFont="1" applyFill="1" applyBorder="1" applyAlignment="1" applyProtection="1">
      <alignment horizontal="center"/>
      <protection hidden="1"/>
    </xf>
    <xf numFmtId="0" fontId="11" fillId="5" borderId="5" xfId="0" applyFont="1" applyFill="1" applyBorder="1" applyProtection="1">
      <protection hidden="1"/>
    </xf>
    <xf numFmtId="0" fontId="7" fillId="3" borderId="0" xfId="0" applyFont="1" applyFill="1" applyProtection="1">
      <protection hidden="1"/>
    </xf>
    <xf numFmtId="0" fontId="10" fillId="6" borderId="6" xfId="0" applyFont="1" applyFill="1" applyBorder="1" applyAlignment="1">
      <alignment horizontal="center" wrapText="1"/>
    </xf>
    <xf numFmtId="0" fontId="10" fillId="6" borderId="7" xfId="0" applyFont="1" applyFill="1" applyBorder="1" applyAlignment="1">
      <alignment horizontal="center" wrapText="1"/>
    </xf>
    <xf numFmtId="0" fontId="10" fillId="7" borderId="6" xfId="0" applyFont="1" applyFill="1" applyBorder="1" applyAlignment="1">
      <alignment horizontal="center" wrapText="1"/>
    </xf>
    <xf numFmtId="0" fontId="10" fillId="7" borderId="8" xfId="0" applyFont="1" applyFill="1" applyBorder="1" applyAlignment="1">
      <alignment horizontal="center" wrapText="1"/>
    </xf>
    <xf numFmtId="0" fontId="9" fillId="4" borderId="9" xfId="0" applyFont="1" applyFill="1" applyBorder="1" applyAlignment="1" applyProtection="1">
      <alignment horizontal="center"/>
      <protection hidden="1"/>
    </xf>
    <xf numFmtId="0" fontId="9" fillId="4" borderId="10" xfId="0" applyFont="1" applyFill="1" applyBorder="1" applyProtection="1">
      <protection hidden="1"/>
    </xf>
    <xf numFmtId="0" fontId="1" fillId="3" borderId="11" xfId="0" applyFont="1" applyFill="1" applyBorder="1" applyProtection="1">
      <protection hidden="1"/>
    </xf>
    <xf numFmtId="1" fontId="12" fillId="3" borderId="0" xfId="0" applyNumberFormat="1" applyFont="1" applyFill="1" applyBorder="1" applyProtection="1">
      <protection hidden="1"/>
    </xf>
    <xf numFmtId="173" fontId="13" fillId="3" borderId="0" xfId="0" applyNumberFormat="1" applyFont="1" applyFill="1" applyBorder="1" applyAlignment="1" applyProtection="1">
      <alignment horizontal="center"/>
      <protection hidden="1"/>
    </xf>
    <xf numFmtId="2" fontId="12" fillId="3" borderId="0" xfId="0" applyNumberFormat="1" applyFont="1" applyFill="1" applyBorder="1" applyAlignment="1" applyProtection="1">
      <alignment horizontal="center"/>
      <protection hidden="1"/>
    </xf>
    <xf numFmtId="0" fontId="1" fillId="3" borderId="12" xfId="0" applyFont="1" applyFill="1" applyBorder="1" applyProtection="1">
      <protection hidden="1"/>
    </xf>
    <xf numFmtId="0" fontId="14" fillId="3" borderId="0" xfId="0" applyFont="1" applyFill="1" applyBorder="1" applyProtection="1">
      <protection hidden="1"/>
    </xf>
    <xf numFmtId="0" fontId="15" fillId="3" borderId="0" xfId="0" applyFont="1" applyFill="1" applyBorder="1" applyAlignment="1" applyProtection="1">
      <alignment horizontal="center" wrapText="1"/>
      <protection hidden="1"/>
    </xf>
    <xf numFmtId="2" fontId="1" fillId="3" borderId="0" xfId="0" applyNumberFormat="1" applyFont="1" applyFill="1" applyBorder="1" applyAlignment="1" applyProtection="1">
      <alignment horizontal="center"/>
      <protection hidden="1"/>
    </xf>
    <xf numFmtId="1" fontId="16" fillId="3" borderId="0" xfId="0" applyNumberFormat="1" applyFont="1" applyFill="1" applyBorder="1" applyProtection="1"/>
    <xf numFmtId="0" fontId="1" fillId="3" borderId="13" xfId="0" applyFont="1" applyFill="1" applyBorder="1" applyProtection="1">
      <protection hidden="1"/>
    </xf>
    <xf numFmtId="0" fontId="10" fillId="8" borderId="14" xfId="0" applyFont="1" applyFill="1" applyBorder="1" applyAlignment="1">
      <alignment horizontal="center" wrapText="1"/>
    </xf>
    <xf numFmtId="0" fontId="16" fillId="3" borderId="0" xfId="0" applyFont="1" applyFill="1" applyBorder="1" applyProtection="1">
      <protection hidden="1"/>
    </xf>
    <xf numFmtId="0" fontId="10" fillId="8" borderId="6" xfId="0" applyFont="1" applyFill="1" applyBorder="1" applyAlignment="1">
      <alignment horizontal="center" wrapText="1"/>
    </xf>
    <xf numFmtId="0" fontId="10" fillId="8" borderId="7" xfId="0" applyFont="1" applyFill="1" applyBorder="1" applyAlignment="1">
      <alignment horizontal="center" wrapText="1"/>
    </xf>
    <xf numFmtId="0" fontId="1" fillId="3" borderId="0" xfId="0" applyFont="1" applyFill="1" applyBorder="1" applyAlignment="1" applyProtection="1">
      <alignment horizontal="center"/>
      <protection hidden="1"/>
    </xf>
    <xf numFmtId="0" fontId="0" fillId="3" borderId="0" xfId="0" applyFill="1" applyBorder="1" applyAlignment="1">
      <alignment horizontal="center"/>
    </xf>
    <xf numFmtId="0" fontId="11" fillId="3" borderId="0" xfId="0" applyFont="1" applyFill="1" applyBorder="1" applyProtection="1">
      <protection hidden="1"/>
    </xf>
    <xf numFmtId="0" fontId="1" fillId="3" borderId="0" xfId="0" applyFont="1" applyFill="1"/>
    <xf numFmtId="49" fontId="17" fillId="5" borderId="6" xfId="0" applyNumberFormat="1" applyFont="1" applyFill="1" applyBorder="1" applyAlignment="1">
      <alignment horizontal="center" wrapText="1"/>
    </xf>
    <xf numFmtId="49" fontId="17" fillId="5" borderId="7" xfId="0" applyNumberFormat="1" applyFont="1" applyFill="1" applyBorder="1" applyAlignment="1">
      <alignment horizontal="center" wrapText="1"/>
    </xf>
    <xf numFmtId="0" fontId="18" fillId="3" borderId="0" xfId="0" applyFont="1" applyFill="1"/>
    <xf numFmtId="49" fontId="0" fillId="3" borderId="0" xfId="0" applyNumberFormat="1" applyFill="1" applyBorder="1" applyProtection="1"/>
    <xf numFmtId="49" fontId="17" fillId="5" borderId="8" xfId="0" applyNumberFormat="1" applyFont="1" applyFill="1" applyBorder="1" applyAlignment="1">
      <alignment horizontal="center" wrapText="1"/>
    </xf>
    <xf numFmtId="49" fontId="12" fillId="3" borderId="0" xfId="0" applyNumberFormat="1" applyFont="1" applyFill="1" applyBorder="1" applyProtection="1">
      <protection hidden="1"/>
    </xf>
    <xf numFmtId="0" fontId="12" fillId="3" borderId="0" xfId="0" applyFont="1" applyFill="1" applyBorder="1" applyProtection="1">
      <protection hidden="1"/>
    </xf>
    <xf numFmtId="0" fontId="12" fillId="3" borderId="0" xfId="0" applyFont="1" applyFill="1" applyProtection="1">
      <protection hidden="1"/>
    </xf>
    <xf numFmtId="0" fontId="17" fillId="3" borderId="0" xfId="0" applyFont="1" applyFill="1" applyBorder="1" applyAlignment="1" applyProtection="1">
      <alignment horizontal="center" wrapText="1"/>
      <protection hidden="1"/>
    </xf>
    <xf numFmtId="0" fontId="12" fillId="3" borderId="0" xfId="0" applyFont="1" applyFill="1"/>
    <xf numFmtId="0" fontId="19" fillId="3" borderId="0" xfId="0" applyFont="1" applyFill="1" applyProtection="1">
      <protection hidden="1"/>
    </xf>
    <xf numFmtId="0" fontId="0" fillId="3" borderId="0" xfId="0" applyFill="1" applyBorder="1" applyAlignment="1">
      <alignment wrapText="1"/>
    </xf>
    <xf numFmtId="0" fontId="0" fillId="3" borderId="0" xfId="0" applyFill="1" applyProtection="1">
      <protection hidden="1"/>
    </xf>
    <xf numFmtId="0" fontId="2" fillId="3" borderId="15" xfId="0" applyFont="1" applyFill="1" applyBorder="1" applyAlignment="1" applyProtection="1">
      <alignment horizontal="left"/>
    </xf>
    <xf numFmtId="0" fontId="2" fillId="9" borderId="15" xfId="0" applyFont="1" applyFill="1" applyBorder="1" applyAlignment="1" applyProtection="1">
      <alignment horizontal="left"/>
      <protection locked="0"/>
    </xf>
    <xf numFmtId="9" fontId="2" fillId="9" borderId="15" xfId="0" applyNumberFormat="1" applyFont="1" applyFill="1" applyBorder="1" applyAlignment="1" applyProtection="1">
      <alignment horizontal="left"/>
      <protection locked="0"/>
    </xf>
    <xf numFmtId="0" fontId="22" fillId="0" borderId="15" xfId="0" applyFont="1" applyBorder="1" applyAlignment="1" applyProtection="1">
      <alignment horizontal="left"/>
    </xf>
    <xf numFmtId="0" fontId="2" fillId="0" borderId="15" xfId="0" applyFont="1" applyBorder="1" applyAlignment="1" applyProtection="1">
      <alignment horizontal="left"/>
    </xf>
    <xf numFmtId="14" fontId="2" fillId="0" borderId="15" xfId="0" applyNumberFormat="1" applyFont="1" applyBorder="1" applyAlignment="1" applyProtection="1">
      <alignment horizontal="left"/>
    </xf>
    <xf numFmtId="0" fontId="2" fillId="0" borderId="15" xfId="0" applyFont="1" applyBorder="1" applyAlignment="1" applyProtection="1">
      <alignment horizontal="left" wrapText="1"/>
    </xf>
    <xf numFmtId="0" fontId="2" fillId="10" borderId="15" xfId="0" applyFont="1" applyFill="1" applyBorder="1" applyAlignment="1" applyProtection="1">
      <alignment horizontal="left"/>
    </xf>
    <xf numFmtId="0" fontId="2" fillId="11" borderId="15" xfId="0" applyFont="1" applyFill="1" applyBorder="1" applyAlignment="1" applyProtection="1">
      <alignment horizontal="left"/>
    </xf>
    <xf numFmtId="172" fontId="2" fillId="0" borderId="15" xfId="0" applyNumberFormat="1" applyFont="1" applyBorder="1" applyAlignment="1" applyProtection="1">
      <alignment horizontal="left"/>
    </xf>
    <xf numFmtId="2" fontId="2" fillId="0" borderId="15" xfId="0" applyNumberFormat="1" applyFont="1" applyBorder="1" applyAlignment="1" applyProtection="1">
      <alignment horizontal="left"/>
    </xf>
    <xf numFmtId="0" fontId="6" fillId="0" borderId="15" xfId="0" applyFont="1" applyBorder="1" applyAlignment="1" applyProtection="1">
      <alignment horizontal="left"/>
    </xf>
    <xf numFmtId="0" fontId="6" fillId="3" borderId="15" xfId="0" applyFont="1" applyFill="1" applyBorder="1" applyAlignment="1" applyProtection="1">
      <alignment horizontal="left"/>
    </xf>
    <xf numFmtId="0" fontId="2" fillId="3" borderId="15" xfId="0" applyFont="1" applyFill="1" applyBorder="1" applyAlignment="1" applyProtection="1">
      <alignment horizontal="left" wrapText="1"/>
    </xf>
    <xf numFmtId="1" fontId="2" fillId="3" borderId="15" xfId="0" applyNumberFormat="1" applyFont="1" applyFill="1" applyBorder="1" applyAlignment="1" applyProtection="1">
      <alignment horizontal="left"/>
    </xf>
    <xf numFmtId="0" fontId="22" fillId="3" borderId="15" xfId="0" applyFont="1" applyFill="1" applyBorder="1" applyAlignment="1" applyProtection="1">
      <alignment horizontal="left" wrapText="1"/>
    </xf>
    <xf numFmtId="0" fontId="2" fillId="0" borderId="15" xfId="0" applyFont="1" applyBorder="1" applyAlignment="1" applyProtection="1">
      <alignment horizontal="left"/>
      <protection locked="0"/>
    </xf>
    <xf numFmtId="0" fontId="2" fillId="11" borderId="15" xfId="0" applyFont="1" applyFill="1" applyBorder="1" applyAlignment="1" applyProtection="1">
      <alignment horizontal="left" wrapText="1"/>
    </xf>
    <xf numFmtId="172" fontId="11" fillId="5" borderId="16" xfId="0" applyNumberFormat="1" applyFont="1" applyFill="1" applyBorder="1" applyProtection="1">
      <protection hidden="1"/>
    </xf>
    <xf numFmtId="172" fontId="11" fillId="5" borderId="17" xfId="0" applyNumberFormat="1" applyFont="1" applyFill="1" applyBorder="1" applyProtection="1">
      <protection hidden="1"/>
    </xf>
    <xf numFmtId="172" fontId="11" fillId="5" borderId="18" xfId="0" applyNumberFormat="1" applyFont="1" applyFill="1" applyBorder="1" applyProtection="1">
      <protection hidden="1"/>
    </xf>
    <xf numFmtId="0" fontId="23" fillId="0" borderId="15" xfId="0" applyFont="1" applyBorder="1" applyAlignment="1" applyProtection="1">
      <alignment horizontal="left"/>
    </xf>
    <xf numFmtId="0" fontId="0" fillId="0" borderId="15" xfId="0" applyBorder="1"/>
    <xf numFmtId="0" fontId="0" fillId="0" borderId="15" xfId="0" applyBorder="1" applyAlignment="1">
      <alignment horizontal="left"/>
    </xf>
    <xf numFmtId="0" fontId="22" fillId="0" borderId="15" xfId="0" applyFont="1" applyFill="1" applyBorder="1" applyAlignment="1" applyProtection="1">
      <alignment horizontal="left"/>
    </xf>
    <xf numFmtId="173" fontId="0" fillId="0" borderId="15" xfId="0" applyNumberFormat="1" applyBorder="1"/>
    <xf numFmtId="0" fontId="0" fillId="0" borderId="15" xfId="0" applyFill="1" applyBorder="1"/>
    <xf numFmtId="0" fontId="24" fillId="0" borderId="15" xfId="0" applyFont="1" applyBorder="1"/>
    <xf numFmtId="0" fontId="0" fillId="0" borderId="15" xfId="0" applyBorder="1" applyAlignment="1">
      <alignment wrapText="1"/>
    </xf>
    <xf numFmtId="0" fontId="26" fillId="11" borderId="15" xfId="0" applyFont="1" applyFill="1" applyBorder="1" applyAlignment="1" applyProtection="1">
      <alignment horizontal="left"/>
    </xf>
    <xf numFmtId="0" fontId="26" fillId="12" borderId="15" xfId="0" applyFont="1" applyFill="1" applyBorder="1" applyAlignment="1" applyProtection="1">
      <alignment horizontal="left"/>
    </xf>
    <xf numFmtId="14" fontId="26" fillId="12" borderId="15" xfId="0" applyNumberFormat="1" applyFont="1" applyFill="1" applyBorder="1" applyAlignment="1" applyProtection="1">
      <alignment horizontal="left"/>
    </xf>
    <xf numFmtId="0" fontId="28" fillId="0" borderId="15" xfId="0" applyFont="1" applyBorder="1" applyAlignment="1" applyProtection="1">
      <alignment horizontal="left"/>
    </xf>
    <xf numFmtId="0" fontId="28" fillId="3" borderId="15" xfId="0" applyFont="1" applyFill="1" applyBorder="1" applyAlignment="1" applyProtection="1">
      <alignment horizontal="left"/>
    </xf>
    <xf numFmtId="0" fontId="4" fillId="2" borderId="0" xfId="0" applyFont="1" applyFill="1" applyAlignment="1">
      <alignment horizontal="left" vertical="center" wrapText="1"/>
    </xf>
    <xf numFmtId="0" fontId="6" fillId="13" borderId="15" xfId="0" applyFont="1" applyFill="1" applyBorder="1" applyAlignment="1" applyProtection="1">
      <alignment horizontal="left"/>
    </xf>
    <xf numFmtId="14" fontId="6" fillId="13" borderId="15" xfId="0" applyNumberFormat="1" applyFont="1" applyFill="1" applyBorder="1" applyAlignment="1" applyProtection="1">
      <alignment horizontal="left"/>
    </xf>
    <xf numFmtId="0" fontId="26" fillId="14" borderId="15" xfId="0" applyFont="1" applyFill="1" applyBorder="1" applyAlignment="1" applyProtection="1">
      <alignment horizontal="left"/>
    </xf>
    <xf numFmtId="14" fontId="26" fillId="14" borderId="15" xfId="0" applyNumberFormat="1" applyFont="1" applyFill="1" applyBorder="1" applyAlignment="1" applyProtection="1">
      <alignment horizontal="left"/>
    </xf>
    <xf numFmtId="0" fontId="29" fillId="0" borderId="15" xfId="0" applyFont="1" applyBorder="1" applyAlignment="1" applyProtection="1">
      <alignment horizontal="left"/>
    </xf>
    <xf numFmtId="2" fontId="28" fillId="0" borderId="15" xfId="0" applyNumberFormat="1" applyFont="1" applyBorder="1" applyAlignment="1" applyProtection="1">
      <alignment horizontal="left"/>
    </xf>
    <xf numFmtId="2" fontId="2" fillId="13" borderId="15" xfId="0" applyNumberFormat="1" applyFont="1" applyFill="1" applyBorder="1" applyAlignment="1" applyProtection="1">
      <alignment horizontal="left"/>
      <protection locked="0"/>
    </xf>
    <xf numFmtId="2" fontId="2" fillId="3" borderId="15" xfId="0" applyNumberFormat="1" applyFont="1" applyFill="1" applyBorder="1" applyAlignment="1" applyProtection="1">
      <alignment horizontal="left"/>
    </xf>
    <xf numFmtId="2" fontId="26" fillId="12" borderId="15" xfId="0" applyNumberFormat="1" applyFont="1" applyFill="1" applyBorder="1" applyAlignment="1" applyProtection="1">
      <alignment horizontal="left"/>
    </xf>
    <xf numFmtId="2" fontId="6" fillId="13" borderId="15" xfId="0" applyNumberFormat="1" applyFont="1" applyFill="1" applyBorder="1" applyAlignment="1" applyProtection="1">
      <alignment horizontal="left"/>
    </xf>
    <xf numFmtId="2" fontId="26" fillId="14" borderId="15" xfId="0" applyNumberFormat="1" applyFont="1" applyFill="1" applyBorder="1" applyAlignment="1" applyProtection="1">
      <alignment horizontal="left"/>
    </xf>
    <xf numFmtId="2" fontId="2" fillId="9" borderId="15" xfId="0" applyNumberFormat="1" applyFont="1" applyFill="1" applyBorder="1" applyAlignment="1" applyProtection="1">
      <alignment horizontal="left"/>
      <protection locked="0"/>
    </xf>
    <xf numFmtId="2" fontId="2" fillId="10" borderId="15" xfId="0" applyNumberFormat="1" applyFont="1" applyFill="1" applyBorder="1" applyAlignment="1" applyProtection="1">
      <alignment horizontal="left"/>
    </xf>
    <xf numFmtId="2" fontId="26" fillId="11" borderId="15" xfId="0" applyNumberFormat="1" applyFont="1" applyFill="1" applyBorder="1" applyAlignment="1" applyProtection="1">
      <alignment horizontal="left"/>
    </xf>
    <xf numFmtId="2" fontId="2" fillId="11" borderId="15" xfId="0" applyNumberFormat="1" applyFont="1" applyFill="1" applyBorder="1" applyAlignment="1" applyProtection="1">
      <alignment horizontal="left"/>
    </xf>
    <xf numFmtId="2" fontId="22" fillId="0" borderId="15" xfId="0" applyNumberFormat="1" applyFont="1" applyBorder="1" applyAlignment="1" applyProtection="1">
      <alignment horizontal="left"/>
    </xf>
    <xf numFmtId="2" fontId="6" fillId="3" borderId="15" xfId="0" applyNumberFormat="1" applyFont="1" applyFill="1" applyBorder="1" applyAlignment="1" applyProtection="1">
      <alignment horizontal="left"/>
    </xf>
    <xf numFmtId="2" fontId="20" fillId="0" borderId="15" xfId="0" applyNumberFormat="1" applyFont="1" applyBorder="1" applyAlignment="1" applyProtection="1">
      <alignment horizontal="left"/>
    </xf>
    <xf numFmtId="2" fontId="2" fillId="0" borderId="15" xfId="0" applyNumberFormat="1" applyFont="1" applyBorder="1" applyAlignment="1">
      <alignment horizontal="left"/>
    </xf>
    <xf numFmtId="0" fontId="30" fillId="0" borderId="15" xfId="0" applyFont="1" applyBorder="1" applyAlignment="1" applyProtection="1">
      <alignment horizontal="left"/>
    </xf>
    <xf numFmtId="0" fontId="31" fillId="0" borderId="0" xfId="0" applyFont="1" applyAlignment="1">
      <alignment vertical="center"/>
    </xf>
    <xf numFmtId="0" fontId="32" fillId="0" borderId="15" xfId="0" applyFont="1" applyBorder="1" applyAlignment="1" applyProtection="1">
      <alignment horizontal="left"/>
    </xf>
    <xf numFmtId="173" fontId="2" fillId="13" borderId="15" xfId="0" applyNumberFormat="1" applyFont="1" applyFill="1" applyBorder="1" applyAlignment="1" applyProtection="1">
      <alignment horizontal="left"/>
      <protection locked="0"/>
    </xf>
    <xf numFmtId="0" fontId="3" fillId="2" borderId="0" xfId="0" applyFont="1" applyFill="1" applyAlignment="1">
      <alignment horizontal="center" vertical="center"/>
    </xf>
    <xf numFmtId="0" fontId="4" fillId="2" borderId="0" xfId="0" applyFont="1" applyFill="1" applyAlignment="1">
      <alignment vertical="center" wrapText="1"/>
    </xf>
    <xf numFmtId="0" fontId="0" fillId="2" borderId="0" xfId="0" applyFill="1" applyAlignment="1">
      <alignment horizontal="center"/>
    </xf>
    <xf numFmtId="0" fontId="4" fillId="2" borderId="0" xfId="0" applyFont="1" applyFill="1" applyAlignment="1">
      <alignment horizontal="left" vertical="center"/>
    </xf>
    <xf numFmtId="0" fontId="4" fillId="2" borderId="0" xfId="0" applyFont="1" applyFill="1" applyAlignment="1">
      <alignment horizontal="left" vertical="center" wrapText="1"/>
    </xf>
    <xf numFmtId="0" fontId="17" fillId="3" borderId="0" xfId="0" applyFont="1" applyFill="1" applyBorder="1" applyAlignment="1" applyProtection="1">
      <alignment horizontal="center" wrapText="1"/>
      <protection hidden="1"/>
    </xf>
    <xf numFmtId="0" fontId="10" fillId="6" borderId="19" xfId="0" applyFont="1" applyFill="1" applyBorder="1" applyAlignment="1">
      <alignment horizontal="center" wrapText="1"/>
    </xf>
    <xf numFmtId="0" fontId="10" fillId="6" borderId="14" xfId="0" applyFont="1" applyFill="1" applyBorder="1" applyAlignment="1">
      <alignment horizontal="center" wrapText="1"/>
    </xf>
    <xf numFmtId="0" fontId="10" fillId="7" borderId="20" xfId="0" applyFont="1" applyFill="1" applyBorder="1" applyAlignment="1">
      <alignment horizontal="center" wrapText="1"/>
    </xf>
    <xf numFmtId="0" fontId="10" fillId="7" borderId="21" xfId="0" applyFont="1" applyFill="1" applyBorder="1" applyAlignment="1">
      <alignment horizontal="center" wrapText="1"/>
    </xf>
    <xf numFmtId="0" fontId="10" fillId="8" borderId="19" xfId="0" applyFont="1" applyFill="1" applyBorder="1" applyAlignment="1">
      <alignment horizontal="center" wrapText="1"/>
    </xf>
    <xf numFmtId="0" fontId="10" fillId="8" borderId="14" xfId="0" applyFont="1" applyFill="1" applyBorder="1" applyAlignment="1">
      <alignment horizontal="center" wrapText="1"/>
    </xf>
    <xf numFmtId="49" fontId="17" fillId="5" borderId="19" xfId="0" applyNumberFormat="1" applyFont="1" applyFill="1" applyBorder="1" applyAlignment="1">
      <alignment horizontal="center" wrapText="1"/>
    </xf>
    <xf numFmtId="49" fontId="17" fillId="5" borderId="0" xfId="0" applyNumberFormat="1" applyFont="1" applyFill="1" applyBorder="1" applyAlignment="1">
      <alignment horizontal="center" wrapText="1"/>
    </xf>
    <xf numFmtId="0" fontId="33" fillId="0" borderId="0" xfId="0" applyFont="1" applyFill="1" applyBorder="1" applyAlignment="1">
      <alignment horizontal="left" vertical="center"/>
    </xf>
    <xf numFmtId="0" fontId="34" fillId="0"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Tv(f) Frequency Response</a:t>
            </a:r>
          </a:p>
        </c:rich>
      </c:tx>
      <c:layout>
        <c:manualLayout>
          <c:xMode val="edge"/>
          <c:yMode val="edge"/>
          <c:x val="0.35753466278671686"/>
          <c:y val="3.0022812568989622E-2"/>
        </c:manualLayout>
      </c:layout>
      <c:overlay val="0"/>
      <c:spPr>
        <a:noFill/>
        <a:ln w="25400">
          <a:noFill/>
        </a:ln>
      </c:spPr>
    </c:title>
    <c:autoTitleDeleted val="0"/>
    <c:plotArea>
      <c:layout>
        <c:manualLayout>
          <c:layoutTarget val="inner"/>
          <c:xMode val="edge"/>
          <c:yMode val="edge"/>
          <c:x val="0.10273979474782932"/>
          <c:y val="0.11778304275115783"/>
          <c:w val="0.78630189580338705"/>
          <c:h val="0.72979297077187988"/>
        </c:manualLayout>
      </c:layout>
      <c:scatterChart>
        <c:scatterStyle val="smoothMarker"/>
        <c:varyColors val="0"/>
        <c:ser>
          <c:idx val="0"/>
          <c:order val="0"/>
          <c:tx>
            <c:strRef>
              <c:f>'Voltage Loop'!$M$1</c:f>
              <c:strCache>
                <c:ptCount val="1"/>
                <c:pt idx="0">
                  <c:v>TvdB(f)</c:v>
                </c:pt>
              </c:strCache>
            </c:strRef>
          </c:tx>
          <c:spPr>
            <a:ln w="25400">
              <a:solidFill>
                <a:srgbClr val="000000"/>
              </a:solidFill>
              <a:prstDash val="solid"/>
            </a:ln>
          </c:spPr>
          <c:marker>
            <c:symbol val="none"/>
          </c:marker>
          <c:xVal>
            <c:numRef>
              <c:f>'Voltage Loop'!$B$2:$B$101</c:f>
              <c:numCache>
                <c:formatCode>General</c:formatCode>
                <c:ptCount val="100"/>
                <c:pt idx="0">
                  <c:v>100</c:v>
                </c:pt>
                <c:pt idx="1">
                  <c:v>1000</c:v>
                </c:pt>
                <c:pt idx="2">
                  <c:v>3000</c:v>
                </c:pt>
                <c:pt idx="3">
                  <c:v>4000</c:v>
                </c:pt>
                <c:pt idx="4">
                  <c:v>5000</c:v>
                </c:pt>
                <c:pt idx="5">
                  <c:v>6000</c:v>
                </c:pt>
                <c:pt idx="6">
                  <c:v>7000.0000000000009</c:v>
                </c:pt>
                <c:pt idx="7">
                  <c:v>8000</c:v>
                </c:pt>
                <c:pt idx="8">
                  <c:v>9000</c:v>
                </c:pt>
                <c:pt idx="9">
                  <c:v>10000</c:v>
                </c:pt>
                <c:pt idx="10">
                  <c:v>11000</c:v>
                </c:pt>
                <c:pt idx="11">
                  <c:v>12000</c:v>
                </c:pt>
                <c:pt idx="12">
                  <c:v>13000</c:v>
                </c:pt>
                <c:pt idx="13">
                  <c:v>14000.000000000002</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28000.000000000004</c:v>
                </c:pt>
                <c:pt idx="28">
                  <c:v>28999.999999999996</c:v>
                </c:pt>
                <c:pt idx="29">
                  <c:v>30000</c:v>
                </c:pt>
                <c:pt idx="30">
                  <c:v>31000</c:v>
                </c:pt>
                <c:pt idx="31">
                  <c:v>32000</c:v>
                </c:pt>
                <c:pt idx="32">
                  <c:v>33000</c:v>
                </c:pt>
                <c:pt idx="33">
                  <c:v>34000</c:v>
                </c:pt>
                <c:pt idx="34">
                  <c:v>35000</c:v>
                </c:pt>
                <c:pt idx="35">
                  <c:v>36000</c:v>
                </c:pt>
                <c:pt idx="36">
                  <c:v>37000</c:v>
                </c:pt>
                <c:pt idx="37">
                  <c:v>38000</c:v>
                </c:pt>
                <c:pt idx="38">
                  <c:v>39000</c:v>
                </c:pt>
                <c:pt idx="39">
                  <c:v>40000</c:v>
                </c:pt>
                <c:pt idx="40">
                  <c:v>41000</c:v>
                </c:pt>
                <c:pt idx="41">
                  <c:v>42000</c:v>
                </c:pt>
                <c:pt idx="42">
                  <c:v>43000</c:v>
                </c:pt>
                <c:pt idx="43">
                  <c:v>44000</c:v>
                </c:pt>
                <c:pt idx="44">
                  <c:v>45000</c:v>
                </c:pt>
                <c:pt idx="45">
                  <c:v>46000</c:v>
                </c:pt>
                <c:pt idx="46">
                  <c:v>47000</c:v>
                </c:pt>
                <c:pt idx="47">
                  <c:v>48000</c:v>
                </c:pt>
                <c:pt idx="48">
                  <c:v>49000</c:v>
                </c:pt>
                <c:pt idx="49">
                  <c:v>50000</c:v>
                </c:pt>
                <c:pt idx="50">
                  <c:v>51000</c:v>
                </c:pt>
                <c:pt idx="51">
                  <c:v>52000</c:v>
                </c:pt>
                <c:pt idx="52">
                  <c:v>53000</c:v>
                </c:pt>
                <c:pt idx="53">
                  <c:v>54000</c:v>
                </c:pt>
                <c:pt idx="54">
                  <c:v>55000.000000000007</c:v>
                </c:pt>
                <c:pt idx="55">
                  <c:v>56000.000000000007</c:v>
                </c:pt>
                <c:pt idx="56">
                  <c:v>56999.999999999993</c:v>
                </c:pt>
                <c:pt idx="57">
                  <c:v>57999.999999999993</c:v>
                </c:pt>
                <c:pt idx="58">
                  <c:v>59000</c:v>
                </c:pt>
                <c:pt idx="59">
                  <c:v>60000</c:v>
                </c:pt>
                <c:pt idx="60">
                  <c:v>61000</c:v>
                </c:pt>
                <c:pt idx="61">
                  <c:v>62000</c:v>
                </c:pt>
                <c:pt idx="62">
                  <c:v>63000</c:v>
                </c:pt>
                <c:pt idx="63">
                  <c:v>64000</c:v>
                </c:pt>
                <c:pt idx="64">
                  <c:v>65000</c:v>
                </c:pt>
                <c:pt idx="65">
                  <c:v>66000</c:v>
                </c:pt>
                <c:pt idx="66">
                  <c:v>67000</c:v>
                </c:pt>
                <c:pt idx="67">
                  <c:v>68000</c:v>
                </c:pt>
                <c:pt idx="68">
                  <c:v>69000</c:v>
                </c:pt>
                <c:pt idx="69">
                  <c:v>70000</c:v>
                </c:pt>
                <c:pt idx="70">
                  <c:v>71000</c:v>
                </c:pt>
                <c:pt idx="71">
                  <c:v>72000</c:v>
                </c:pt>
                <c:pt idx="72">
                  <c:v>73000</c:v>
                </c:pt>
                <c:pt idx="73">
                  <c:v>74000</c:v>
                </c:pt>
                <c:pt idx="74">
                  <c:v>75000</c:v>
                </c:pt>
                <c:pt idx="75">
                  <c:v>76000</c:v>
                </c:pt>
                <c:pt idx="76">
                  <c:v>77000</c:v>
                </c:pt>
                <c:pt idx="77">
                  <c:v>78000</c:v>
                </c:pt>
                <c:pt idx="78">
                  <c:v>79000</c:v>
                </c:pt>
                <c:pt idx="79">
                  <c:v>80000</c:v>
                </c:pt>
                <c:pt idx="80">
                  <c:v>81000</c:v>
                </c:pt>
                <c:pt idx="81">
                  <c:v>82000</c:v>
                </c:pt>
                <c:pt idx="82">
                  <c:v>83000</c:v>
                </c:pt>
                <c:pt idx="83">
                  <c:v>84000</c:v>
                </c:pt>
                <c:pt idx="84">
                  <c:v>85000</c:v>
                </c:pt>
                <c:pt idx="85">
                  <c:v>86000</c:v>
                </c:pt>
                <c:pt idx="86">
                  <c:v>87000</c:v>
                </c:pt>
                <c:pt idx="87">
                  <c:v>88000</c:v>
                </c:pt>
                <c:pt idx="88">
                  <c:v>89000</c:v>
                </c:pt>
                <c:pt idx="89">
                  <c:v>90000</c:v>
                </c:pt>
                <c:pt idx="90">
                  <c:v>91000</c:v>
                </c:pt>
                <c:pt idx="91">
                  <c:v>92000</c:v>
                </c:pt>
                <c:pt idx="92">
                  <c:v>93000</c:v>
                </c:pt>
                <c:pt idx="93">
                  <c:v>94000</c:v>
                </c:pt>
                <c:pt idx="94">
                  <c:v>95000</c:v>
                </c:pt>
                <c:pt idx="95">
                  <c:v>96000</c:v>
                </c:pt>
                <c:pt idx="96">
                  <c:v>97000</c:v>
                </c:pt>
                <c:pt idx="97">
                  <c:v>98000</c:v>
                </c:pt>
                <c:pt idx="98">
                  <c:v>99000</c:v>
                </c:pt>
                <c:pt idx="99">
                  <c:v>100000</c:v>
                </c:pt>
              </c:numCache>
            </c:numRef>
          </c:xVal>
          <c:yVal>
            <c:numRef>
              <c:f>'Voltage Loop'!$M$2:$M$101</c:f>
              <c:numCache>
                <c:formatCode>General</c:formatCode>
                <c:ptCount val="100"/>
                <c:pt idx="0">
                  <c:v>52.646044091329088</c:v>
                </c:pt>
                <c:pt idx="1">
                  <c:v>15.873474477405962</c:v>
                </c:pt>
                <c:pt idx="2">
                  <c:v>5.5267668363205802</c:v>
                </c:pt>
                <c:pt idx="3">
                  <c:v>3.8835648504794729</c:v>
                </c:pt>
                <c:pt idx="4">
                  <c:v>2.8230677433968294</c:v>
                </c:pt>
                <c:pt idx="5">
                  <c:v>2.0439165511874693</c:v>
                </c:pt>
                <c:pt idx="6">
                  <c:v>1.4129188120439817</c:v>
                </c:pt>
                <c:pt idx="7">
                  <c:v>0.86631678093994524</c:v>
                </c:pt>
                <c:pt idx="8">
                  <c:v>0.37200135420561209</c:v>
                </c:pt>
                <c:pt idx="9">
                  <c:v>-8.6782293177305903E-2</c:v>
                </c:pt>
                <c:pt idx="10">
                  <c:v>-0.51902862120249615</c:v>
                </c:pt>
                <c:pt idx="11">
                  <c:v>-0.92970941689402065</c:v>
                </c:pt>
                <c:pt idx="12">
                  <c:v>-1.3216857061944578</c:v>
                </c:pt>
                <c:pt idx="13">
                  <c:v>-1.6967115195650435</c:v>
                </c:pt>
                <c:pt idx="14">
                  <c:v>-2.055969264084915</c:v>
                </c:pt>
                <c:pt idx="15">
                  <c:v>-2.4003572679514824</c:v>
                </c:pt>
                <c:pt idx="16">
                  <c:v>-2.7306440274146433</c:v>
                </c:pt>
                <c:pt idx="17">
                  <c:v>-3.0475501594962044</c:v>
                </c:pt>
                <c:pt idx="18">
                  <c:v>-3.3517911293585523</c:v>
                </c:pt>
                <c:pt idx="19">
                  <c:v>-3.6440988664133056</c:v>
                </c:pt>
                <c:pt idx="20">
                  <c:v>-3.925232222694838</c:v>
                </c:pt>
                <c:pt idx="21">
                  <c:v>-4.1959817111955333</c:v>
                </c:pt>
                <c:pt idx="22">
                  <c:v>-4.4571714379345915</c:v>
                </c:pt>
                <c:pt idx="23">
                  <c:v>-4.7096597212152096</c:v>
                </c:pt>
                <c:pt idx="24">
                  <c:v>-4.9543390886165115</c:v>
                </c:pt>
                <c:pt idx="25">
                  <c:v>-5.1921358872294014</c:v>
                </c:pt>
                <c:pt idx="26">
                  <c:v>-5.4240094850451479</c:v>
                </c:pt>
                <c:pt idx="27">
                  <c:v>-5.6509508974525948</c:v>
                </c:pt>
                <c:pt idx="28">
                  <c:v>-5.8739805965964393</c:v>
                </c:pt>
                <c:pt idx="29">
                  <c:v>-6.0941452288210121</c:v>
                </c:pt>
                <c:pt idx="30">
                  <c:v>-6.3125129651597973</c:v>
                </c:pt>
                <c:pt idx="31">
                  <c:v>-6.5301672375885822</c:v>
                </c:pt>
                <c:pt idx="32">
                  <c:v>-6.748198668978346</c:v>
                </c:pt>
                <c:pt idx="33">
                  <c:v>-6.967695087970367</c:v>
                </c:pt>
                <c:pt idx="34">
                  <c:v>-7.1897296311497279</c:v>
                </c:pt>
                <c:pt idx="35">
                  <c:v>-7.4153470712502969</c:v>
                </c:pt>
                <c:pt idx="36">
                  <c:v>-7.6455486652780795</c:v>
                </c:pt>
                <c:pt idx="37">
                  <c:v>-7.8812759795040783</c:v>
                </c:pt>
                <c:pt idx="38">
                  <c:v>-8.1233943040171646</c:v>
                </c:pt>
                <c:pt idx="39">
                  <c:v>-8.3726763994359761</c:v>
                </c:pt>
                <c:pt idx="40">
                  <c:v>-8.6297874029953405</c:v>
                </c:pt>
                <c:pt idx="41">
                  <c:v>-8.895271743218526</c:v>
                </c:pt>
                <c:pt idx="42">
                  <c:v>-9.1695428601181206</c:v>
                </c:pt>
                <c:pt idx="43">
                  <c:v>-9.4528763984996136</c:v>
                </c:pt>
                <c:pt idx="44">
                  <c:v>-9.7454073432496617</c:v>
                </c:pt>
                <c:pt idx="45">
                  <c:v>-10.047131315769738</c:v>
                </c:pt>
                <c:pt idx="46">
                  <c:v>-10.35790997646356</c:v>
                </c:pt>
                <c:pt idx="47">
                  <c:v>-10.677480209947772</c:v>
                </c:pt>
                <c:pt idx="48">
                  <c:v>-11.005466536916998</c:v>
                </c:pt>
                <c:pt idx="49">
                  <c:v>-11.341396023000993</c:v>
                </c:pt>
                <c:pt idx="50">
                  <c:v>-11.684714854707943</c:v>
                </c:pt>
                <c:pt idx="51">
                  <c:v>-12.034805729064789</c:v>
                </c:pt>
                <c:pt idx="52">
                  <c:v>-12.39100525010571</c:v>
                </c:pt>
                <c:pt idx="53">
                  <c:v>-12.752620627530336</c:v>
                </c:pt>
                <c:pt idx="54">
                  <c:v>-13.118945111944269</c:v>
                </c:pt>
                <c:pt idx="55">
                  <c:v>-13.489271757614112</c:v>
                </c:pt>
                <c:pt idx="56">
                  <c:v>-13.862905260098861</c:v>
                </c:pt>
                <c:pt idx="57">
                  <c:v>-14.239171758904245</c:v>
                </c:pt>
                <c:pt idx="58">
                  <c:v>-14.617426615475368</c:v>
                </c:pt>
                <c:pt idx="59">
                  <c:v>-14.997060270037426</c:v>
                </c:pt>
                <c:pt idx="60">
                  <c:v>-15.377502346393699</c:v>
                </c:pt>
                <c:pt idx="61">
                  <c:v>-15.758224213968557</c:v>
                </c:pt>
                <c:pt idx="62">
                  <c:v>-16.13874023498607</c:v>
                </c:pt>
                <c:pt idx="63">
                  <c:v>-16.518607926298159</c:v>
                </c:pt>
                <c:pt idx="64">
                  <c:v>-16.89742725464238</c:v>
                </c:pt>
                <c:pt idx="65">
                  <c:v>-17.274839265245621</c:v>
                </c:pt>
                <c:pt idx="66">
                  <c:v>-17.650524220190974</c:v>
                </c:pt>
                <c:pt idx="67">
                  <c:v>-18.024199397594359</c:v>
                </c:pt>
                <c:pt idx="68">
                  <c:v>-18.395616677395282</c:v>
                </c:pt>
                <c:pt idx="69">
                  <c:v>-18.764560015794626</c:v>
                </c:pt>
                <c:pt idx="70">
                  <c:v>-19.130842888888068</c:v>
                </c:pt>
                <c:pt idx="71">
                  <c:v>-19.494305767247361</c:v>
                </c:pt>
                <c:pt idx="72">
                  <c:v>-19.854813667201178</c:v>
                </c:pt>
                <c:pt idx="73">
                  <c:v>-20.212253811264524</c:v>
                </c:pt>
                <c:pt idx="74">
                  <c:v>-20.566533419360571</c:v>
                </c:pt>
                <c:pt idx="75">
                  <c:v>-20.917577643875973</c:v>
                </c:pt>
                <c:pt idx="76">
                  <c:v>-21.265327654900538</c:v>
                </c:pt>
                <c:pt idx="77">
                  <c:v>-21.60973887691781</c:v>
                </c:pt>
                <c:pt idx="78">
                  <c:v>-21.950779374455184</c:v>
                </c:pt>
                <c:pt idx="79">
                  <c:v>-22.28842838152223</c:v>
                </c:pt>
                <c:pt idx="80">
                  <c:v>-22.62267496783846</c:v>
                </c:pt>
                <c:pt idx="81">
                  <c:v>-22.953516833698316</c:v>
                </c:pt>
                <c:pt idx="82">
                  <c:v>-23.280959224679293</c:v>
                </c:pt>
                <c:pt idx="83">
                  <c:v>-23.605013957146269</c:v>
                </c:pt>
                <c:pt idx="84">
                  <c:v>-23.925698545534694</c:v>
                </c:pt>
                <c:pt idx="85">
                  <c:v>-24.243035422634563</c:v>
                </c:pt>
                <c:pt idx="86">
                  <c:v>-24.557051244467132</c:v>
                </c:pt>
                <c:pt idx="87">
                  <c:v>-24.867776271814321</c:v>
                </c:pt>
                <c:pt idx="88">
                  <c:v>-25.175243820977769</c:v>
                </c:pt>
                <c:pt idx="89">
                  <c:v>-25.479489776887405</c:v>
                </c:pt>
                <c:pt idx="90">
                  <c:v>-25.780552162226741</c:v>
                </c:pt>
                <c:pt idx="91">
                  <c:v>-26.078470756779293</c:v>
                </c:pt>
                <c:pt idx="92">
                  <c:v>-26.373286761717086</c:v>
                </c:pt>
                <c:pt idx="93">
                  <c:v>-26.665042504041953</c:v>
                </c:pt>
                <c:pt idx="94">
                  <c:v>-26.953781176850317</c:v>
                </c:pt>
                <c:pt idx="95">
                  <c:v>-27.239546611517206</c:v>
                </c:pt>
                <c:pt idx="96">
                  <c:v>-27.522383078288712</c:v>
                </c:pt>
                <c:pt idx="97">
                  <c:v>-27.802335112133314</c:v>
                </c:pt>
                <c:pt idx="98">
                  <c:v>-28.079447361026681</c:v>
                </c:pt>
                <c:pt idx="99">
                  <c:v>-28.353764454146152</c:v>
                </c:pt>
              </c:numCache>
            </c:numRef>
          </c:yVal>
          <c:smooth val="1"/>
          <c:extLst>
            <c:ext xmlns:c16="http://schemas.microsoft.com/office/drawing/2014/chart" uri="{C3380CC4-5D6E-409C-BE32-E72D297353CC}">
              <c16:uniqueId val="{00000000-DD8C-4A46-9E2F-53DC836CF80D}"/>
            </c:ext>
          </c:extLst>
        </c:ser>
        <c:dLbls>
          <c:showLegendKey val="0"/>
          <c:showVal val="0"/>
          <c:showCatName val="0"/>
          <c:showSerName val="0"/>
          <c:showPercent val="0"/>
          <c:showBubbleSize val="0"/>
        </c:dLbls>
        <c:axId val="507584992"/>
        <c:axId val="1"/>
      </c:scatterChart>
      <c:scatterChart>
        <c:scatterStyle val="lineMarker"/>
        <c:varyColors val="0"/>
        <c:ser>
          <c:idx val="2"/>
          <c:order val="1"/>
          <c:tx>
            <c:strRef>
              <c:f>'Voltage Loop'!$O$1</c:f>
              <c:strCache>
                <c:ptCount val="1"/>
                <c:pt idx="0">
                  <c:v>ӨTv(f)</c:v>
                </c:pt>
              </c:strCache>
            </c:strRef>
          </c:tx>
          <c:spPr>
            <a:ln w="25400">
              <a:solidFill>
                <a:srgbClr val="FF0000"/>
              </a:solidFill>
              <a:prstDash val="solid"/>
            </a:ln>
          </c:spPr>
          <c:marker>
            <c:symbol val="none"/>
          </c:marker>
          <c:xVal>
            <c:numRef>
              <c:f>'Voltage Loop'!$B$2:$B$101</c:f>
              <c:numCache>
                <c:formatCode>General</c:formatCode>
                <c:ptCount val="100"/>
                <c:pt idx="0">
                  <c:v>100</c:v>
                </c:pt>
                <c:pt idx="1">
                  <c:v>1000</c:v>
                </c:pt>
                <c:pt idx="2">
                  <c:v>3000</c:v>
                </c:pt>
                <c:pt idx="3">
                  <c:v>4000</c:v>
                </c:pt>
                <c:pt idx="4">
                  <c:v>5000</c:v>
                </c:pt>
                <c:pt idx="5">
                  <c:v>6000</c:v>
                </c:pt>
                <c:pt idx="6">
                  <c:v>7000.0000000000009</c:v>
                </c:pt>
                <c:pt idx="7">
                  <c:v>8000</c:v>
                </c:pt>
                <c:pt idx="8">
                  <c:v>9000</c:v>
                </c:pt>
                <c:pt idx="9">
                  <c:v>10000</c:v>
                </c:pt>
                <c:pt idx="10">
                  <c:v>11000</c:v>
                </c:pt>
                <c:pt idx="11">
                  <c:v>12000</c:v>
                </c:pt>
                <c:pt idx="12">
                  <c:v>13000</c:v>
                </c:pt>
                <c:pt idx="13">
                  <c:v>14000.000000000002</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28000.000000000004</c:v>
                </c:pt>
                <c:pt idx="28">
                  <c:v>28999.999999999996</c:v>
                </c:pt>
                <c:pt idx="29">
                  <c:v>30000</c:v>
                </c:pt>
                <c:pt idx="30">
                  <c:v>31000</c:v>
                </c:pt>
                <c:pt idx="31">
                  <c:v>32000</c:v>
                </c:pt>
                <c:pt idx="32">
                  <c:v>33000</c:v>
                </c:pt>
                <c:pt idx="33">
                  <c:v>34000</c:v>
                </c:pt>
                <c:pt idx="34">
                  <c:v>35000</c:v>
                </c:pt>
                <c:pt idx="35">
                  <c:v>36000</c:v>
                </c:pt>
                <c:pt idx="36">
                  <c:v>37000</c:v>
                </c:pt>
                <c:pt idx="37">
                  <c:v>38000</c:v>
                </c:pt>
                <c:pt idx="38">
                  <c:v>39000</c:v>
                </c:pt>
                <c:pt idx="39">
                  <c:v>40000</c:v>
                </c:pt>
                <c:pt idx="40">
                  <c:v>41000</c:v>
                </c:pt>
                <c:pt idx="41">
                  <c:v>42000</c:v>
                </c:pt>
                <c:pt idx="42">
                  <c:v>43000</c:v>
                </c:pt>
                <c:pt idx="43">
                  <c:v>44000</c:v>
                </c:pt>
                <c:pt idx="44">
                  <c:v>45000</c:v>
                </c:pt>
                <c:pt idx="45">
                  <c:v>46000</c:v>
                </c:pt>
                <c:pt idx="46">
                  <c:v>47000</c:v>
                </c:pt>
                <c:pt idx="47">
                  <c:v>48000</c:v>
                </c:pt>
                <c:pt idx="48">
                  <c:v>49000</c:v>
                </c:pt>
                <c:pt idx="49">
                  <c:v>50000</c:v>
                </c:pt>
                <c:pt idx="50">
                  <c:v>51000</c:v>
                </c:pt>
                <c:pt idx="51">
                  <c:v>52000</c:v>
                </c:pt>
                <c:pt idx="52">
                  <c:v>53000</c:v>
                </c:pt>
                <c:pt idx="53">
                  <c:v>54000</c:v>
                </c:pt>
                <c:pt idx="54">
                  <c:v>55000.000000000007</c:v>
                </c:pt>
                <c:pt idx="55">
                  <c:v>56000.000000000007</c:v>
                </c:pt>
                <c:pt idx="56">
                  <c:v>56999.999999999993</c:v>
                </c:pt>
                <c:pt idx="57">
                  <c:v>57999.999999999993</c:v>
                </c:pt>
                <c:pt idx="58">
                  <c:v>59000</c:v>
                </c:pt>
                <c:pt idx="59">
                  <c:v>60000</c:v>
                </c:pt>
                <c:pt idx="60">
                  <c:v>61000</c:v>
                </c:pt>
                <c:pt idx="61">
                  <c:v>62000</c:v>
                </c:pt>
                <c:pt idx="62">
                  <c:v>63000</c:v>
                </c:pt>
                <c:pt idx="63">
                  <c:v>64000</c:v>
                </c:pt>
                <c:pt idx="64">
                  <c:v>65000</c:v>
                </c:pt>
                <c:pt idx="65">
                  <c:v>66000</c:v>
                </c:pt>
                <c:pt idx="66">
                  <c:v>67000</c:v>
                </c:pt>
                <c:pt idx="67">
                  <c:v>68000</c:v>
                </c:pt>
                <c:pt idx="68">
                  <c:v>69000</c:v>
                </c:pt>
                <c:pt idx="69">
                  <c:v>70000</c:v>
                </c:pt>
                <c:pt idx="70">
                  <c:v>71000</c:v>
                </c:pt>
                <c:pt idx="71">
                  <c:v>72000</c:v>
                </c:pt>
                <c:pt idx="72">
                  <c:v>73000</c:v>
                </c:pt>
                <c:pt idx="73">
                  <c:v>74000</c:v>
                </c:pt>
                <c:pt idx="74">
                  <c:v>75000</c:v>
                </c:pt>
                <c:pt idx="75">
                  <c:v>76000</c:v>
                </c:pt>
                <c:pt idx="76">
                  <c:v>77000</c:v>
                </c:pt>
                <c:pt idx="77">
                  <c:v>78000</c:v>
                </c:pt>
                <c:pt idx="78">
                  <c:v>79000</c:v>
                </c:pt>
                <c:pt idx="79">
                  <c:v>80000</c:v>
                </c:pt>
                <c:pt idx="80">
                  <c:v>81000</c:v>
                </c:pt>
                <c:pt idx="81">
                  <c:v>82000</c:v>
                </c:pt>
                <c:pt idx="82">
                  <c:v>83000</c:v>
                </c:pt>
                <c:pt idx="83">
                  <c:v>84000</c:v>
                </c:pt>
                <c:pt idx="84">
                  <c:v>85000</c:v>
                </c:pt>
                <c:pt idx="85">
                  <c:v>86000</c:v>
                </c:pt>
                <c:pt idx="86">
                  <c:v>87000</c:v>
                </c:pt>
                <c:pt idx="87">
                  <c:v>88000</c:v>
                </c:pt>
                <c:pt idx="88">
                  <c:v>89000</c:v>
                </c:pt>
                <c:pt idx="89">
                  <c:v>90000</c:v>
                </c:pt>
                <c:pt idx="90">
                  <c:v>91000</c:v>
                </c:pt>
                <c:pt idx="91">
                  <c:v>92000</c:v>
                </c:pt>
                <c:pt idx="92">
                  <c:v>93000</c:v>
                </c:pt>
                <c:pt idx="93">
                  <c:v>94000</c:v>
                </c:pt>
                <c:pt idx="94">
                  <c:v>95000</c:v>
                </c:pt>
                <c:pt idx="95">
                  <c:v>96000</c:v>
                </c:pt>
                <c:pt idx="96">
                  <c:v>97000</c:v>
                </c:pt>
                <c:pt idx="97">
                  <c:v>98000</c:v>
                </c:pt>
                <c:pt idx="98">
                  <c:v>99000</c:v>
                </c:pt>
                <c:pt idx="99">
                  <c:v>100000</c:v>
                </c:pt>
              </c:numCache>
            </c:numRef>
          </c:xVal>
          <c:yVal>
            <c:numRef>
              <c:f>'Voltage Loop'!$O$2:$O$101</c:f>
              <c:numCache>
                <c:formatCode>General</c:formatCode>
                <c:ptCount val="100"/>
                <c:pt idx="0">
                  <c:v>14.946693470792979</c:v>
                </c:pt>
                <c:pt idx="1">
                  <c:v>54.928487122211379</c:v>
                </c:pt>
                <c:pt idx="2">
                  <c:v>94.265822247820552</c:v>
                </c:pt>
                <c:pt idx="3">
                  <c:v>101.19831723642746</c:v>
                </c:pt>
                <c:pt idx="4">
                  <c:v>104.62398801691164</c:v>
                </c:pt>
                <c:pt idx="5">
                  <c:v>105.94995406171705</c:v>
                </c:pt>
                <c:pt idx="6">
                  <c:v>105.97892760791265</c:v>
                </c:pt>
                <c:pt idx="7">
                  <c:v>105.19357936767467</c:v>
                </c:pt>
                <c:pt idx="8">
                  <c:v>103.89319043485055</c:v>
                </c:pt>
                <c:pt idx="9">
                  <c:v>102.26701820794592</c:v>
                </c:pt>
                <c:pt idx="10">
                  <c:v>100.43617201613453</c:v>
                </c:pt>
                <c:pt idx="11">
                  <c:v>98.478535583239037</c:v>
                </c:pt>
                <c:pt idx="12">
                  <c:v>96.444078375706425</c:v>
                </c:pt>
                <c:pt idx="13">
                  <c:v>94.364499117065435</c:v>
                </c:pt>
                <c:pt idx="14">
                  <c:v>92.259420043685026</c:v>
                </c:pt>
                <c:pt idx="15">
                  <c:v>90.140428526675962</c:v>
                </c:pt>
                <c:pt idx="16">
                  <c:v>88.013748066428633</c:v>
                </c:pt>
                <c:pt idx="17">
                  <c:v>85.88202260155748</c:v>
                </c:pt>
                <c:pt idx="18">
                  <c:v>83.745519978899296</c:v>
                </c:pt>
                <c:pt idx="19">
                  <c:v>81.602951242931795</c:v>
                </c:pt>
                <c:pt idx="20">
                  <c:v>79.452034029838771</c:v>
                </c:pt>
                <c:pt idx="21">
                  <c:v>77.289884779969697</c:v>
                </c:pt>
                <c:pt idx="22">
                  <c:v>75.113296299087224</c:v>
                </c:pt>
                <c:pt idx="23">
                  <c:v>72.918938723982123</c:v>
                </c:pt>
                <c:pt idx="24">
                  <c:v>70.703509679561975</c:v>
                </c:pt>
                <c:pt idx="25">
                  <c:v>68.463851152880935</c:v>
                </c:pt>
                <c:pt idx="26">
                  <c:v>66.197044952022637</c:v>
                </c:pt>
                <c:pt idx="27">
                  <c:v>63.900494658372793</c:v>
                </c:pt>
                <c:pt idx="28">
                  <c:v>61.571999129855087</c:v>
                </c:pt>
                <c:pt idx="29">
                  <c:v>59.209820485697151</c:v>
                </c:pt>
                <c:pt idx="30">
                  <c:v>56.812747853370155</c:v>
                </c:pt>
                <c:pt idx="31">
                  <c:v>54.380156833781299</c:v>
                </c:pt>
                <c:pt idx="32">
                  <c:v>51.912063558867203</c:v>
                </c:pt>
                <c:pt idx="33">
                  <c:v>49.409171344986134</c:v>
                </c:pt>
                <c:pt idx="34">
                  <c:v>46.872907292885884</c:v>
                </c:pt>
                <c:pt idx="35">
                  <c:v>44.305445783794141</c:v>
                </c:pt>
                <c:pt idx="36">
                  <c:v>41.709715718107788</c:v>
                </c:pt>
                <c:pt idx="37">
                  <c:v>39.089388583697456</c:v>
                </c:pt>
                <c:pt idx="38">
                  <c:v>36.448845052913356</c:v>
                </c:pt>
                <c:pt idx="39">
                  <c:v>33.793118785485149</c:v>
                </c:pt>
                <c:pt idx="40">
                  <c:v>31.127817407571712</c:v>
                </c:pt>
                <c:pt idx="41">
                  <c:v>28.459022143194005</c:v>
                </c:pt>
                <c:pt idx="42">
                  <c:v>25.793169145389271</c:v>
                </c:pt>
                <c:pt idx="43">
                  <c:v>23.13691703320535</c:v>
                </c:pt>
                <c:pt idx="44">
                  <c:v>20.497006306013759</c:v>
                </c:pt>
                <c:pt idx="45">
                  <c:v>17.880117024267633</c:v>
                </c:pt>
                <c:pt idx="46">
                  <c:v>15.29273131683442</c:v>
                </c:pt>
                <c:pt idx="47">
                  <c:v>12.741006874802423</c:v>
                </c:pt>
                <c:pt idx="48">
                  <c:v>10.230666674723466</c:v>
                </c:pt>
                <c:pt idx="49">
                  <c:v>7.7669088633678882</c:v>
                </c:pt>
                <c:pt idx="50">
                  <c:v>5.354339198369729</c:v>
                </c:pt>
                <c:pt idx="51">
                  <c:v>2.9969268559296438</c:v>
                </c:pt>
                <c:pt idx="52">
                  <c:v>0.69798295376156716</c:v>
                </c:pt>
                <c:pt idx="53">
                  <c:v>-1.5398400779129702</c:v>
                </c:pt>
                <c:pt idx="54">
                  <c:v>-3.714531035481059</c:v>
                </c:pt>
                <c:pt idx="55">
                  <c:v>-5.8246876909976777</c:v>
                </c:pt>
                <c:pt idx="56">
                  <c:v>-7.8694732628491693</c:v>
                </c:pt>
                <c:pt idx="57">
                  <c:v>-9.8485650526910149</c:v>
                </c:pt>
                <c:pt idx="58">
                  <c:v>-11.762098415668845</c:v>
                </c:pt>
                <c:pt idx="59">
                  <c:v>-13.610608814965587</c:v>
                </c:pt>
                <c:pt idx="60">
                  <c:v>-15.394974224128987</c:v>
                </c:pt>
                <c:pt idx="61">
                  <c:v>-17.116359636576078</c:v>
                </c:pt>
                <c:pt idx="62">
                  <c:v>-18.776164961905238</c:v>
                </c:pt>
                <c:pt idx="63">
                  <c:v>-20.375977160031766</c:v>
                </c:pt>
                <c:pt idx="64">
                  <c:v>-21.917527101002065</c:v>
                </c:pt>
                <c:pt idx="65">
                  <c:v>-23.402651345434208</c:v>
                </c:pt>
                <c:pt idx="66">
                  <c:v>-24.833258815647582</c:v>
                </c:pt>
                <c:pt idx="67">
                  <c:v>-26.211302164136782</c:v>
                </c:pt>
                <c:pt idx="68">
                  <c:v>-27.538753535297815</c:v>
                </c:pt>
                <c:pt idx="69">
                  <c:v>-28.817584348592277</c:v>
                </c:pt>
                <c:pt idx="70">
                  <c:v>-30.049748697358609</c:v>
                </c:pt>
                <c:pt idx="71">
                  <c:v>-31.237169948814653</c:v>
                </c:pt>
                <c:pt idx="72">
                  <c:v>-32.381730140269497</c:v>
                </c:pt>
                <c:pt idx="73">
                  <c:v>-33.485261788223966</c:v>
                </c:pt>
                <c:pt idx="74">
                  <c:v>-34.54954175630661</c:v>
                </c:pt>
                <c:pt idx="75">
                  <c:v>-35.576286861261906</c:v>
                </c:pt>
                <c:pt idx="76">
                  <c:v>-36.567150930908383</c:v>
                </c:pt>
                <c:pt idx="77">
                  <c:v>-37.523723062306772</c:v>
                </c:pt>
                <c:pt idx="78">
                  <c:v>-38.447526861089159</c:v>
                </c:pt>
                <c:pt idx="79">
                  <c:v>-39.340020473261745</c:v>
                </c:pt>
                <c:pt idx="80">
                  <c:v>-40.202597248402185</c:v>
                </c:pt>
                <c:pt idx="81">
                  <c:v>-41.036586897884945</c:v>
                </c:pt>
                <c:pt idx="82">
                  <c:v>-41.843257033565806</c:v>
                </c:pt>
                <c:pt idx="83">
                  <c:v>-42.623814991424979</c:v>
                </c:pt>
                <c:pt idx="84">
                  <c:v>-43.379409861120507</c:v>
                </c:pt>
                <c:pt idx="85">
                  <c:v>-44.111134656573427</c:v>
                </c:pt>
                <c:pt idx="86">
                  <c:v>-44.82002857471889</c:v>
                </c:pt>
                <c:pt idx="87">
                  <c:v>-45.507079299776649</c:v>
                </c:pt>
                <c:pt idx="88">
                  <c:v>-46.173225318951609</c:v>
                </c:pt>
                <c:pt idx="89">
                  <c:v>-46.819358222661549</c:v>
                </c:pt>
                <c:pt idx="90">
                  <c:v>-47.446324968339923</c:v>
                </c:pt>
                <c:pt idx="91">
                  <c:v>-48.054930091810547</c:v>
                </c:pt>
                <c:pt idx="92">
                  <c:v>-48.645937854286331</c:v>
                </c:pt>
                <c:pt idx="93">
                  <c:v>-49.220074316365071</c:v>
                </c:pt>
                <c:pt idx="94">
                  <c:v>-49.778029333094366</c:v>
                </c:pt>
                <c:pt idx="95">
                  <c:v>-50.3204584663589</c:v>
                </c:pt>
                <c:pt idx="96">
                  <c:v>-50.847984812586787</c:v>
                </c:pt>
                <c:pt idx="97">
                  <c:v>-51.361200745152701</c:v>
                </c:pt>
                <c:pt idx="98">
                  <c:v>-51.860669571944754</c:v>
                </c:pt>
                <c:pt idx="99">
                  <c:v>-52.346927109405385</c:v>
                </c:pt>
              </c:numCache>
            </c:numRef>
          </c:yVal>
          <c:smooth val="0"/>
          <c:extLst>
            <c:ext xmlns:c16="http://schemas.microsoft.com/office/drawing/2014/chart" uri="{C3380CC4-5D6E-409C-BE32-E72D297353CC}">
              <c16:uniqueId val="{00000001-DD8C-4A46-9E2F-53DC836CF80D}"/>
            </c:ext>
          </c:extLst>
        </c:ser>
        <c:dLbls>
          <c:showLegendKey val="0"/>
          <c:showVal val="0"/>
          <c:showCatName val="0"/>
          <c:showSerName val="0"/>
          <c:showPercent val="0"/>
          <c:showBubbleSize val="0"/>
        </c:dLbls>
        <c:axId val="3"/>
        <c:axId val="4"/>
      </c:scatterChart>
      <c:valAx>
        <c:axId val="507584992"/>
        <c:scaling>
          <c:logBase val="10"/>
          <c:orientation val="minMax"/>
          <c:min val="10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in Hz</a:t>
                </a:r>
              </a:p>
            </c:rich>
          </c:tx>
          <c:layout>
            <c:manualLayout>
              <c:xMode val="edge"/>
              <c:yMode val="edge"/>
              <c:x val="0.41506875499258244"/>
              <c:y val="0.926097824220570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1"/>
        <c:crossesAt val="-80"/>
        <c:crossBetween val="midCat"/>
      </c:valAx>
      <c:valAx>
        <c:axId val="1"/>
        <c:scaling>
          <c:orientation val="minMax"/>
          <c:max val="80"/>
          <c:min val="-80"/>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Gain in dB</a:t>
                </a:r>
              </a:p>
            </c:rich>
          </c:tx>
          <c:layout>
            <c:manualLayout>
              <c:xMode val="edge"/>
              <c:yMode val="edge"/>
              <c:x val="1.6438434326144013E-2"/>
              <c:y val="0.3926101994260063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507584992"/>
        <c:crosses val="autoZero"/>
        <c:crossBetween val="midCat"/>
      </c:valAx>
      <c:valAx>
        <c:axId val="3"/>
        <c:scaling>
          <c:logBase val="10"/>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max val="180"/>
          <c:min val="-180"/>
        </c:scaling>
        <c:delete val="0"/>
        <c:axPos val="r"/>
        <c:title>
          <c:tx>
            <c:rich>
              <a:bodyPr/>
              <a:lstStyle/>
              <a:p>
                <a:pPr>
                  <a:defRPr sz="1050" b="1" i="0" u="none" strike="noStrike" baseline="0">
                    <a:solidFill>
                      <a:srgbClr val="000000"/>
                    </a:solidFill>
                    <a:latin typeface="Arial"/>
                    <a:ea typeface="Arial"/>
                    <a:cs typeface="Arial"/>
                  </a:defRPr>
                </a:pPr>
                <a:r>
                  <a:rPr lang="en-US"/>
                  <a:t>Phase in Degrees</a:t>
                </a:r>
              </a:p>
            </c:rich>
          </c:tx>
          <c:layout>
            <c:manualLayout>
              <c:xMode val="edge"/>
              <c:yMode val="edge"/>
              <c:x val="0.94794576629008331"/>
              <c:y val="0.3348735496847941"/>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3"/>
        <c:crosses val="max"/>
        <c:crossBetween val="midCat"/>
        <c:majorUnit val="45"/>
      </c:valAx>
      <c:spPr>
        <a:solidFill>
          <a:srgbClr val="FFFFFF"/>
        </a:solidFill>
        <a:ln w="12700">
          <a:solidFill>
            <a:srgbClr val="808080"/>
          </a:solidFill>
          <a:prstDash val="solid"/>
        </a:ln>
      </c:spPr>
    </c:plotArea>
    <c:legend>
      <c:legendPos val="r"/>
      <c:layout>
        <c:manualLayout>
          <c:xMode val="edge"/>
          <c:yMode val="edge"/>
          <c:x val="0.13547914881563894"/>
          <c:y val="0.70303894083732177"/>
          <c:w val="0.13408245655980763"/>
          <c:h val="0.11137250547917968"/>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Tv(f) Frequency Response</a:t>
            </a:r>
          </a:p>
        </c:rich>
      </c:tx>
      <c:layout>
        <c:manualLayout>
          <c:xMode val="edge"/>
          <c:yMode val="edge"/>
          <c:x val="0.32948960997709681"/>
          <c:y val="3.3163501621120889E-2"/>
        </c:manualLayout>
      </c:layout>
      <c:overlay val="0"/>
      <c:spPr>
        <a:noFill/>
        <a:ln w="25400">
          <a:noFill/>
        </a:ln>
      </c:spPr>
    </c:title>
    <c:autoTitleDeleted val="0"/>
    <c:plotArea>
      <c:layout>
        <c:manualLayout>
          <c:layoutTarget val="inner"/>
          <c:xMode val="edge"/>
          <c:yMode val="edge"/>
          <c:x val="0.10708410590965584"/>
          <c:y val="0.11734693877551021"/>
          <c:w val="0.79406983151467858"/>
          <c:h val="0.73979591836734693"/>
        </c:manualLayout>
      </c:layout>
      <c:scatterChart>
        <c:scatterStyle val="smoothMarker"/>
        <c:varyColors val="0"/>
        <c:ser>
          <c:idx val="0"/>
          <c:order val="0"/>
          <c:tx>
            <c:strRef>
              <c:f>'Voltage Loop'!$M$1</c:f>
              <c:strCache>
                <c:ptCount val="1"/>
                <c:pt idx="0">
                  <c:v>TvdB(f)</c:v>
                </c:pt>
              </c:strCache>
            </c:strRef>
          </c:tx>
          <c:spPr>
            <a:ln w="25400">
              <a:solidFill>
                <a:srgbClr val="000000"/>
              </a:solidFill>
              <a:prstDash val="solid"/>
            </a:ln>
          </c:spPr>
          <c:marker>
            <c:symbol val="none"/>
          </c:marker>
          <c:xVal>
            <c:numRef>
              <c:f>'Voltage Loop'!$B$2:$B$101</c:f>
              <c:numCache>
                <c:formatCode>General</c:formatCode>
                <c:ptCount val="100"/>
                <c:pt idx="0">
                  <c:v>100</c:v>
                </c:pt>
                <c:pt idx="1">
                  <c:v>1000</c:v>
                </c:pt>
                <c:pt idx="2">
                  <c:v>3000</c:v>
                </c:pt>
                <c:pt idx="3">
                  <c:v>4000</c:v>
                </c:pt>
                <c:pt idx="4">
                  <c:v>5000</c:v>
                </c:pt>
                <c:pt idx="5">
                  <c:v>6000</c:v>
                </c:pt>
                <c:pt idx="6">
                  <c:v>7000.0000000000009</c:v>
                </c:pt>
                <c:pt idx="7">
                  <c:v>8000</c:v>
                </c:pt>
                <c:pt idx="8">
                  <c:v>9000</c:v>
                </c:pt>
                <c:pt idx="9">
                  <c:v>10000</c:v>
                </c:pt>
                <c:pt idx="10">
                  <c:v>11000</c:v>
                </c:pt>
                <c:pt idx="11">
                  <c:v>12000</c:v>
                </c:pt>
                <c:pt idx="12">
                  <c:v>13000</c:v>
                </c:pt>
                <c:pt idx="13">
                  <c:v>14000.000000000002</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28000.000000000004</c:v>
                </c:pt>
                <c:pt idx="28">
                  <c:v>28999.999999999996</c:v>
                </c:pt>
                <c:pt idx="29">
                  <c:v>30000</c:v>
                </c:pt>
                <c:pt idx="30">
                  <c:v>31000</c:v>
                </c:pt>
                <c:pt idx="31">
                  <c:v>32000</c:v>
                </c:pt>
                <c:pt idx="32">
                  <c:v>33000</c:v>
                </c:pt>
                <c:pt idx="33">
                  <c:v>34000</c:v>
                </c:pt>
                <c:pt idx="34">
                  <c:v>35000</c:v>
                </c:pt>
                <c:pt idx="35">
                  <c:v>36000</c:v>
                </c:pt>
                <c:pt idx="36">
                  <c:v>37000</c:v>
                </c:pt>
                <c:pt idx="37">
                  <c:v>38000</c:v>
                </c:pt>
                <c:pt idx="38">
                  <c:v>39000</c:v>
                </c:pt>
                <c:pt idx="39">
                  <c:v>40000</c:v>
                </c:pt>
                <c:pt idx="40">
                  <c:v>41000</c:v>
                </c:pt>
                <c:pt idx="41">
                  <c:v>42000</c:v>
                </c:pt>
                <c:pt idx="42">
                  <c:v>43000</c:v>
                </c:pt>
                <c:pt idx="43">
                  <c:v>44000</c:v>
                </c:pt>
                <c:pt idx="44">
                  <c:v>45000</c:v>
                </c:pt>
                <c:pt idx="45">
                  <c:v>46000</c:v>
                </c:pt>
                <c:pt idx="46">
                  <c:v>47000</c:v>
                </c:pt>
                <c:pt idx="47">
                  <c:v>48000</c:v>
                </c:pt>
                <c:pt idx="48">
                  <c:v>49000</c:v>
                </c:pt>
                <c:pt idx="49">
                  <c:v>50000</c:v>
                </c:pt>
                <c:pt idx="50">
                  <c:v>51000</c:v>
                </c:pt>
                <c:pt idx="51">
                  <c:v>52000</c:v>
                </c:pt>
                <c:pt idx="52">
                  <c:v>53000</c:v>
                </c:pt>
                <c:pt idx="53">
                  <c:v>54000</c:v>
                </c:pt>
                <c:pt idx="54">
                  <c:v>55000.000000000007</c:v>
                </c:pt>
                <c:pt idx="55">
                  <c:v>56000.000000000007</c:v>
                </c:pt>
                <c:pt idx="56">
                  <c:v>56999.999999999993</c:v>
                </c:pt>
                <c:pt idx="57">
                  <c:v>57999.999999999993</c:v>
                </c:pt>
                <c:pt idx="58">
                  <c:v>59000</c:v>
                </c:pt>
                <c:pt idx="59">
                  <c:v>60000</c:v>
                </c:pt>
                <c:pt idx="60">
                  <c:v>61000</c:v>
                </c:pt>
                <c:pt idx="61">
                  <c:v>62000</c:v>
                </c:pt>
                <c:pt idx="62">
                  <c:v>63000</c:v>
                </c:pt>
                <c:pt idx="63">
                  <c:v>64000</c:v>
                </c:pt>
                <c:pt idx="64">
                  <c:v>65000</c:v>
                </c:pt>
                <c:pt idx="65">
                  <c:v>66000</c:v>
                </c:pt>
                <c:pt idx="66">
                  <c:v>67000</c:v>
                </c:pt>
                <c:pt idx="67">
                  <c:v>68000</c:v>
                </c:pt>
                <c:pt idx="68">
                  <c:v>69000</c:v>
                </c:pt>
                <c:pt idx="69">
                  <c:v>70000</c:v>
                </c:pt>
                <c:pt idx="70">
                  <c:v>71000</c:v>
                </c:pt>
                <c:pt idx="71">
                  <c:v>72000</c:v>
                </c:pt>
                <c:pt idx="72">
                  <c:v>73000</c:v>
                </c:pt>
                <c:pt idx="73">
                  <c:v>74000</c:v>
                </c:pt>
                <c:pt idx="74">
                  <c:v>75000</c:v>
                </c:pt>
                <c:pt idx="75">
                  <c:v>76000</c:v>
                </c:pt>
                <c:pt idx="76">
                  <c:v>77000</c:v>
                </c:pt>
                <c:pt idx="77">
                  <c:v>78000</c:v>
                </c:pt>
                <c:pt idx="78">
                  <c:v>79000</c:v>
                </c:pt>
                <c:pt idx="79">
                  <c:v>80000</c:v>
                </c:pt>
                <c:pt idx="80">
                  <c:v>81000</c:v>
                </c:pt>
                <c:pt idx="81">
                  <c:v>82000</c:v>
                </c:pt>
                <c:pt idx="82">
                  <c:v>83000</c:v>
                </c:pt>
                <c:pt idx="83">
                  <c:v>84000</c:v>
                </c:pt>
                <c:pt idx="84">
                  <c:v>85000</c:v>
                </c:pt>
                <c:pt idx="85">
                  <c:v>86000</c:v>
                </c:pt>
                <c:pt idx="86">
                  <c:v>87000</c:v>
                </c:pt>
                <c:pt idx="87">
                  <c:v>88000</c:v>
                </c:pt>
                <c:pt idx="88">
                  <c:v>89000</c:v>
                </c:pt>
                <c:pt idx="89">
                  <c:v>90000</c:v>
                </c:pt>
                <c:pt idx="90">
                  <c:v>91000</c:v>
                </c:pt>
                <c:pt idx="91">
                  <c:v>92000</c:v>
                </c:pt>
                <c:pt idx="92">
                  <c:v>93000</c:v>
                </c:pt>
                <c:pt idx="93">
                  <c:v>94000</c:v>
                </c:pt>
                <c:pt idx="94">
                  <c:v>95000</c:v>
                </c:pt>
                <c:pt idx="95">
                  <c:v>96000</c:v>
                </c:pt>
                <c:pt idx="96">
                  <c:v>97000</c:v>
                </c:pt>
                <c:pt idx="97">
                  <c:v>98000</c:v>
                </c:pt>
                <c:pt idx="98">
                  <c:v>99000</c:v>
                </c:pt>
                <c:pt idx="99">
                  <c:v>100000</c:v>
                </c:pt>
              </c:numCache>
            </c:numRef>
          </c:xVal>
          <c:yVal>
            <c:numRef>
              <c:f>'Voltage Loop'!$M$2:$M$101</c:f>
              <c:numCache>
                <c:formatCode>General</c:formatCode>
                <c:ptCount val="100"/>
                <c:pt idx="0">
                  <c:v>52.646044091329088</c:v>
                </c:pt>
                <c:pt idx="1">
                  <c:v>15.873474477405962</c:v>
                </c:pt>
                <c:pt idx="2">
                  <c:v>5.5267668363205802</c:v>
                </c:pt>
                <c:pt idx="3">
                  <c:v>3.8835648504794729</c:v>
                </c:pt>
                <c:pt idx="4">
                  <c:v>2.8230677433968294</c:v>
                </c:pt>
                <c:pt idx="5">
                  <c:v>2.0439165511874693</c:v>
                </c:pt>
                <c:pt idx="6">
                  <c:v>1.4129188120439817</c:v>
                </c:pt>
                <c:pt idx="7">
                  <c:v>0.86631678093994524</c:v>
                </c:pt>
                <c:pt idx="8">
                  <c:v>0.37200135420561209</c:v>
                </c:pt>
                <c:pt idx="9">
                  <c:v>-8.6782293177305903E-2</c:v>
                </c:pt>
                <c:pt idx="10">
                  <c:v>-0.51902862120249615</c:v>
                </c:pt>
                <c:pt idx="11">
                  <c:v>-0.92970941689402065</c:v>
                </c:pt>
                <c:pt idx="12">
                  <c:v>-1.3216857061944578</c:v>
                </c:pt>
                <c:pt idx="13">
                  <c:v>-1.6967115195650435</c:v>
                </c:pt>
                <c:pt idx="14">
                  <c:v>-2.055969264084915</c:v>
                </c:pt>
                <c:pt idx="15">
                  <c:v>-2.4003572679514824</c:v>
                </c:pt>
                <c:pt idx="16">
                  <c:v>-2.7306440274146433</c:v>
                </c:pt>
                <c:pt idx="17">
                  <c:v>-3.0475501594962044</c:v>
                </c:pt>
                <c:pt idx="18">
                  <c:v>-3.3517911293585523</c:v>
                </c:pt>
                <c:pt idx="19">
                  <c:v>-3.6440988664133056</c:v>
                </c:pt>
                <c:pt idx="20">
                  <c:v>-3.925232222694838</c:v>
                </c:pt>
                <c:pt idx="21">
                  <c:v>-4.1959817111955333</c:v>
                </c:pt>
                <c:pt idx="22">
                  <c:v>-4.4571714379345915</c:v>
                </c:pt>
                <c:pt idx="23">
                  <c:v>-4.7096597212152096</c:v>
                </c:pt>
                <c:pt idx="24">
                  <c:v>-4.9543390886165115</c:v>
                </c:pt>
                <c:pt idx="25">
                  <c:v>-5.1921358872294014</c:v>
                </c:pt>
                <c:pt idx="26">
                  <c:v>-5.4240094850451479</c:v>
                </c:pt>
                <c:pt idx="27">
                  <c:v>-5.6509508974525948</c:v>
                </c:pt>
                <c:pt idx="28">
                  <c:v>-5.8739805965964393</c:v>
                </c:pt>
                <c:pt idx="29">
                  <c:v>-6.0941452288210121</c:v>
                </c:pt>
                <c:pt idx="30">
                  <c:v>-6.3125129651597973</c:v>
                </c:pt>
                <c:pt idx="31">
                  <c:v>-6.5301672375885822</c:v>
                </c:pt>
                <c:pt idx="32">
                  <c:v>-6.748198668978346</c:v>
                </c:pt>
                <c:pt idx="33">
                  <c:v>-6.967695087970367</c:v>
                </c:pt>
                <c:pt idx="34">
                  <c:v>-7.1897296311497279</c:v>
                </c:pt>
                <c:pt idx="35">
                  <c:v>-7.4153470712502969</c:v>
                </c:pt>
                <c:pt idx="36">
                  <c:v>-7.6455486652780795</c:v>
                </c:pt>
                <c:pt idx="37">
                  <c:v>-7.8812759795040783</c:v>
                </c:pt>
                <c:pt idx="38">
                  <c:v>-8.1233943040171646</c:v>
                </c:pt>
                <c:pt idx="39">
                  <c:v>-8.3726763994359761</c:v>
                </c:pt>
                <c:pt idx="40">
                  <c:v>-8.6297874029953405</c:v>
                </c:pt>
                <c:pt idx="41">
                  <c:v>-8.895271743218526</c:v>
                </c:pt>
                <c:pt idx="42">
                  <c:v>-9.1695428601181206</c:v>
                </c:pt>
                <c:pt idx="43">
                  <c:v>-9.4528763984996136</c:v>
                </c:pt>
                <c:pt idx="44">
                  <c:v>-9.7454073432496617</c:v>
                </c:pt>
                <c:pt idx="45">
                  <c:v>-10.047131315769738</c:v>
                </c:pt>
                <c:pt idx="46">
                  <c:v>-10.35790997646356</c:v>
                </c:pt>
                <c:pt idx="47">
                  <c:v>-10.677480209947772</c:v>
                </c:pt>
                <c:pt idx="48">
                  <c:v>-11.005466536916998</c:v>
                </c:pt>
                <c:pt idx="49">
                  <c:v>-11.341396023000993</c:v>
                </c:pt>
                <c:pt idx="50">
                  <c:v>-11.684714854707943</c:v>
                </c:pt>
                <c:pt idx="51">
                  <c:v>-12.034805729064789</c:v>
                </c:pt>
                <c:pt idx="52">
                  <c:v>-12.39100525010571</c:v>
                </c:pt>
                <c:pt idx="53">
                  <c:v>-12.752620627530336</c:v>
                </c:pt>
                <c:pt idx="54">
                  <c:v>-13.118945111944269</c:v>
                </c:pt>
                <c:pt idx="55">
                  <c:v>-13.489271757614112</c:v>
                </c:pt>
                <c:pt idx="56">
                  <c:v>-13.862905260098861</c:v>
                </c:pt>
                <c:pt idx="57">
                  <c:v>-14.239171758904245</c:v>
                </c:pt>
                <c:pt idx="58">
                  <c:v>-14.617426615475368</c:v>
                </c:pt>
                <c:pt idx="59">
                  <c:v>-14.997060270037426</c:v>
                </c:pt>
                <c:pt idx="60">
                  <c:v>-15.377502346393699</c:v>
                </c:pt>
                <c:pt idx="61">
                  <c:v>-15.758224213968557</c:v>
                </c:pt>
                <c:pt idx="62">
                  <c:v>-16.13874023498607</c:v>
                </c:pt>
                <c:pt idx="63">
                  <c:v>-16.518607926298159</c:v>
                </c:pt>
                <c:pt idx="64">
                  <c:v>-16.89742725464238</c:v>
                </c:pt>
                <c:pt idx="65">
                  <c:v>-17.274839265245621</c:v>
                </c:pt>
                <c:pt idx="66">
                  <c:v>-17.650524220190974</c:v>
                </c:pt>
                <c:pt idx="67">
                  <c:v>-18.024199397594359</c:v>
                </c:pt>
                <c:pt idx="68">
                  <c:v>-18.395616677395282</c:v>
                </c:pt>
                <c:pt idx="69">
                  <c:v>-18.764560015794626</c:v>
                </c:pt>
                <c:pt idx="70">
                  <c:v>-19.130842888888068</c:v>
                </c:pt>
                <c:pt idx="71">
                  <c:v>-19.494305767247361</c:v>
                </c:pt>
                <c:pt idx="72">
                  <c:v>-19.854813667201178</c:v>
                </c:pt>
                <c:pt idx="73">
                  <c:v>-20.212253811264524</c:v>
                </c:pt>
                <c:pt idx="74">
                  <c:v>-20.566533419360571</c:v>
                </c:pt>
                <c:pt idx="75">
                  <c:v>-20.917577643875973</c:v>
                </c:pt>
                <c:pt idx="76">
                  <c:v>-21.265327654900538</c:v>
                </c:pt>
                <c:pt idx="77">
                  <c:v>-21.60973887691781</c:v>
                </c:pt>
                <c:pt idx="78">
                  <c:v>-21.950779374455184</c:v>
                </c:pt>
                <c:pt idx="79">
                  <c:v>-22.28842838152223</c:v>
                </c:pt>
                <c:pt idx="80">
                  <c:v>-22.62267496783846</c:v>
                </c:pt>
                <c:pt idx="81">
                  <c:v>-22.953516833698316</c:v>
                </c:pt>
                <c:pt idx="82">
                  <c:v>-23.280959224679293</c:v>
                </c:pt>
                <c:pt idx="83">
                  <c:v>-23.605013957146269</c:v>
                </c:pt>
                <c:pt idx="84">
                  <c:v>-23.925698545534694</c:v>
                </c:pt>
                <c:pt idx="85">
                  <c:v>-24.243035422634563</c:v>
                </c:pt>
                <c:pt idx="86">
                  <c:v>-24.557051244467132</c:v>
                </c:pt>
                <c:pt idx="87">
                  <c:v>-24.867776271814321</c:v>
                </c:pt>
                <c:pt idx="88">
                  <c:v>-25.175243820977769</c:v>
                </c:pt>
                <c:pt idx="89">
                  <c:v>-25.479489776887405</c:v>
                </c:pt>
                <c:pt idx="90">
                  <c:v>-25.780552162226741</c:v>
                </c:pt>
                <c:pt idx="91">
                  <c:v>-26.078470756779293</c:v>
                </c:pt>
                <c:pt idx="92">
                  <c:v>-26.373286761717086</c:v>
                </c:pt>
                <c:pt idx="93">
                  <c:v>-26.665042504041953</c:v>
                </c:pt>
                <c:pt idx="94">
                  <c:v>-26.953781176850317</c:v>
                </c:pt>
                <c:pt idx="95">
                  <c:v>-27.239546611517206</c:v>
                </c:pt>
                <c:pt idx="96">
                  <c:v>-27.522383078288712</c:v>
                </c:pt>
                <c:pt idx="97">
                  <c:v>-27.802335112133314</c:v>
                </c:pt>
                <c:pt idx="98">
                  <c:v>-28.079447361026681</c:v>
                </c:pt>
                <c:pt idx="99">
                  <c:v>-28.353764454146152</c:v>
                </c:pt>
              </c:numCache>
            </c:numRef>
          </c:yVal>
          <c:smooth val="1"/>
          <c:extLst>
            <c:ext xmlns:c16="http://schemas.microsoft.com/office/drawing/2014/chart" uri="{C3380CC4-5D6E-409C-BE32-E72D297353CC}">
              <c16:uniqueId val="{00000000-8A5E-4502-B1A0-DC91060BAB8A}"/>
            </c:ext>
          </c:extLst>
        </c:ser>
        <c:dLbls>
          <c:showLegendKey val="0"/>
          <c:showVal val="0"/>
          <c:showCatName val="0"/>
          <c:showSerName val="0"/>
          <c:showPercent val="0"/>
          <c:showBubbleSize val="0"/>
        </c:dLbls>
        <c:axId val="507661520"/>
        <c:axId val="1"/>
      </c:scatterChart>
      <c:scatterChart>
        <c:scatterStyle val="lineMarker"/>
        <c:varyColors val="0"/>
        <c:ser>
          <c:idx val="2"/>
          <c:order val="1"/>
          <c:tx>
            <c:strRef>
              <c:f>'Voltage Loop'!$O$1</c:f>
              <c:strCache>
                <c:ptCount val="1"/>
                <c:pt idx="0">
                  <c:v>ӨTv(f)</c:v>
                </c:pt>
              </c:strCache>
            </c:strRef>
          </c:tx>
          <c:spPr>
            <a:ln w="25400">
              <a:solidFill>
                <a:srgbClr val="FF0000"/>
              </a:solidFill>
              <a:prstDash val="solid"/>
            </a:ln>
          </c:spPr>
          <c:marker>
            <c:symbol val="none"/>
          </c:marker>
          <c:xVal>
            <c:numRef>
              <c:f>'Voltage Loop'!$B$2:$B$101</c:f>
              <c:numCache>
                <c:formatCode>General</c:formatCode>
                <c:ptCount val="100"/>
                <c:pt idx="0">
                  <c:v>100</c:v>
                </c:pt>
                <c:pt idx="1">
                  <c:v>1000</c:v>
                </c:pt>
                <c:pt idx="2">
                  <c:v>3000</c:v>
                </c:pt>
                <c:pt idx="3">
                  <c:v>4000</c:v>
                </c:pt>
                <c:pt idx="4">
                  <c:v>5000</c:v>
                </c:pt>
                <c:pt idx="5">
                  <c:v>6000</c:v>
                </c:pt>
                <c:pt idx="6">
                  <c:v>7000.0000000000009</c:v>
                </c:pt>
                <c:pt idx="7">
                  <c:v>8000</c:v>
                </c:pt>
                <c:pt idx="8">
                  <c:v>9000</c:v>
                </c:pt>
                <c:pt idx="9">
                  <c:v>10000</c:v>
                </c:pt>
                <c:pt idx="10">
                  <c:v>11000</c:v>
                </c:pt>
                <c:pt idx="11">
                  <c:v>12000</c:v>
                </c:pt>
                <c:pt idx="12">
                  <c:v>13000</c:v>
                </c:pt>
                <c:pt idx="13">
                  <c:v>14000.000000000002</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28000.000000000004</c:v>
                </c:pt>
                <c:pt idx="28">
                  <c:v>28999.999999999996</c:v>
                </c:pt>
                <c:pt idx="29">
                  <c:v>30000</c:v>
                </c:pt>
                <c:pt idx="30">
                  <c:v>31000</c:v>
                </c:pt>
                <c:pt idx="31">
                  <c:v>32000</c:v>
                </c:pt>
                <c:pt idx="32">
                  <c:v>33000</c:v>
                </c:pt>
                <c:pt idx="33">
                  <c:v>34000</c:v>
                </c:pt>
                <c:pt idx="34">
                  <c:v>35000</c:v>
                </c:pt>
                <c:pt idx="35">
                  <c:v>36000</c:v>
                </c:pt>
                <c:pt idx="36">
                  <c:v>37000</c:v>
                </c:pt>
                <c:pt idx="37">
                  <c:v>38000</c:v>
                </c:pt>
                <c:pt idx="38">
                  <c:v>39000</c:v>
                </c:pt>
                <c:pt idx="39">
                  <c:v>40000</c:v>
                </c:pt>
                <c:pt idx="40">
                  <c:v>41000</c:v>
                </c:pt>
                <c:pt idx="41">
                  <c:v>42000</c:v>
                </c:pt>
                <c:pt idx="42">
                  <c:v>43000</c:v>
                </c:pt>
                <c:pt idx="43">
                  <c:v>44000</c:v>
                </c:pt>
                <c:pt idx="44">
                  <c:v>45000</c:v>
                </c:pt>
                <c:pt idx="45">
                  <c:v>46000</c:v>
                </c:pt>
                <c:pt idx="46">
                  <c:v>47000</c:v>
                </c:pt>
                <c:pt idx="47">
                  <c:v>48000</c:v>
                </c:pt>
                <c:pt idx="48">
                  <c:v>49000</c:v>
                </c:pt>
                <c:pt idx="49">
                  <c:v>50000</c:v>
                </c:pt>
                <c:pt idx="50">
                  <c:v>51000</c:v>
                </c:pt>
                <c:pt idx="51">
                  <c:v>52000</c:v>
                </c:pt>
                <c:pt idx="52">
                  <c:v>53000</c:v>
                </c:pt>
                <c:pt idx="53">
                  <c:v>54000</c:v>
                </c:pt>
                <c:pt idx="54">
                  <c:v>55000.000000000007</c:v>
                </c:pt>
                <c:pt idx="55">
                  <c:v>56000.000000000007</c:v>
                </c:pt>
                <c:pt idx="56">
                  <c:v>56999.999999999993</c:v>
                </c:pt>
                <c:pt idx="57">
                  <c:v>57999.999999999993</c:v>
                </c:pt>
                <c:pt idx="58">
                  <c:v>59000</c:v>
                </c:pt>
                <c:pt idx="59">
                  <c:v>60000</c:v>
                </c:pt>
                <c:pt idx="60">
                  <c:v>61000</c:v>
                </c:pt>
                <c:pt idx="61">
                  <c:v>62000</c:v>
                </c:pt>
                <c:pt idx="62">
                  <c:v>63000</c:v>
                </c:pt>
                <c:pt idx="63">
                  <c:v>64000</c:v>
                </c:pt>
                <c:pt idx="64">
                  <c:v>65000</c:v>
                </c:pt>
                <c:pt idx="65">
                  <c:v>66000</c:v>
                </c:pt>
                <c:pt idx="66">
                  <c:v>67000</c:v>
                </c:pt>
                <c:pt idx="67">
                  <c:v>68000</c:v>
                </c:pt>
                <c:pt idx="68">
                  <c:v>69000</c:v>
                </c:pt>
                <c:pt idx="69">
                  <c:v>70000</c:v>
                </c:pt>
                <c:pt idx="70">
                  <c:v>71000</c:v>
                </c:pt>
                <c:pt idx="71">
                  <c:v>72000</c:v>
                </c:pt>
                <c:pt idx="72">
                  <c:v>73000</c:v>
                </c:pt>
                <c:pt idx="73">
                  <c:v>74000</c:v>
                </c:pt>
                <c:pt idx="74">
                  <c:v>75000</c:v>
                </c:pt>
                <c:pt idx="75">
                  <c:v>76000</c:v>
                </c:pt>
                <c:pt idx="76">
                  <c:v>77000</c:v>
                </c:pt>
                <c:pt idx="77">
                  <c:v>78000</c:v>
                </c:pt>
                <c:pt idx="78">
                  <c:v>79000</c:v>
                </c:pt>
                <c:pt idx="79">
                  <c:v>80000</c:v>
                </c:pt>
                <c:pt idx="80">
                  <c:v>81000</c:v>
                </c:pt>
                <c:pt idx="81">
                  <c:v>82000</c:v>
                </c:pt>
                <c:pt idx="82">
                  <c:v>83000</c:v>
                </c:pt>
                <c:pt idx="83">
                  <c:v>84000</c:v>
                </c:pt>
                <c:pt idx="84">
                  <c:v>85000</c:v>
                </c:pt>
                <c:pt idx="85">
                  <c:v>86000</c:v>
                </c:pt>
                <c:pt idx="86">
                  <c:v>87000</c:v>
                </c:pt>
                <c:pt idx="87">
                  <c:v>88000</c:v>
                </c:pt>
                <c:pt idx="88">
                  <c:v>89000</c:v>
                </c:pt>
                <c:pt idx="89">
                  <c:v>90000</c:v>
                </c:pt>
                <c:pt idx="90">
                  <c:v>91000</c:v>
                </c:pt>
                <c:pt idx="91">
                  <c:v>92000</c:v>
                </c:pt>
                <c:pt idx="92">
                  <c:v>93000</c:v>
                </c:pt>
                <c:pt idx="93">
                  <c:v>94000</c:v>
                </c:pt>
                <c:pt idx="94">
                  <c:v>95000</c:v>
                </c:pt>
                <c:pt idx="95">
                  <c:v>96000</c:v>
                </c:pt>
                <c:pt idx="96">
                  <c:v>97000</c:v>
                </c:pt>
                <c:pt idx="97">
                  <c:v>98000</c:v>
                </c:pt>
                <c:pt idx="98">
                  <c:v>99000</c:v>
                </c:pt>
                <c:pt idx="99">
                  <c:v>100000</c:v>
                </c:pt>
              </c:numCache>
            </c:numRef>
          </c:xVal>
          <c:yVal>
            <c:numRef>
              <c:f>'Voltage Loop'!$O$2:$O$101</c:f>
              <c:numCache>
                <c:formatCode>General</c:formatCode>
                <c:ptCount val="100"/>
                <c:pt idx="0">
                  <c:v>14.946693470792979</c:v>
                </c:pt>
                <c:pt idx="1">
                  <c:v>54.928487122211379</c:v>
                </c:pt>
                <c:pt idx="2">
                  <c:v>94.265822247820552</c:v>
                </c:pt>
                <c:pt idx="3">
                  <c:v>101.19831723642746</c:v>
                </c:pt>
                <c:pt idx="4">
                  <c:v>104.62398801691164</c:v>
                </c:pt>
                <c:pt idx="5">
                  <c:v>105.94995406171705</c:v>
                </c:pt>
                <c:pt idx="6">
                  <c:v>105.97892760791265</c:v>
                </c:pt>
                <c:pt idx="7">
                  <c:v>105.19357936767467</c:v>
                </c:pt>
                <c:pt idx="8">
                  <c:v>103.89319043485055</c:v>
                </c:pt>
                <c:pt idx="9">
                  <c:v>102.26701820794592</c:v>
                </c:pt>
                <c:pt idx="10">
                  <c:v>100.43617201613453</c:v>
                </c:pt>
                <c:pt idx="11">
                  <c:v>98.478535583239037</c:v>
                </c:pt>
                <c:pt idx="12">
                  <c:v>96.444078375706425</c:v>
                </c:pt>
                <c:pt idx="13">
                  <c:v>94.364499117065435</c:v>
                </c:pt>
                <c:pt idx="14">
                  <c:v>92.259420043685026</c:v>
                </c:pt>
                <c:pt idx="15">
                  <c:v>90.140428526675962</c:v>
                </c:pt>
                <c:pt idx="16">
                  <c:v>88.013748066428633</c:v>
                </c:pt>
                <c:pt idx="17">
                  <c:v>85.88202260155748</c:v>
                </c:pt>
                <c:pt idx="18">
                  <c:v>83.745519978899296</c:v>
                </c:pt>
                <c:pt idx="19">
                  <c:v>81.602951242931795</c:v>
                </c:pt>
                <c:pt idx="20">
                  <c:v>79.452034029838771</c:v>
                </c:pt>
                <c:pt idx="21">
                  <c:v>77.289884779969697</c:v>
                </c:pt>
                <c:pt idx="22">
                  <c:v>75.113296299087224</c:v>
                </c:pt>
                <c:pt idx="23">
                  <c:v>72.918938723982123</c:v>
                </c:pt>
                <c:pt idx="24">
                  <c:v>70.703509679561975</c:v>
                </c:pt>
                <c:pt idx="25">
                  <c:v>68.463851152880935</c:v>
                </c:pt>
                <c:pt idx="26">
                  <c:v>66.197044952022637</c:v>
                </c:pt>
                <c:pt idx="27">
                  <c:v>63.900494658372793</c:v>
                </c:pt>
                <c:pt idx="28">
                  <c:v>61.571999129855087</c:v>
                </c:pt>
                <c:pt idx="29">
                  <c:v>59.209820485697151</c:v>
                </c:pt>
                <c:pt idx="30">
                  <c:v>56.812747853370155</c:v>
                </c:pt>
                <c:pt idx="31">
                  <c:v>54.380156833781299</c:v>
                </c:pt>
                <c:pt idx="32">
                  <c:v>51.912063558867203</c:v>
                </c:pt>
                <c:pt idx="33">
                  <c:v>49.409171344986134</c:v>
                </c:pt>
                <c:pt idx="34">
                  <c:v>46.872907292885884</c:v>
                </c:pt>
                <c:pt idx="35">
                  <c:v>44.305445783794141</c:v>
                </c:pt>
                <c:pt idx="36">
                  <c:v>41.709715718107788</c:v>
                </c:pt>
                <c:pt idx="37">
                  <c:v>39.089388583697456</c:v>
                </c:pt>
                <c:pt idx="38">
                  <c:v>36.448845052913356</c:v>
                </c:pt>
                <c:pt idx="39">
                  <c:v>33.793118785485149</c:v>
                </c:pt>
                <c:pt idx="40">
                  <c:v>31.127817407571712</c:v>
                </c:pt>
                <c:pt idx="41">
                  <c:v>28.459022143194005</c:v>
                </c:pt>
                <c:pt idx="42">
                  <c:v>25.793169145389271</c:v>
                </c:pt>
                <c:pt idx="43">
                  <c:v>23.13691703320535</c:v>
                </c:pt>
                <c:pt idx="44">
                  <c:v>20.497006306013759</c:v>
                </c:pt>
                <c:pt idx="45">
                  <c:v>17.880117024267633</c:v>
                </c:pt>
                <c:pt idx="46">
                  <c:v>15.29273131683442</c:v>
                </c:pt>
                <c:pt idx="47">
                  <c:v>12.741006874802423</c:v>
                </c:pt>
                <c:pt idx="48">
                  <c:v>10.230666674723466</c:v>
                </c:pt>
                <c:pt idx="49">
                  <c:v>7.7669088633678882</c:v>
                </c:pt>
                <c:pt idx="50">
                  <c:v>5.354339198369729</c:v>
                </c:pt>
                <c:pt idx="51">
                  <c:v>2.9969268559296438</c:v>
                </c:pt>
                <c:pt idx="52">
                  <c:v>0.69798295376156716</c:v>
                </c:pt>
                <c:pt idx="53">
                  <c:v>-1.5398400779129702</c:v>
                </c:pt>
                <c:pt idx="54">
                  <c:v>-3.714531035481059</c:v>
                </c:pt>
                <c:pt idx="55">
                  <c:v>-5.8246876909976777</c:v>
                </c:pt>
                <c:pt idx="56">
                  <c:v>-7.8694732628491693</c:v>
                </c:pt>
                <c:pt idx="57">
                  <c:v>-9.8485650526910149</c:v>
                </c:pt>
                <c:pt idx="58">
                  <c:v>-11.762098415668845</c:v>
                </c:pt>
                <c:pt idx="59">
                  <c:v>-13.610608814965587</c:v>
                </c:pt>
                <c:pt idx="60">
                  <c:v>-15.394974224128987</c:v>
                </c:pt>
                <c:pt idx="61">
                  <c:v>-17.116359636576078</c:v>
                </c:pt>
                <c:pt idx="62">
                  <c:v>-18.776164961905238</c:v>
                </c:pt>
                <c:pt idx="63">
                  <c:v>-20.375977160031766</c:v>
                </c:pt>
                <c:pt idx="64">
                  <c:v>-21.917527101002065</c:v>
                </c:pt>
                <c:pt idx="65">
                  <c:v>-23.402651345434208</c:v>
                </c:pt>
                <c:pt idx="66">
                  <c:v>-24.833258815647582</c:v>
                </c:pt>
                <c:pt idx="67">
                  <c:v>-26.211302164136782</c:v>
                </c:pt>
                <c:pt idx="68">
                  <c:v>-27.538753535297815</c:v>
                </c:pt>
                <c:pt idx="69">
                  <c:v>-28.817584348592277</c:v>
                </c:pt>
                <c:pt idx="70">
                  <c:v>-30.049748697358609</c:v>
                </c:pt>
                <c:pt idx="71">
                  <c:v>-31.237169948814653</c:v>
                </c:pt>
                <c:pt idx="72">
                  <c:v>-32.381730140269497</c:v>
                </c:pt>
                <c:pt idx="73">
                  <c:v>-33.485261788223966</c:v>
                </c:pt>
                <c:pt idx="74">
                  <c:v>-34.54954175630661</c:v>
                </c:pt>
                <c:pt idx="75">
                  <c:v>-35.576286861261906</c:v>
                </c:pt>
                <c:pt idx="76">
                  <c:v>-36.567150930908383</c:v>
                </c:pt>
                <c:pt idx="77">
                  <c:v>-37.523723062306772</c:v>
                </c:pt>
                <c:pt idx="78">
                  <c:v>-38.447526861089159</c:v>
                </c:pt>
                <c:pt idx="79">
                  <c:v>-39.340020473261745</c:v>
                </c:pt>
                <c:pt idx="80">
                  <c:v>-40.202597248402185</c:v>
                </c:pt>
                <c:pt idx="81">
                  <c:v>-41.036586897884945</c:v>
                </c:pt>
                <c:pt idx="82">
                  <c:v>-41.843257033565806</c:v>
                </c:pt>
                <c:pt idx="83">
                  <c:v>-42.623814991424979</c:v>
                </c:pt>
                <c:pt idx="84">
                  <c:v>-43.379409861120507</c:v>
                </c:pt>
                <c:pt idx="85">
                  <c:v>-44.111134656573427</c:v>
                </c:pt>
                <c:pt idx="86">
                  <c:v>-44.82002857471889</c:v>
                </c:pt>
                <c:pt idx="87">
                  <c:v>-45.507079299776649</c:v>
                </c:pt>
                <c:pt idx="88">
                  <c:v>-46.173225318951609</c:v>
                </c:pt>
                <c:pt idx="89">
                  <c:v>-46.819358222661549</c:v>
                </c:pt>
                <c:pt idx="90">
                  <c:v>-47.446324968339923</c:v>
                </c:pt>
                <c:pt idx="91">
                  <c:v>-48.054930091810547</c:v>
                </c:pt>
                <c:pt idx="92">
                  <c:v>-48.645937854286331</c:v>
                </c:pt>
                <c:pt idx="93">
                  <c:v>-49.220074316365071</c:v>
                </c:pt>
                <c:pt idx="94">
                  <c:v>-49.778029333094366</c:v>
                </c:pt>
                <c:pt idx="95">
                  <c:v>-50.3204584663589</c:v>
                </c:pt>
                <c:pt idx="96">
                  <c:v>-50.847984812586787</c:v>
                </c:pt>
                <c:pt idx="97">
                  <c:v>-51.361200745152701</c:v>
                </c:pt>
                <c:pt idx="98">
                  <c:v>-51.860669571944754</c:v>
                </c:pt>
                <c:pt idx="99">
                  <c:v>-52.346927109405385</c:v>
                </c:pt>
              </c:numCache>
            </c:numRef>
          </c:yVal>
          <c:smooth val="0"/>
          <c:extLst>
            <c:ext xmlns:c16="http://schemas.microsoft.com/office/drawing/2014/chart" uri="{C3380CC4-5D6E-409C-BE32-E72D297353CC}">
              <c16:uniqueId val="{00000001-8A5E-4502-B1A0-DC91060BAB8A}"/>
            </c:ext>
          </c:extLst>
        </c:ser>
        <c:dLbls>
          <c:showLegendKey val="0"/>
          <c:showVal val="0"/>
          <c:showCatName val="0"/>
          <c:showSerName val="0"/>
          <c:showPercent val="0"/>
          <c:showBubbleSize val="0"/>
        </c:dLbls>
        <c:axId val="3"/>
        <c:axId val="4"/>
      </c:scatterChart>
      <c:valAx>
        <c:axId val="507661520"/>
        <c:scaling>
          <c:logBase val="10"/>
          <c:orientation val="minMax"/>
          <c:min val="10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975" b="1" i="0" u="none" strike="noStrike" baseline="0">
                    <a:solidFill>
                      <a:srgbClr val="000000"/>
                    </a:solidFill>
                    <a:latin typeface="Arial"/>
                    <a:ea typeface="Arial"/>
                    <a:cs typeface="Arial"/>
                  </a:defRPr>
                </a:pPr>
                <a:r>
                  <a:rPr lang="en-US"/>
                  <a:t>Frequency in Hz</a:t>
                </a:r>
              </a:p>
            </c:rich>
          </c:tx>
          <c:layout>
            <c:manualLayout>
              <c:xMode val="edge"/>
              <c:yMode val="edge"/>
              <c:x val="0.41680425297156326"/>
              <c:y val="0.931122592941602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
        <c:crossesAt val="-80"/>
        <c:crossBetween val="midCat"/>
      </c:valAx>
      <c:valAx>
        <c:axId val="1"/>
        <c:scaling>
          <c:orientation val="minMax"/>
          <c:max val="80"/>
          <c:min val="-8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Gain in dB</a:t>
                </a:r>
              </a:p>
            </c:rich>
          </c:tx>
          <c:layout>
            <c:manualLayout>
              <c:xMode val="edge"/>
              <c:yMode val="edge"/>
              <c:x val="1.9769296353879334E-2"/>
              <c:y val="0.397959091320481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507661520"/>
        <c:crosses val="autoZero"/>
        <c:crossBetween val="midCat"/>
      </c:valAx>
      <c:valAx>
        <c:axId val="3"/>
        <c:scaling>
          <c:logBase val="10"/>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max val="180"/>
          <c:min val="-18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3"/>
        <c:crosses val="max"/>
        <c:crossBetween val="midCat"/>
        <c:majorUnit val="45"/>
      </c:valAx>
      <c:spPr>
        <a:solidFill>
          <a:srgbClr val="FFFFFF"/>
        </a:solidFill>
        <a:ln w="12700">
          <a:solidFill>
            <a:srgbClr val="808080"/>
          </a:solidFill>
          <a:prstDash val="solid"/>
        </a:ln>
      </c:spPr>
    </c:plotArea>
    <c:legend>
      <c:legendPos val="r"/>
      <c:layout>
        <c:manualLayout>
          <c:xMode val="edge"/>
          <c:yMode val="edge"/>
          <c:x val="0.12275352704108956"/>
          <c:y val="0.70078936087776"/>
          <c:w val="0.16203465569423822"/>
          <c:h val="0.12276601942384117"/>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14</xdr:col>
      <xdr:colOff>466725</xdr:colOff>
      <xdr:row>38</xdr:row>
      <xdr:rowOff>19050</xdr:rowOff>
    </xdr:to>
    <xdr:pic>
      <xdr:nvPicPr>
        <xdr:cNvPr id="4149" name="Picture 2">
          <a:extLst>
            <a:ext uri="{FF2B5EF4-FFF2-40B4-BE49-F238E27FC236}">
              <a16:creationId xmlns:a16="http://schemas.microsoft.com/office/drawing/2014/main" id="{7A47A581-D9A2-4F09-A4D6-3C564BEBF9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171450"/>
          <a:ext cx="8382000" cy="600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151</xdr:row>
      <xdr:rowOff>28575</xdr:rowOff>
    </xdr:from>
    <xdr:to>
      <xdr:col>3</xdr:col>
      <xdr:colOff>552450</xdr:colOff>
      <xdr:row>171</xdr:row>
      <xdr:rowOff>133350</xdr:rowOff>
    </xdr:to>
    <xdr:graphicFrame macro="">
      <xdr:nvGraphicFramePr>
        <xdr:cNvPr id="1088" name="Chart 12">
          <a:extLst>
            <a:ext uri="{FF2B5EF4-FFF2-40B4-BE49-F238E27FC236}">
              <a16:creationId xmlns:a16="http://schemas.microsoft.com/office/drawing/2014/main" id="{8F061212-D095-47E7-B34B-038C55133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8</xdr:col>
      <xdr:colOff>419100</xdr:colOff>
      <xdr:row>4</xdr:row>
      <xdr:rowOff>76200</xdr:rowOff>
    </xdr:to>
    <xdr:pic>
      <xdr:nvPicPr>
        <xdr:cNvPr id="5176" name="Picture 2">
          <a:extLst>
            <a:ext uri="{FF2B5EF4-FFF2-40B4-BE49-F238E27FC236}">
              <a16:creationId xmlns:a16="http://schemas.microsoft.com/office/drawing/2014/main" id="{19012F2F-12DE-46D8-913B-847B5B273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5295900" cy="704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fLocksWithSheet="0"/>
  </xdr:twoCellAnchor>
  <mc:AlternateContent xmlns:mc="http://schemas.openxmlformats.org/markup-compatibility/2006">
    <mc:Choice xmlns:a14="http://schemas.microsoft.com/office/drawing/2010/main" Requires="a14">
      <xdr:twoCellAnchor editAs="oneCell">
        <xdr:from>
          <xdr:col>0</xdr:col>
          <xdr:colOff>38100</xdr:colOff>
          <xdr:row>5</xdr:row>
          <xdr:rowOff>47625</xdr:rowOff>
        </xdr:from>
        <xdr:to>
          <xdr:col>8</xdr:col>
          <xdr:colOff>428625</xdr:colOff>
          <xdr:row>46</xdr:row>
          <xdr:rowOff>47625</xdr:rowOff>
        </xdr:to>
        <xdr:sp macro="" textlink="">
          <xdr:nvSpPr>
            <xdr:cNvPr id="5125" name="Object 5" hidden="1">
              <a:extLst>
                <a:ext uri="{63B3BB69-23CF-44E3-9099-C40C66FF867C}">
                  <a14:compatExt spid="_x0000_s5125"/>
                </a:ext>
                <a:ext uri="{FF2B5EF4-FFF2-40B4-BE49-F238E27FC236}">
                  <a16:creationId xmlns:a16="http://schemas.microsoft.com/office/drawing/2014/main" id="{5F0C2B79-D011-4EE0-A0EA-224F41113FB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285750</xdr:colOff>
      <xdr:row>34</xdr:row>
      <xdr:rowOff>104775</xdr:rowOff>
    </xdr:to>
    <xdr:pic>
      <xdr:nvPicPr>
        <xdr:cNvPr id="6198" name="Picture 3">
          <a:extLst>
            <a:ext uri="{FF2B5EF4-FFF2-40B4-BE49-F238E27FC236}">
              <a16:creationId xmlns:a16="http://schemas.microsoft.com/office/drawing/2014/main" id="{CFDE352D-37CD-4AD8-8BDE-770E3C27CF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52950" cy="5610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314325</xdr:colOff>
      <xdr:row>34</xdr:row>
      <xdr:rowOff>104775</xdr:rowOff>
    </xdr:to>
    <xdr:pic>
      <xdr:nvPicPr>
        <xdr:cNvPr id="7222" name="Picture 3">
          <a:extLst>
            <a:ext uri="{FF2B5EF4-FFF2-40B4-BE49-F238E27FC236}">
              <a16:creationId xmlns:a16="http://schemas.microsoft.com/office/drawing/2014/main" id="{FD865A7B-6D2A-42F3-B3CF-DD7EA92F7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81525" cy="5610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219075</xdr:colOff>
      <xdr:row>85</xdr:row>
      <xdr:rowOff>95250</xdr:rowOff>
    </xdr:from>
    <xdr:to>
      <xdr:col>7</xdr:col>
      <xdr:colOff>47625</xdr:colOff>
      <xdr:row>105</xdr:row>
      <xdr:rowOff>123825</xdr:rowOff>
    </xdr:to>
    <xdr:graphicFrame macro="">
      <xdr:nvGraphicFramePr>
        <xdr:cNvPr id="3127" name="Chart 4">
          <a:extLst>
            <a:ext uri="{FF2B5EF4-FFF2-40B4-BE49-F238E27FC236}">
              <a16:creationId xmlns:a16="http://schemas.microsoft.com/office/drawing/2014/main" id="{E1810966-47A1-472B-BA5C-8A0FC8491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0799388/My%20Documents/Applications%20Information/UCC28070/Design%20Tool/UCC28070%20Design%20Tool%208%2015%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Information"/>
      <sheetName val="Current Loop Calaculations"/>
      <sheetName val="Voltage Loop Calaclations"/>
    </sheetNames>
    <sheetDataSet>
      <sheetData sheetId="0">
        <row r="29">
          <cell r="C29">
            <v>2.4499999999999999E-4</v>
          </cell>
        </row>
        <row r="40">
          <cell r="C40">
            <v>50</v>
          </cell>
        </row>
        <row r="83">
          <cell r="C83">
            <v>4020</v>
          </cell>
        </row>
        <row r="85">
          <cell r="C85">
            <v>2.1999999999999998E-9</v>
          </cell>
        </row>
        <row r="87">
          <cell r="C87">
            <v>3.3E-10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A14" sqref="A14:N14"/>
    </sheetView>
  </sheetViews>
  <sheetFormatPr defaultRowHeight="12.75" x14ac:dyDescent="0.2"/>
  <sheetData>
    <row r="1" spans="1:14" ht="33.75" x14ac:dyDescent="0.2">
      <c r="A1" s="109" t="s">
        <v>337</v>
      </c>
      <c r="B1" s="109"/>
      <c r="C1" s="109"/>
      <c r="D1" s="109"/>
      <c r="E1" s="109"/>
      <c r="F1" s="109"/>
      <c r="G1" s="109"/>
      <c r="H1" s="109"/>
      <c r="I1" s="109"/>
      <c r="J1" s="109"/>
      <c r="K1" s="109"/>
      <c r="L1" s="109"/>
      <c r="M1" s="109"/>
      <c r="N1" s="109"/>
    </row>
    <row r="2" spans="1:14" ht="25.5" x14ac:dyDescent="0.2">
      <c r="A2" s="110" t="s">
        <v>0</v>
      </c>
      <c r="B2" s="110"/>
      <c r="C2" s="110"/>
      <c r="D2" s="110"/>
      <c r="E2" s="110"/>
      <c r="F2" s="110"/>
      <c r="G2" s="110"/>
      <c r="H2" s="110"/>
      <c r="I2" s="110"/>
      <c r="J2" s="110"/>
      <c r="K2" s="110"/>
      <c r="L2" s="110"/>
      <c r="M2" s="110"/>
      <c r="N2" s="110"/>
    </row>
    <row r="3" spans="1:14" x14ac:dyDescent="0.2">
      <c r="A3" s="111"/>
      <c r="B3" s="111"/>
      <c r="C3" s="111"/>
      <c r="D3" s="111"/>
      <c r="E3" s="111"/>
      <c r="F3" s="111"/>
      <c r="G3" s="111"/>
      <c r="H3" s="111"/>
      <c r="I3" s="111"/>
      <c r="J3" s="111"/>
      <c r="K3" s="111"/>
      <c r="L3" s="111"/>
      <c r="M3" s="111"/>
      <c r="N3" s="111"/>
    </row>
    <row r="4" spans="1:14" ht="25.5" x14ac:dyDescent="0.2">
      <c r="A4" s="112" t="s">
        <v>1</v>
      </c>
      <c r="B4" s="112"/>
      <c r="C4" s="112"/>
      <c r="D4" s="112"/>
      <c r="E4" s="112"/>
      <c r="F4" s="112"/>
      <c r="G4" s="112"/>
      <c r="H4" s="112"/>
      <c r="I4" s="112"/>
      <c r="J4" s="112"/>
      <c r="K4" s="112"/>
      <c r="L4" s="112"/>
      <c r="M4" s="112"/>
      <c r="N4" s="112"/>
    </row>
    <row r="5" spans="1:14" x14ac:dyDescent="0.2">
      <c r="A5" s="111"/>
      <c r="B5" s="111"/>
      <c r="C5" s="111"/>
      <c r="D5" s="111"/>
      <c r="E5" s="111"/>
      <c r="F5" s="111"/>
      <c r="G5" s="111"/>
      <c r="H5" s="111"/>
      <c r="I5" s="111"/>
      <c r="J5" s="111"/>
      <c r="K5" s="111"/>
      <c r="L5" s="111"/>
      <c r="M5" s="111"/>
      <c r="N5" s="111"/>
    </row>
    <row r="6" spans="1:14" ht="25.5" x14ac:dyDescent="0.2">
      <c r="A6" s="1" t="s">
        <v>2</v>
      </c>
      <c r="B6" s="1"/>
      <c r="C6" s="1"/>
      <c r="D6" s="1"/>
      <c r="E6" s="1"/>
      <c r="F6" s="1"/>
      <c r="G6" s="1"/>
      <c r="H6" s="1"/>
      <c r="I6" s="1"/>
      <c r="J6" s="1"/>
      <c r="K6" s="1"/>
      <c r="L6" s="1"/>
      <c r="M6" s="1"/>
      <c r="N6" s="1"/>
    </row>
    <row r="7" spans="1:14" ht="25.5" x14ac:dyDescent="0.2">
      <c r="A7" s="1"/>
      <c r="B7" s="112" t="s">
        <v>3</v>
      </c>
      <c r="C7" s="112"/>
      <c r="D7" s="112"/>
      <c r="E7" s="112"/>
      <c r="F7" s="112"/>
      <c r="G7" s="112"/>
      <c r="H7" s="112"/>
      <c r="I7" s="112"/>
      <c r="J7" s="112"/>
      <c r="K7" s="112"/>
      <c r="L7" s="112"/>
      <c r="M7" s="112"/>
      <c r="N7" s="112"/>
    </row>
    <row r="8" spans="1:14" ht="25.5" x14ac:dyDescent="0.2">
      <c r="A8" s="1"/>
      <c r="B8" s="112" t="s">
        <v>4</v>
      </c>
      <c r="C8" s="112"/>
      <c r="D8" s="112"/>
      <c r="E8" s="112"/>
      <c r="F8" s="112"/>
      <c r="G8" s="112"/>
      <c r="H8" s="112"/>
      <c r="I8" s="112"/>
      <c r="J8" s="112"/>
      <c r="K8" s="112"/>
      <c r="L8" s="112"/>
      <c r="M8" s="112"/>
      <c r="N8" s="112"/>
    </row>
    <row r="9" spans="1:14" ht="25.5" x14ac:dyDescent="0.2">
      <c r="A9" s="1"/>
      <c r="B9" s="112" t="s">
        <v>5</v>
      </c>
      <c r="C9" s="112"/>
      <c r="D9" s="112"/>
      <c r="E9" s="112"/>
      <c r="F9" s="112"/>
      <c r="G9" s="112"/>
      <c r="H9" s="112"/>
      <c r="I9" s="112"/>
      <c r="J9" s="112"/>
      <c r="K9" s="112"/>
      <c r="L9" s="112"/>
      <c r="M9" s="112"/>
      <c r="N9" s="112"/>
    </row>
    <row r="10" spans="1:14" ht="25.5" x14ac:dyDescent="0.2">
      <c r="A10" s="1" t="s">
        <v>6</v>
      </c>
      <c r="B10" s="1"/>
      <c r="C10" s="1"/>
      <c r="D10" s="1"/>
      <c r="E10" s="1"/>
      <c r="F10" s="1"/>
      <c r="G10" s="1"/>
      <c r="H10" s="1"/>
      <c r="I10" s="1"/>
      <c r="J10" s="1"/>
      <c r="K10" s="1"/>
      <c r="L10" s="1"/>
      <c r="M10" s="1"/>
      <c r="N10" s="1"/>
    </row>
    <row r="11" spans="1:14" ht="25.5" x14ac:dyDescent="0.2">
      <c r="A11" s="1"/>
      <c r="B11" s="1"/>
      <c r="C11" s="1"/>
      <c r="D11" s="1"/>
      <c r="E11" s="1"/>
      <c r="F11" s="1"/>
      <c r="G11" s="1"/>
      <c r="H11" s="1"/>
      <c r="I11" s="1"/>
      <c r="J11" s="1"/>
      <c r="K11" s="1"/>
      <c r="L11" s="1"/>
      <c r="M11" s="1"/>
      <c r="N11" s="1"/>
    </row>
    <row r="12" spans="1:14" ht="25.5" x14ac:dyDescent="0.2">
      <c r="A12" s="113" t="s">
        <v>296</v>
      </c>
      <c r="B12" s="113"/>
      <c r="C12" s="113"/>
      <c r="D12" s="113"/>
      <c r="E12" s="113"/>
      <c r="F12" s="113"/>
      <c r="G12" s="113"/>
      <c r="H12" s="113"/>
      <c r="I12" s="113"/>
      <c r="J12" s="113"/>
      <c r="K12" s="113"/>
      <c r="L12" s="113"/>
      <c r="M12" s="113"/>
      <c r="N12" s="113"/>
    </row>
    <row r="13" spans="1:14" ht="25.5" x14ac:dyDescent="0.2">
      <c r="A13" s="85"/>
      <c r="B13" s="85"/>
      <c r="C13" s="85"/>
      <c r="D13" s="85"/>
      <c r="E13" s="85"/>
      <c r="F13" s="85"/>
      <c r="G13" s="85"/>
      <c r="H13" s="85"/>
      <c r="I13" s="85"/>
      <c r="J13" s="85"/>
      <c r="K13" s="85"/>
      <c r="L13" s="85"/>
      <c r="M13" s="85"/>
      <c r="N13" s="85"/>
    </row>
    <row r="14" spans="1:14" ht="25.5" x14ac:dyDescent="0.2">
      <c r="A14" s="113" t="s">
        <v>7</v>
      </c>
      <c r="B14" s="113"/>
      <c r="C14" s="113"/>
      <c r="D14" s="113"/>
      <c r="E14" s="113"/>
      <c r="F14" s="113"/>
      <c r="G14" s="113"/>
      <c r="H14" s="113"/>
      <c r="I14" s="113"/>
      <c r="J14" s="113"/>
      <c r="K14" s="113"/>
      <c r="L14" s="113"/>
      <c r="M14" s="113"/>
      <c r="N14" s="113"/>
    </row>
    <row r="15" spans="1:14" ht="25.5" x14ac:dyDescent="0.2">
      <c r="A15" s="85"/>
      <c r="B15" s="85"/>
      <c r="C15" s="85"/>
      <c r="D15" s="85"/>
      <c r="E15" s="85"/>
      <c r="F15" s="85"/>
      <c r="G15" s="85"/>
      <c r="H15" s="85"/>
      <c r="I15" s="85"/>
      <c r="J15" s="85"/>
      <c r="K15" s="85"/>
      <c r="L15" s="85"/>
      <c r="M15" s="85"/>
      <c r="N15" s="85"/>
    </row>
    <row r="16" spans="1:14" ht="45.75" customHeight="1" x14ac:dyDescent="0.2">
      <c r="A16" s="113" t="s">
        <v>330</v>
      </c>
      <c r="B16" s="113"/>
      <c r="C16" s="113"/>
      <c r="D16" s="113"/>
      <c r="E16" s="113"/>
      <c r="F16" s="113"/>
      <c r="G16" s="113"/>
      <c r="H16" s="113"/>
      <c r="I16" s="113"/>
      <c r="J16" s="113"/>
      <c r="K16" s="113"/>
      <c r="L16" s="113"/>
      <c r="M16" s="113"/>
      <c r="N16" s="113"/>
    </row>
    <row r="17" spans="1:1" x14ac:dyDescent="0.2">
      <c r="A17" t="s">
        <v>19</v>
      </c>
    </row>
  </sheetData>
  <sheetProtection password="ECDD" sheet="1"/>
  <mergeCells count="11">
    <mergeCell ref="A16:N16"/>
    <mergeCell ref="A5:N5"/>
    <mergeCell ref="B7:N7"/>
    <mergeCell ref="B8:N8"/>
    <mergeCell ref="B9:N9"/>
    <mergeCell ref="A1:N1"/>
    <mergeCell ref="A2:N2"/>
    <mergeCell ref="A3:N3"/>
    <mergeCell ref="A4:N4"/>
    <mergeCell ref="A12:N12"/>
    <mergeCell ref="A14:N14"/>
  </mergeCell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3"/>
  <sheetViews>
    <sheetView workbookViewId="0">
      <selection activeCell="S21" sqref="S21"/>
    </sheetView>
  </sheetViews>
  <sheetFormatPr defaultRowHeight="12.75" x14ac:dyDescent="0.2"/>
  <sheetData>
    <row r="43" spans="4:4" x14ac:dyDescent="0.2">
      <c r="D43" t="s">
        <v>19</v>
      </c>
    </row>
  </sheetData>
  <sheetProtection password="ECDD" sheet="1"/>
  <phoneticPr fontId="21" type="noConversion"/>
  <pageMargins left="0.75" right="0.75" top="1" bottom="1" header="0.5" footer="0.5"/>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2"/>
  <sheetViews>
    <sheetView tabSelected="1" zoomScale="115" zoomScaleNormal="115" workbookViewId="0">
      <selection activeCell="B13" sqref="B13"/>
    </sheetView>
  </sheetViews>
  <sheetFormatPr defaultRowHeight="15.75" x14ac:dyDescent="0.25"/>
  <cols>
    <col min="1" max="1" width="66.140625" style="55" customWidth="1"/>
    <col min="2" max="2" width="15" style="55" customWidth="1"/>
    <col min="3" max="3" width="13.42578125" style="61" customWidth="1"/>
    <col min="4" max="5" width="11.5703125" style="55" customWidth="1"/>
    <col min="6" max="16384" width="9.140625" style="55"/>
  </cols>
  <sheetData>
    <row r="1" spans="1:8" x14ac:dyDescent="0.25">
      <c r="A1" s="55" t="s">
        <v>339</v>
      </c>
    </row>
    <row r="2" spans="1:8" x14ac:dyDescent="0.25">
      <c r="A2" s="55" t="s">
        <v>338</v>
      </c>
      <c r="B2" s="56">
        <v>45723</v>
      </c>
      <c r="H2" s="106"/>
    </row>
    <row r="3" spans="1:8" x14ac:dyDescent="0.25">
      <c r="B3" s="56"/>
      <c r="H3" s="106"/>
    </row>
    <row r="4" spans="1:8" x14ac:dyDescent="0.25">
      <c r="A4" s="81" t="s">
        <v>328</v>
      </c>
      <c r="B4" s="82"/>
      <c r="C4" s="94"/>
      <c r="D4" s="81"/>
      <c r="E4" s="81"/>
      <c r="F4" s="81"/>
    </row>
    <row r="5" spans="1:8" x14ac:dyDescent="0.25">
      <c r="A5" s="81" t="s">
        <v>289</v>
      </c>
      <c r="B5" s="82"/>
      <c r="C5" s="94"/>
      <c r="D5" s="81"/>
      <c r="E5" s="81"/>
      <c r="F5" s="81"/>
    </row>
    <row r="6" spans="1:8" x14ac:dyDescent="0.25">
      <c r="A6" s="86" t="s">
        <v>331</v>
      </c>
      <c r="B6" s="87"/>
      <c r="C6" s="95"/>
      <c r="D6" s="86"/>
      <c r="E6" s="86"/>
      <c r="F6" s="86"/>
    </row>
    <row r="7" spans="1:8" x14ac:dyDescent="0.25">
      <c r="A7" s="88" t="s">
        <v>302</v>
      </c>
      <c r="B7" s="89"/>
      <c r="C7" s="96"/>
      <c r="D7" s="88"/>
      <c r="E7" s="88"/>
      <c r="F7" s="88"/>
    </row>
    <row r="8" spans="1:8" s="51" customFormat="1" x14ac:dyDescent="0.25">
      <c r="A8" s="88" t="s">
        <v>301</v>
      </c>
      <c r="B8" s="89"/>
      <c r="C8" s="96"/>
      <c r="D8" s="88"/>
      <c r="E8" s="88"/>
      <c r="F8" s="88"/>
    </row>
    <row r="9" spans="1:8" s="51" customFormat="1" x14ac:dyDescent="0.25">
      <c r="A9" s="88" t="s">
        <v>299</v>
      </c>
      <c r="B9" s="89"/>
      <c r="C9" s="96"/>
      <c r="D9" s="88"/>
      <c r="E9" s="88"/>
      <c r="F9" s="88"/>
    </row>
    <row r="10" spans="1:8" s="51" customFormat="1" x14ac:dyDescent="0.25">
      <c r="A10" s="88" t="s">
        <v>300</v>
      </c>
      <c r="B10" s="89"/>
      <c r="C10" s="96"/>
      <c r="D10" s="88"/>
      <c r="E10" s="88"/>
      <c r="F10" s="88"/>
    </row>
    <row r="11" spans="1:8" x14ac:dyDescent="0.25">
      <c r="A11" s="55" t="s">
        <v>8</v>
      </c>
    </row>
    <row r="12" spans="1:8" x14ac:dyDescent="0.25">
      <c r="A12" s="55" t="s">
        <v>9</v>
      </c>
      <c r="B12" s="55" t="s">
        <v>10</v>
      </c>
      <c r="C12" s="61" t="s">
        <v>12</v>
      </c>
      <c r="D12" s="55" t="s">
        <v>11</v>
      </c>
      <c r="E12" s="55" t="s">
        <v>16</v>
      </c>
    </row>
    <row r="13" spans="1:8" x14ac:dyDescent="0.25">
      <c r="A13" s="55" t="s">
        <v>13</v>
      </c>
      <c r="B13" s="52">
        <v>390</v>
      </c>
      <c r="C13" s="97">
        <v>400</v>
      </c>
      <c r="D13" s="52">
        <v>410</v>
      </c>
      <c r="E13" s="55" t="s">
        <v>17</v>
      </c>
      <c r="F13" s="90" t="str">
        <f>IF(VINMAX/VINMIN&gt;3,"Please Keep Input Voltage &lt; 3:1","")</f>
        <v/>
      </c>
    </row>
    <row r="14" spans="1:8" x14ac:dyDescent="0.25">
      <c r="A14" s="55" t="s">
        <v>14</v>
      </c>
      <c r="B14" s="52">
        <v>11</v>
      </c>
      <c r="C14" s="97">
        <v>12</v>
      </c>
      <c r="D14" s="52">
        <v>13</v>
      </c>
      <c r="E14" s="55" t="s">
        <v>17</v>
      </c>
      <c r="F14" s="84" t="str">
        <f>IF(VOUT&lt;1.5,"The Minimum Output Voltage &gt; 1.5 V","")</f>
        <v/>
      </c>
      <c r="G14" s="51"/>
      <c r="H14" s="51"/>
    </row>
    <row r="15" spans="1:8" ht="31.5" x14ac:dyDescent="0.25">
      <c r="A15" s="57" t="s">
        <v>15</v>
      </c>
      <c r="D15" s="52">
        <v>0.6</v>
      </c>
      <c r="E15" s="55" t="s">
        <v>17</v>
      </c>
      <c r="F15" s="84"/>
    </row>
    <row r="16" spans="1:8" ht="18.75" x14ac:dyDescent="0.35">
      <c r="A16" s="57" t="s">
        <v>21</v>
      </c>
      <c r="D16" s="52">
        <v>600</v>
      </c>
      <c r="E16" s="55" t="s">
        <v>18</v>
      </c>
    </row>
    <row r="17" spans="1:6" x14ac:dyDescent="0.25">
      <c r="A17" s="55" t="s">
        <v>23</v>
      </c>
      <c r="B17" s="53">
        <v>0.94</v>
      </c>
      <c r="D17" s="55" t="s">
        <v>19</v>
      </c>
      <c r="F17" s="84" t="str">
        <f>IF(Eff&gt;96%,"Please be Realistic with Efficiency Goal","")</f>
        <v/>
      </c>
    </row>
    <row r="18" spans="1:6" ht="18.75" x14ac:dyDescent="0.35">
      <c r="A18" s="55" t="s">
        <v>22</v>
      </c>
      <c r="C18" s="97">
        <v>200</v>
      </c>
      <c r="E18" s="55" t="s">
        <v>20</v>
      </c>
      <c r="F18" s="83" t="str">
        <f>IF(fs&gt;1000,"UCC28950 Can Only Achieve 1MHz Switching Frequency","")</f>
        <v/>
      </c>
    </row>
    <row r="19" spans="1:6" x14ac:dyDescent="0.25">
      <c r="A19" s="58"/>
      <c r="B19" s="58"/>
      <c r="C19" s="98"/>
      <c r="D19" s="58"/>
      <c r="E19" s="58"/>
      <c r="F19" s="58"/>
    </row>
    <row r="20" spans="1:6" x14ac:dyDescent="0.25">
      <c r="A20" s="80" t="s">
        <v>174</v>
      </c>
      <c r="B20" s="80"/>
      <c r="C20" s="99"/>
      <c r="D20" s="80"/>
      <c r="E20" s="80"/>
      <c r="F20" s="80"/>
    </row>
    <row r="21" spans="1:6" x14ac:dyDescent="0.25">
      <c r="A21" s="55" t="s">
        <v>9</v>
      </c>
      <c r="B21" s="55" t="s">
        <v>27</v>
      </c>
      <c r="D21" s="55" t="s">
        <v>16</v>
      </c>
    </row>
    <row r="22" spans="1:6" ht="18.75" x14ac:dyDescent="0.35">
      <c r="A22" s="55" t="s">
        <v>113</v>
      </c>
      <c r="B22" s="60" t="s">
        <v>24</v>
      </c>
      <c r="C22" s="61">
        <f>pout*(1-Eff)/Eff</f>
        <v>38.297872340425563</v>
      </c>
      <c r="D22" s="55" t="s">
        <v>18</v>
      </c>
    </row>
    <row r="23" spans="1:6" ht="18.75" x14ac:dyDescent="0.35">
      <c r="A23" s="55" t="s">
        <v>114</v>
      </c>
      <c r="B23" s="55" t="s">
        <v>25</v>
      </c>
      <c r="C23" s="61">
        <v>0.3</v>
      </c>
      <c r="D23" s="55" t="s">
        <v>17</v>
      </c>
    </row>
    <row r="24" spans="1:6" ht="18.75" x14ac:dyDescent="0.35">
      <c r="A24" s="55" t="s">
        <v>29</v>
      </c>
      <c r="B24" s="55" t="s">
        <v>31</v>
      </c>
      <c r="C24" s="61">
        <v>0.66</v>
      </c>
    </row>
    <row r="25" spans="1:6" ht="18.75" x14ac:dyDescent="0.35">
      <c r="A25" s="55" t="s">
        <v>28</v>
      </c>
      <c r="B25" s="55" t="s">
        <v>26</v>
      </c>
      <c r="C25" s="61">
        <f>((VINMIN-2*vrdson)*dmax)/(VOUT+vrdson)</f>
        <v>20.894634146341463</v>
      </c>
      <c r="D25" s="55" t="s">
        <v>19</v>
      </c>
      <c r="E25" s="55" t="s">
        <v>19</v>
      </c>
    </row>
    <row r="26" spans="1:6" x14ac:dyDescent="0.25">
      <c r="A26" s="55" t="s">
        <v>303</v>
      </c>
      <c r="B26" s="55" t="s">
        <v>26</v>
      </c>
      <c r="C26" s="108">
        <v>21</v>
      </c>
    </row>
    <row r="27" spans="1:6" s="61" customFormat="1" ht="18.75" x14ac:dyDescent="0.35">
      <c r="A27" s="61" t="s">
        <v>30</v>
      </c>
      <c r="B27" s="61" t="s">
        <v>32</v>
      </c>
      <c r="C27" s="61">
        <f>((VOUT+vrdson)*_taa1)/((vin-2*vrdson))</f>
        <v>0.64672008012018034</v>
      </c>
      <c r="D27" s="91" t="str">
        <f>IF(dtyp&gt;1,"Turns Ratio a1 in Error, Pleast Adjust","")</f>
        <v/>
      </c>
    </row>
    <row r="28" spans="1:6" ht="18.75" x14ac:dyDescent="0.35">
      <c r="A28" s="55" t="s">
        <v>33</v>
      </c>
      <c r="B28" s="72" t="s">
        <v>243</v>
      </c>
      <c r="C28" s="61">
        <f>pout*0.2/VOUT</f>
        <v>10</v>
      </c>
      <c r="D28" s="55" t="s">
        <v>34</v>
      </c>
    </row>
    <row r="29" spans="1:6" ht="18.75" x14ac:dyDescent="0.35">
      <c r="A29" s="55" t="s">
        <v>262</v>
      </c>
      <c r="B29" s="55" t="s">
        <v>35</v>
      </c>
      <c r="C29" s="61">
        <f>(vin*(1-dtyp)*_taa1)/(dilout*0.5*fs)</f>
        <v>2.9675513269904856</v>
      </c>
      <c r="D29" s="55" t="s">
        <v>36</v>
      </c>
      <c r="E29" s="107"/>
    </row>
    <row r="30" spans="1:6" ht="18.75" x14ac:dyDescent="0.35">
      <c r="A30" s="55" t="s">
        <v>290</v>
      </c>
      <c r="B30" s="55" t="s">
        <v>37</v>
      </c>
      <c r="C30" s="61">
        <f>(pout/VOUT)+(dilout/2)</f>
        <v>55</v>
      </c>
      <c r="D30" s="55" t="s">
        <v>34</v>
      </c>
      <c r="E30" s="55" t="s">
        <v>19</v>
      </c>
    </row>
    <row r="31" spans="1:6" ht="18.75" x14ac:dyDescent="0.35">
      <c r="A31" s="55" t="s">
        <v>290</v>
      </c>
      <c r="B31" s="55" t="s">
        <v>38</v>
      </c>
      <c r="C31" s="61">
        <f>(pout/VOUT)-(dilout/2)</f>
        <v>45</v>
      </c>
      <c r="D31" s="55" t="s">
        <v>34</v>
      </c>
      <c r="E31" s="67"/>
    </row>
    <row r="32" spans="1:6" ht="18.75" x14ac:dyDescent="0.35">
      <c r="A32" s="55" t="s">
        <v>290</v>
      </c>
      <c r="B32" s="55" t="s">
        <v>40</v>
      </c>
      <c r="C32" s="61">
        <f>ips-(dilout/2)</f>
        <v>50</v>
      </c>
      <c r="D32" s="55" t="s">
        <v>34</v>
      </c>
      <c r="E32" s="61" t="s">
        <v>19</v>
      </c>
    </row>
    <row r="33" spans="1:5" ht="18.75" x14ac:dyDescent="0.35">
      <c r="A33" s="55" t="s">
        <v>244</v>
      </c>
      <c r="B33" s="55" t="s">
        <v>39</v>
      </c>
      <c r="C33" s="61">
        <f>((dmax/2)*(ips*ims+(((ips-ims)^2)/3)))^0.5</f>
        <v>28.770644761631605</v>
      </c>
      <c r="D33" s="55" t="s">
        <v>34</v>
      </c>
      <c r="E33" s="60" t="s">
        <v>19</v>
      </c>
    </row>
    <row r="34" spans="1:5" ht="18.75" x14ac:dyDescent="0.35">
      <c r="A34" s="55" t="s">
        <v>244</v>
      </c>
      <c r="B34" s="55" t="s">
        <v>41</v>
      </c>
      <c r="C34" s="61">
        <f>(((1-dmax)/2)*(ips*_ims2+(((ips-_ims2)^2)/3)))^0.5</f>
        <v>21.65448375433288</v>
      </c>
      <c r="D34" s="55" t="s">
        <v>34</v>
      </c>
      <c r="E34" s="55" t="s">
        <v>19</v>
      </c>
    </row>
    <row r="35" spans="1:5" ht="18.75" x14ac:dyDescent="0.35">
      <c r="A35" s="55" t="s">
        <v>244</v>
      </c>
      <c r="B35" s="55" t="s">
        <v>42</v>
      </c>
      <c r="C35" s="61">
        <f>(dilout/2)*((1-dmax)/6)^0.5</f>
        <v>1.1902380714238083</v>
      </c>
      <c r="D35" s="55" t="s">
        <v>34</v>
      </c>
      <c r="E35" s="55" t="s">
        <v>19</v>
      </c>
    </row>
    <row r="36" spans="1:5" ht="18.75" x14ac:dyDescent="0.35">
      <c r="A36" s="55" t="s">
        <v>263</v>
      </c>
      <c r="B36" s="55" t="s">
        <v>43</v>
      </c>
      <c r="C36" s="61">
        <f>(isrms1^2+isrms2^2+isrms3^2)^0.5</f>
        <v>36.028923566120227</v>
      </c>
      <c r="D36" s="55" t="s">
        <v>34</v>
      </c>
    </row>
    <row r="37" spans="1:5" ht="18.75" x14ac:dyDescent="0.35">
      <c r="A37" s="55" t="s">
        <v>291</v>
      </c>
      <c r="B37" s="72" t="s">
        <v>329</v>
      </c>
      <c r="C37" s="61">
        <f>(VINMIN*dmax)/(lmag*fs)</f>
        <v>0.43369089804596545</v>
      </c>
      <c r="D37" s="55" t="s">
        <v>34</v>
      </c>
    </row>
    <row r="38" spans="1:5" ht="18.75" x14ac:dyDescent="0.35">
      <c r="A38" s="55" t="s">
        <v>290</v>
      </c>
      <c r="B38" s="55" t="s">
        <v>45</v>
      </c>
      <c r="C38" s="61">
        <f>(((pout/(VOUT*Eff))+dilout/2)/_taa1)+dilmag</f>
        <v>3.2047142009841623</v>
      </c>
      <c r="D38" s="55" t="s">
        <v>34</v>
      </c>
    </row>
    <row r="39" spans="1:5" ht="18.75" x14ac:dyDescent="0.35">
      <c r="A39" s="55" t="s">
        <v>290</v>
      </c>
      <c r="B39" s="55" t="s">
        <v>46</v>
      </c>
      <c r="C39" s="61">
        <f>(((pout/(VOUT*Eff))-dilout/2)/_taa1)+dilmag</f>
        <v>2.728523724793686</v>
      </c>
      <c r="D39" s="55" t="s">
        <v>34</v>
      </c>
    </row>
    <row r="40" spans="1:5" ht="18.75" x14ac:dyDescent="0.35">
      <c r="A40" s="55" t="s">
        <v>290</v>
      </c>
      <c r="B40" s="55" t="s">
        <v>47</v>
      </c>
      <c r="C40" s="61">
        <f>ipp-((dilout/2)/_ta1)</f>
        <v>2.9654183145388151</v>
      </c>
      <c r="D40" s="55" t="s">
        <v>34</v>
      </c>
    </row>
    <row r="41" spans="1:5" ht="18.75" x14ac:dyDescent="0.35">
      <c r="A41" s="55" t="s">
        <v>244</v>
      </c>
      <c r="B41" s="55" t="s">
        <v>48</v>
      </c>
      <c r="C41" s="61">
        <f>((dmax)*(ipp*imp+(((ipp-imp)^2)/3)))^0.5</f>
        <v>2.4126786321784386</v>
      </c>
      <c r="D41" s="55" t="s">
        <v>34</v>
      </c>
    </row>
    <row r="42" spans="1:5" ht="18.75" x14ac:dyDescent="0.35">
      <c r="A42" s="55" t="s">
        <v>244</v>
      </c>
      <c r="B42" s="55" t="s">
        <v>49</v>
      </c>
      <c r="C42" s="61">
        <f>(((1-dmax))*(ipp*_imp2+(((ipp-_imp2)^2)/3)))^0.5</f>
        <v>1.7993381936499104</v>
      </c>
      <c r="D42" s="55" t="s">
        <v>34</v>
      </c>
    </row>
    <row r="43" spans="1:5" ht="18.75" x14ac:dyDescent="0.35">
      <c r="A43" s="55" t="s">
        <v>292</v>
      </c>
      <c r="B43" s="55" t="s">
        <v>51</v>
      </c>
      <c r="C43" s="61">
        <f>((iprms1)^2+(iprms2)^2)^0.5</f>
        <v>3.0097568202925871</v>
      </c>
      <c r="D43" s="55" t="s">
        <v>34</v>
      </c>
    </row>
    <row r="44" spans="1:5" ht="18.75" x14ac:dyDescent="0.35">
      <c r="A44" s="55" t="s">
        <v>72</v>
      </c>
      <c r="B44" s="55" t="s">
        <v>35</v>
      </c>
      <c r="C44" s="92">
        <v>2.97</v>
      </c>
      <c r="D44" s="55" t="s">
        <v>36</v>
      </c>
      <c r="E44" s="83" t="str">
        <f>IF(lmag2&lt;lmag,"Please make Lmag &gt; or = Calculated Lmag","")</f>
        <v/>
      </c>
    </row>
    <row r="45" spans="1:5" ht="18.75" x14ac:dyDescent="0.35">
      <c r="A45" s="55" t="s">
        <v>54</v>
      </c>
      <c r="B45" s="55" t="s">
        <v>50</v>
      </c>
      <c r="C45" s="92">
        <v>1</v>
      </c>
      <c r="D45" s="55" t="s">
        <v>205</v>
      </c>
    </row>
    <row r="46" spans="1:5" ht="18.75" x14ac:dyDescent="0.35">
      <c r="A46" s="55" t="s">
        <v>55</v>
      </c>
      <c r="B46" s="55" t="s">
        <v>52</v>
      </c>
      <c r="C46" s="92">
        <v>2</v>
      </c>
      <c r="D46" s="55" t="s">
        <v>205</v>
      </c>
    </row>
    <row r="47" spans="1:5" ht="18.75" x14ac:dyDescent="0.35">
      <c r="A47" s="55" t="s">
        <v>298</v>
      </c>
      <c r="B47" s="55" t="s">
        <v>297</v>
      </c>
      <c r="C47" s="92">
        <v>4</v>
      </c>
      <c r="D47" s="55" t="s">
        <v>74</v>
      </c>
    </row>
    <row r="48" spans="1:5" ht="18.75" x14ac:dyDescent="0.35">
      <c r="A48" s="62" t="s">
        <v>56</v>
      </c>
      <c r="B48" s="55" t="s">
        <v>53</v>
      </c>
      <c r="C48" s="61">
        <f>2*((iprms^2*(dcrp/1000))+2*(isrms^2*(dcrs/1000)))</f>
        <v>10.402783938901264</v>
      </c>
      <c r="D48" s="55" t="s">
        <v>18</v>
      </c>
    </row>
    <row r="49" spans="1:6" ht="18.75" x14ac:dyDescent="0.35">
      <c r="A49" s="55" t="s">
        <v>57</v>
      </c>
      <c r="B49" s="55" t="s">
        <v>24</v>
      </c>
      <c r="C49" s="61">
        <f>pbudget-C48</f>
        <v>27.895088401524298</v>
      </c>
      <c r="D49" s="55" t="s">
        <v>18</v>
      </c>
      <c r="E49" s="83" t="str">
        <f>IF(C49&lt;0,"PBudget Cannot be Made with Selected Components","")</f>
        <v/>
      </c>
    </row>
    <row r="50" spans="1:6" x14ac:dyDescent="0.25">
      <c r="A50" s="80" t="s">
        <v>58</v>
      </c>
      <c r="B50" s="80"/>
      <c r="C50" s="99" t="s">
        <v>19</v>
      </c>
      <c r="D50" s="80"/>
      <c r="E50" s="80"/>
      <c r="F50" s="80"/>
    </row>
    <row r="51" spans="1:6" ht="18.75" x14ac:dyDescent="0.35">
      <c r="A51" s="62" t="s">
        <v>279</v>
      </c>
      <c r="B51" s="55" t="s">
        <v>69</v>
      </c>
      <c r="C51" s="92">
        <v>12</v>
      </c>
      <c r="D51" s="55" t="s">
        <v>17</v>
      </c>
    </row>
    <row r="52" spans="1:6" ht="18.75" x14ac:dyDescent="0.35">
      <c r="A52" s="55" t="s">
        <v>60</v>
      </c>
      <c r="B52" s="55" t="s">
        <v>59</v>
      </c>
      <c r="C52" s="92">
        <v>8</v>
      </c>
      <c r="D52" s="55" t="s">
        <v>205</v>
      </c>
    </row>
    <row r="53" spans="1:6" ht="18.75" x14ac:dyDescent="0.35">
      <c r="A53" s="55" t="s">
        <v>61</v>
      </c>
      <c r="B53" s="55" t="s">
        <v>63</v>
      </c>
      <c r="C53" s="92">
        <v>80</v>
      </c>
      <c r="D53" s="55" t="s">
        <v>62</v>
      </c>
    </row>
    <row r="54" spans="1:6" ht="18.75" x14ac:dyDescent="0.35">
      <c r="A54" s="55" t="s">
        <v>115</v>
      </c>
      <c r="B54" s="55" t="s">
        <v>70</v>
      </c>
      <c r="C54" s="92">
        <v>150</v>
      </c>
      <c r="D54" s="55" t="s">
        <v>71</v>
      </c>
    </row>
    <row r="55" spans="1:6" ht="36" x14ac:dyDescent="0.35">
      <c r="A55" s="57" t="s">
        <v>116</v>
      </c>
      <c r="B55" s="55" t="s">
        <v>64</v>
      </c>
      <c r="C55" s="92">
        <v>25</v>
      </c>
      <c r="D55" s="55" t="s">
        <v>17</v>
      </c>
    </row>
    <row r="56" spans="1:6" ht="18.75" x14ac:dyDescent="0.35">
      <c r="A56" s="55" t="s">
        <v>65</v>
      </c>
      <c r="B56" s="55" t="s">
        <v>66</v>
      </c>
      <c r="C56" s="61">
        <f>C53*((C55/VINMAX)^0.5)</f>
        <v>19.754591932991794</v>
      </c>
      <c r="D56" s="55" t="s">
        <v>62</v>
      </c>
    </row>
    <row r="57" spans="1:6" ht="18.75" x14ac:dyDescent="0.35">
      <c r="A57" s="55" t="s">
        <v>68</v>
      </c>
      <c r="B57" s="55" t="s">
        <v>67</v>
      </c>
      <c r="C57" s="61">
        <f>((iprms^2)*(rdsonqa/1000))+(2*(QAg*0.000000001)*vg*(fs*1000/2))</f>
        <v>0.43246908893838198</v>
      </c>
      <c r="D57" s="55" t="s">
        <v>18</v>
      </c>
    </row>
    <row r="58" spans="1:6" ht="18.75" x14ac:dyDescent="0.35">
      <c r="A58" s="55" t="s">
        <v>57</v>
      </c>
      <c r="B58" s="55" t="s">
        <v>24</v>
      </c>
      <c r="C58" s="61">
        <f>C49-4*C57</f>
        <v>26.165212045770769</v>
      </c>
      <c r="D58" s="55" t="s">
        <v>18</v>
      </c>
      <c r="E58" s="83" t="str">
        <f>IF(C58&lt;0,"PBudget Cannot be Made with Selected Components","")</f>
        <v/>
      </c>
    </row>
    <row r="59" spans="1:6" ht="18.75" x14ac:dyDescent="0.35">
      <c r="A59" s="80" t="s">
        <v>282</v>
      </c>
      <c r="B59" s="59"/>
      <c r="C59" s="100"/>
      <c r="D59" s="59"/>
      <c r="E59" s="80"/>
      <c r="F59" s="80"/>
    </row>
    <row r="60" spans="1:6" ht="18.75" x14ac:dyDescent="0.35">
      <c r="A60" s="55" t="s">
        <v>85</v>
      </c>
      <c r="B60" s="55" t="s">
        <v>73</v>
      </c>
      <c r="C60" s="61">
        <f>(((2*cossqaavg*0.000000000001)*((vin)^2)/((ipp/2)-(dilout/(2*_ta1)))^2)*1000000)-llk</f>
        <v>-0.59758471236229482</v>
      </c>
      <c r="D60" s="55" t="s">
        <v>74</v>
      </c>
      <c r="E60" s="83" t="str">
        <f>IF(C60&lt;0,"Calculated Ls is Negative and Ls Might Not be Needed, However, Leave a Place Holder for Ls Just in Case","")</f>
        <v>Calculated Ls is Negative and Ls Might Not be Needed, However, Leave a Place Holder for Ls Just in Case</v>
      </c>
    </row>
    <row r="61" spans="1:6" ht="18.75" x14ac:dyDescent="0.35">
      <c r="A61" s="55" t="s">
        <v>172</v>
      </c>
      <c r="B61" s="55" t="s">
        <v>73</v>
      </c>
      <c r="C61" s="92">
        <v>2</v>
      </c>
      <c r="D61" s="55" t="s">
        <v>74</v>
      </c>
    </row>
    <row r="62" spans="1:6" ht="18.75" x14ac:dyDescent="0.35">
      <c r="A62" s="55" t="s">
        <v>76</v>
      </c>
      <c r="B62" s="55" t="s">
        <v>75</v>
      </c>
      <c r="C62" s="92">
        <v>2</v>
      </c>
      <c r="D62" s="55" t="s">
        <v>205</v>
      </c>
    </row>
    <row r="63" spans="1:6" ht="18.75" x14ac:dyDescent="0.35">
      <c r="A63" s="55" t="s">
        <v>77</v>
      </c>
      <c r="B63" s="55" t="s">
        <v>78</v>
      </c>
      <c r="C63" s="61">
        <f>2*iprms^2*(C62*0.001)</f>
        <v>3.6234544469190978E-2</v>
      </c>
      <c r="D63" s="55" t="s">
        <v>18</v>
      </c>
    </row>
    <row r="64" spans="1:6" ht="18.75" x14ac:dyDescent="0.35">
      <c r="A64" s="55" t="s">
        <v>57</v>
      </c>
      <c r="B64" s="55" t="s">
        <v>24</v>
      </c>
      <c r="C64" s="61">
        <f>C58-C63</f>
        <v>26.128977501301577</v>
      </c>
      <c r="D64" s="55" t="s">
        <v>18</v>
      </c>
      <c r="E64" s="83" t="str">
        <f>IF(C64&lt;0,"PBudget Cannot be Made with Selected Components","")</f>
        <v/>
      </c>
    </row>
    <row r="65" spans="1:6" ht="18.75" x14ac:dyDescent="0.35">
      <c r="A65" s="80" t="s">
        <v>283</v>
      </c>
      <c r="B65" s="59"/>
      <c r="C65" s="100"/>
      <c r="D65" s="59"/>
      <c r="E65" s="80"/>
      <c r="F65" s="80"/>
    </row>
    <row r="66" spans="1:6" ht="18.75" x14ac:dyDescent="0.35">
      <c r="A66" s="55" t="s">
        <v>86</v>
      </c>
      <c r="B66" s="55" t="s">
        <v>79</v>
      </c>
      <c r="C66" s="61">
        <f>((VOUT*(1-dtyp))/(dilout*fs))*1000</f>
        <v>2.1196795192789182</v>
      </c>
      <c r="D66" s="55" t="s">
        <v>74</v>
      </c>
    </row>
    <row r="67" spans="1:6" ht="18.75" x14ac:dyDescent="0.35">
      <c r="A67" s="55" t="s">
        <v>83</v>
      </c>
      <c r="B67" s="55" t="s">
        <v>84</v>
      </c>
      <c r="C67" s="61">
        <f>((pout/VOUT)^2+(dilout/(3^0.5))^2)^0.5</f>
        <v>50.332229568471668</v>
      </c>
      <c r="D67" s="55" t="s">
        <v>34</v>
      </c>
    </row>
    <row r="68" spans="1:6" ht="18.75" x14ac:dyDescent="0.35">
      <c r="A68" s="55" t="s">
        <v>173</v>
      </c>
      <c r="B68" s="55" t="s">
        <v>79</v>
      </c>
      <c r="C68" s="92">
        <v>2.12</v>
      </c>
      <c r="D68" s="55" t="s">
        <v>74</v>
      </c>
      <c r="E68" s="55" t="str">
        <f>IF(lout&lt;(C66*0.9),"Lout needs to be &gt; or = Lout Calculated","")</f>
        <v/>
      </c>
    </row>
    <row r="69" spans="1:6" ht="18.75" x14ac:dyDescent="0.35">
      <c r="A69" s="55" t="s">
        <v>264</v>
      </c>
      <c r="B69" s="55" t="s">
        <v>80</v>
      </c>
      <c r="C69" s="92">
        <v>0.75</v>
      </c>
      <c r="D69" s="55" t="s">
        <v>205</v>
      </c>
    </row>
    <row r="70" spans="1:6" ht="18.75" x14ac:dyDescent="0.35">
      <c r="A70" s="55" t="s">
        <v>81</v>
      </c>
      <c r="B70" s="55" t="s">
        <v>82</v>
      </c>
      <c r="C70" s="61">
        <f>2*iloutrms^2*dcrlout*0.001</f>
        <v>3.8000000000000003</v>
      </c>
      <c r="D70" s="55" t="s">
        <v>18</v>
      </c>
    </row>
    <row r="71" spans="1:6" ht="18.75" x14ac:dyDescent="0.35">
      <c r="A71" s="55" t="s">
        <v>57</v>
      </c>
      <c r="B71" s="55" t="s">
        <v>24</v>
      </c>
      <c r="C71" s="61">
        <f>C64-C70</f>
        <v>22.328977501301576</v>
      </c>
      <c r="D71" s="55" t="s">
        <v>18</v>
      </c>
      <c r="E71" s="83" t="str">
        <f>IF(C71&lt;0,"PBudget Cannot be Made with Selected Components","")</f>
        <v/>
      </c>
    </row>
    <row r="72" spans="1:6" ht="18.75" x14ac:dyDescent="0.35">
      <c r="A72" s="80" t="s">
        <v>284</v>
      </c>
      <c r="B72" s="59"/>
      <c r="C72" s="100"/>
      <c r="D72" s="59"/>
      <c r="E72" s="80"/>
      <c r="F72" s="80"/>
    </row>
    <row r="73" spans="1:6" ht="18.75" x14ac:dyDescent="0.35">
      <c r="A73" s="55" t="s">
        <v>88</v>
      </c>
      <c r="B73" s="55" t="s">
        <v>87</v>
      </c>
      <c r="C73" s="61">
        <f>((lout*pout*0.9)/VOUT)/VOUT</f>
        <v>7.9499999999999993</v>
      </c>
      <c r="D73" s="55" t="s">
        <v>89</v>
      </c>
    </row>
    <row r="74" spans="1:6" ht="18.75" x14ac:dyDescent="0.35">
      <c r="A74" s="55" t="s">
        <v>206</v>
      </c>
      <c r="B74" s="55" t="s">
        <v>90</v>
      </c>
      <c r="C74" s="61">
        <f>((VTRAN*0.9)/((pout*0.9)/VOUT))*10^3</f>
        <v>12</v>
      </c>
      <c r="D74" s="55" t="s">
        <v>205</v>
      </c>
    </row>
    <row r="75" spans="1:6" ht="18.75" x14ac:dyDescent="0.35">
      <c r="A75" s="55" t="s">
        <v>207</v>
      </c>
      <c r="B75" s="55" t="s">
        <v>91</v>
      </c>
      <c r="C75" s="61">
        <f>(pout*0.9*thu)/(VOUT*VTRAN*0.1)</f>
        <v>5962.5</v>
      </c>
      <c r="D75" s="55" t="s">
        <v>92</v>
      </c>
    </row>
    <row r="76" spans="1:6" ht="18.75" x14ac:dyDescent="0.35">
      <c r="A76" s="55" t="s">
        <v>98</v>
      </c>
      <c r="B76" s="55" t="s">
        <v>97</v>
      </c>
      <c r="C76" s="61">
        <f>dilout/(3^0.5)</f>
        <v>5.7735026918962582</v>
      </c>
      <c r="D76" s="55" t="s">
        <v>34</v>
      </c>
    </row>
    <row r="77" spans="1:6" x14ac:dyDescent="0.25">
      <c r="A77" s="55" t="s">
        <v>175</v>
      </c>
      <c r="B77" s="55" t="s">
        <v>93</v>
      </c>
      <c r="C77" s="92">
        <v>3</v>
      </c>
    </row>
    <row r="78" spans="1:6" x14ac:dyDescent="0.25">
      <c r="A78" s="55" t="s">
        <v>94</v>
      </c>
      <c r="C78" s="92">
        <v>1500</v>
      </c>
      <c r="D78" s="55" t="s">
        <v>92</v>
      </c>
    </row>
    <row r="79" spans="1:6" x14ac:dyDescent="0.25">
      <c r="A79" s="55" t="s">
        <v>95</v>
      </c>
      <c r="C79" s="92">
        <v>31</v>
      </c>
      <c r="D79" s="55" t="s">
        <v>205</v>
      </c>
    </row>
    <row r="80" spans="1:6" ht="18.75" x14ac:dyDescent="0.35">
      <c r="A80" s="55" t="s">
        <v>96</v>
      </c>
      <c r="B80" s="55" t="s">
        <v>91</v>
      </c>
      <c r="C80" s="61">
        <f>C77*C78</f>
        <v>4500</v>
      </c>
      <c r="D80" s="55" t="s">
        <v>92</v>
      </c>
    </row>
    <row r="81" spans="1:7" ht="18.75" x14ac:dyDescent="0.35">
      <c r="A81" s="55" t="s">
        <v>265</v>
      </c>
      <c r="B81" s="55" t="s">
        <v>90</v>
      </c>
      <c r="C81" s="61">
        <f>C79/C77</f>
        <v>10.333333333333334</v>
      </c>
      <c r="D81" s="55" t="s">
        <v>205</v>
      </c>
    </row>
    <row r="82" spans="1:7" ht="18.75" x14ac:dyDescent="0.35">
      <c r="A82" s="55" t="s">
        <v>99</v>
      </c>
      <c r="B82" s="55" t="s">
        <v>100</v>
      </c>
      <c r="C82" s="61">
        <f>(C76^2)*C81*0.001</f>
        <v>0.34444444444444455</v>
      </c>
      <c r="D82" s="55" t="s">
        <v>18</v>
      </c>
    </row>
    <row r="83" spans="1:7" ht="18.75" x14ac:dyDescent="0.35">
      <c r="A83" s="55" t="s">
        <v>57</v>
      </c>
      <c r="B83" s="55" t="s">
        <v>24</v>
      </c>
      <c r="C83" s="61">
        <f>C71-C82</f>
        <v>21.984533056857131</v>
      </c>
      <c r="D83" s="55" t="s">
        <v>18</v>
      </c>
      <c r="E83" s="83" t="str">
        <f>IF(C83&lt;0,"PBudget Cannot be Made with Selected Components","")</f>
        <v/>
      </c>
    </row>
    <row r="84" spans="1:7" x14ac:dyDescent="0.25">
      <c r="A84" s="80" t="s">
        <v>109</v>
      </c>
      <c r="B84" s="59"/>
      <c r="C84" s="100"/>
      <c r="D84" s="59"/>
      <c r="E84" s="80"/>
      <c r="F84" s="80"/>
    </row>
    <row r="85" spans="1:7" ht="18.75" x14ac:dyDescent="0.35">
      <c r="A85" s="55" t="s">
        <v>135</v>
      </c>
      <c r="B85" s="55" t="s">
        <v>117</v>
      </c>
      <c r="C85" s="93">
        <f>2*VINMAX/_taa1</f>
        <v>39.047619047619051</v>
      </c>
      <c r="D85" s="55" t="s">
        <v>17</v>
      </c>
      <c r="E85" s="105" t="s">
        <v>336</v>
      </c>
    </row>
    <row r="86" spans="1:7" ht="18.75" x14ac:dyDescent="0.35">
      <c r="A86" s="55" t="s">
        <v>112</v>
      </c>
      <c r="B86" s="55" t="s">
        <v>110</v>
      </c>
      <c r="C86" s="92">
        <v>152</v>
      </c>
      <c r="D86" s="55" t="s">
        <v>71</v>
      </c>
    </row>
    <row r="87" spans="1:7" ht="18.75" x14ac:dyDescent="0.35">
      <c r="A87" s="55" t="s">
        <v>266</v>
      </c>
      <c r="B87" s="55" t="s">
        <v>111</v>
      </c>
      <c r="C87" s="92">
        <v>4</v>
      </c>
      <c r="D87" s="55" t="s">
        <v>205</v>
      </c>
    </row>
    <row r="88" spans="1:7" ht="18.75" x14ac:dyDescent="0.35">
      <c r="A88" s="55" t="s">
        <v>119</v>
      </c>
      <c r="B88" s="55" t="s">
        <v>118</v>
      </c>
      <c r="C88" s="92">
        <v>25</v>
      </c>
      <c r="D88" s="55" t="s">
        <v>17</v>
      </c>
    </row>
    <row r="89" spans="1:7" ht="18.75" x14ac:dyDescent="0.35">
      <c r="A89" s="55" t="s">
        <v>121</v>
      </c>
      <c r="B89" s="55" t="s">
        <v>120</v>
      </c>
      <c r="C89" s="92">
        <v>400</v>
      </c>
      <c r="D89" s="55" t="s">
        <v>62</v>
      </c>
    </row>
    <row r="90" spans="1:7" ht="18.75" x14ac:dyDescent="0.35">
      <c r="A90" s="55" t="s">
        <v>123</v>
      </c>
      <c r="B90" s="55" t="s">
        <v>122</v>
      </c>
      <c r="C90" s="61">
        <f>C89*((C85/C88)^0.5)</f>
        <v>499.90475283273906</v>
      </c>
      <c r="D90" s="55" t="s">
        <v>62</v>
      </c>
    </row>
    <row r="91" spans="1:7" ht="18.75" x14ac:dyDescent="0.35">
      <c r="A91" s="55" t="s">
        <v>124</v>
      </c>
      <c r="B91" s="55" t="s">
        <v>125</v>
      </c>
      <c r="C91" s="61">
        <f>isrms</f>
        <v>36.028923566120227</v>
      </c>
      <c r="D91" s="55" t="s">
        <v>34</v>
      </c>
    </row>
    <row r="92" spans="1:7" ht="18.75" x14ac:dyDescent="0.35">
      <c r="A92" s="55" t="s">
        <v>128</v>
      </c>
      <c r="B92" s="55" t="s">
        <v>126</v>
      </c>
      <c r="C92" s="92">
        <v>50</v>
      </c>
      <c r="D92" s="55" t="s">
        <v>71</v>
      </c>
    </row>
    <row r="93" spans="1:7" ht="18.75" x14ac:dyDescent="0.35">
      <c r="A93" s="55" t="s">
        <v>267</v>
      </c>
      <c r="B93" s="55" t="s">
        <v>127</v>
      </c>
      <c r="C93" s="92">
        <v>30</v>
      </c>
      <c r="D93" s="55" t="s">
        <v>71</v>
      </c>
    </row>
    <row r="94" spans="1:7" ht="18.75" x14ac:dyDescent="0.35">
      <c r="A94" s="55" t="s">
        <v>129</v>
      </c>
      <c r="B94" s="55" t="s">
        <v>130</v>
      </c>
      <c r="C94" s="92">
        <v>8</v>
      </c>
      <c r="D94" s="55" t="s">
        <v>34</v>
      </c>
    </row>
    <row r="95" spans="1:7" ht="18.75" x14ac:dyDescent="0.35">
      <c r="A95" s="55" t="s">
        <v>268</v>
      </c>
      <c r="B95" s="55" t="s">
        <v>131</v>
      </c>
      <c r="C95" s="61">
        <f>(C92-C93)/(C94/2)</f>
        <v>5</v>
      </c>
      <c r="D95" s="55" t="s">
        <v>132</v>
      </c>
    </row>
    <row r="96" spans="1:7" ht="18.75" x14ac:dyDescent="0.35">
      <c r="A96" s="55" t="s">
        <v>133</v>
      </c>
      <c r="B96" s="55" t="s">
        <v>134</v>
      </c>
      <c r="C96" s="61">
        <f>((isrms^2)*(rdsonqe*0.001))+(pout/VOUT)*vdsqe*(2*tr*0.000000001)*((fs*1000)/2)+(2*(cossqeavg*0.000000000001)*(vdsqe^2)*((fs*1000)/2))+(2*(qeg*0.000000001)*vg*((fs*1000)/2))</f>
        <v>7.6619568960565694</v>
      </c>
      <c r="D96" s="55" t="s">
        <v>18</v>
      </c>
      <c r="G96" s="55">
        <v>7.66</v>
      </c>
    </row>
    <row r="97" spans="1:6" ht="18.75" x14ac:dyDescent="0.35">
      <c r="A97" s="57" t="s">
        <v>57</v>
      </c>
      <c r="B97" s="55" t="s">
        <v>24</v>
      </c>
      <c r="C97" s="61">
        <f>C83-2*C96</f>
        <v>6.6606192647439926</v>
      </c>
      <c r="D97" s="55" t="s">
        <v>18</v>
      </c>
      <c r="E97" s="83" t="str">
        <f>IF(C97&lt;0,"PBudget Cannot be Made with Selected Components","")</f>
        <v/>
      </c>
    </row>
    <row r="98" spans="1:6" ht="18.75" x14ac:dyDescent="0.35">
      <c r="A98" s="80" t="s">
        <v>285</v>
      </c>
      <c r="B98" s="59"/>
      <c r="C98" s="100"/>
      <c r="D98" s="59"/>
      <c r="E98" s="80"/>
      <c r="F98" s="80"/>
    </row>
    <row r="99" spans="1:6" hidden="1" x14ac:dyDescent="0.25">
      <c r="A99" s="57" t="s">
        <v>166</v>
      </c>
      <c r="B99" s="55" t="s">
        <v>165</v>
      </c>
      <c r="C99" s="61">
        <f>1/(2*PI()*(ls*0.000001*2*cossqaavg*0.000000000001)^0.5)</f>
        <v>17904248.810284436</v>
      </c>
      <c r="D99" s="55" t="s">
        <v>19</v>
      </c>
    </row>
    <row r="100" spans="1:6" ht="18.75" x14ac:dyDescent="0.35">
      <c r="A100" s="57" t="s">
        <v>167</v>
      </c>
      <c r="B100" s="55" t="s">
        <v>164</v>
      </c>
      <c r="C100" s="61">
        <f>2.2*1000000000/(C99*4)</f>
        <v>30.718965415855525</v>
      </c>
      <c r="D100" s="55" t="s">
        <v>132</v>
      </c>
    </row>
    <row r="101" spans="1:6" hidden="1" x14ac:dyDescent="0.25">
      <c r="A101" s="57" t="s">
        <v>170</v>
      </c>
      <c r="B101" s="55" t="s">
        <v>171</v>
      </c>
      <c r="C101" s="61">
        <f>1/(fs*1000)</f>
        <v>5.0000000000000004E-6</v>
      </c>
      <c r="E101" s="55" t="s">
        <v>19</v>
      </c>
    </row>
    <row r="102" spans="1:6" ht="18.75" x14ac:dyDescent="0.35">
      <c r="A102" s="57" t="s">
        <v>169</v>
      </c>
      <c r="B102" s="55" t="s">
        <v>168</v>
      </c>
      <c r="C102" s="61">
        <f>(C101-C100*0.000000001)/C101</f>
        <v>0.99385620691682885</v>
      </c>
    </row>
    <row r="103" spans="1:6" ht="18.75" x14ac:dyDescent="0.35">
      <c r="A103" s="55" t="s">
        <v>102</v>
      </c>
      <c r="B103" s="55" t="s">
        <v>101</v>
      </c>
      <c r="C103" s="61">
        <f>((2*dclamp*vrdson)+(_taa1*(VOUT+vrdson)))/dclamp</f>
        <v>260.49675186645578</v>
      </c>
      <c r="D103" s="55" t="s">
        <v>17</v>
      </c>
    </row>
    <row r="104" spans="1:6" ht="18.75" x14ac:dyDescent="0.35">
      <c r="A104" s="55" t="s">
        <v>104</v>
      </c>
      <c r="B104" s="55" t="s">
        <v>103</v>
      </c>
      <c r="C104" s="61">
        <f>((2*pout*(1/60))/(vin^2-C103^2))*1000000</f>
        <v>217.0575965377223</v>
      </c>
      <c r="D104" s="55" t="s">
        <v>92</v>
      </c>
      <c r="E104" s="83" t="str">
        <f>IF(VINMIN&lt;200,"Non-PFC Cin Capacitance Cannot Be Calculated, Use Other Method","")</f>
        <v/>
      </c>
    </row>
    <row r="105" spans="1:6" ht="18.75" x14ac:dyDescent="0.35">
      <c r="A105" s="55" t="s">
        <v>105</v>
      </c>
      <c r="B105" s="55" t="s">
        <v>106</v>
      </c>
      <c r="C105" s="61">
        <f>(    (iprms1^2)    -(        ( pout/(VINMIN*Eff)       )   ^2)           )^0.5</f>
        <v>1.7726698119376902</v>
      </c>
      <c r="D105" s="55" t="s">
        <v>34</v>
      </c>
    </row>
    <row r="106" spans="1:6" ht="18.75" x14ac:dyDescent="0.35">
      <c r="A106" s="55" t="s">
        <v>176</v>
      </c>
      <c r="B106" s="55" t="s">
        <v>103</v>
      </c>
      <c r="C106" s="92">
        <v>330</v>
      </c>
      <c r="D106" s="55" t="s">
        <v>92</v>
      </c>
    </row>
    <row r="107" spans="1:6" ht="18.75" x14ac:dyDescent="0.35">
      <c r="A107" s="55" t="s">
        <v>269</v>
      </c>
      <c r="B107" s="55" t="s">
        <v>107</v>
      </c>
      <c r="C107" s="92">
        <v>10</v>
      </c>
      <c r="D107" s="55" t="s">
        <v>205</v>
      </c>
    </row>
    <row r="108" spans="1:6" ht="18.75" x14ac:dyDescent="0.35">
      <c r="A108" s="55" t="s">
        <v>270</v>
      </c>
      <c r="B108" s="55" t="s">
        <v>108</v>
      </c>
      <c r="C108" s="61">
        <f>(C105^2)*(C107*0.001)</f>
        <v>3.1423582621552065E-2</v>
      </c>
      <c r="D108" s="55" t="s">
        <v>18</v>
      </c>
    </row>
    <row r="109" spans="1:6" ht="54.75" customHeight="1" x14ac:dyDescent="0.35">
      <c r="A109" s="57" t="s">
        <v>286</v>
      </c>
      <c r="B109" s="55" t="s">
        <v>24</v>
      </c>
      <c r="C109" s="61">
        <f>C97-C108</f>
        <v>6.6291956821224405</v>
      </c>
      <c r="D109" s="55" t="s">
        <v>18</v>
      </c>
      <c r="E109" s="83" t="str">
        <f>IF(C109&lt;0,"PBudget Cannot be Made with Selected Components","")</f>
        <v/>
      </c>
    </row>
    <row r="110" spans="1:6" ht="18.75" x14ac:dyDescent="0.35">
      <c r="A110" s="80" t="s">
        <v>293</v>
      </c>
      <c r="B110" s="80"/>
      <c r="C110" s="99" t="s">
        <v>19</v>
      </c>
      <c r="D110" s="80" t="s">
        <v>19</v>
      </c>
      <c r="E110" s="80" t="s">
        <v>19</v>
      </c>
      <c r="F110" s="80"/>
    </row>
    <row r="111" spans="1:6" ht="18.75" x14ac:dyDescent="0.35">
      <c r="A111" s="55" t="s">
        <v>137</v>
      </c>
      <c r="B111" s="55" t="s">
        <v>136</v>
      </c>
      <c r="C111" s="92">
        <v>100</v>
      </c>
    </row>
    <row r="112" spans="1:6" ht="18.75" x14ac:dyDescent="0.35">
      <c r="A112" s="55" t="s">
        <v>158</v>
      </c>
      <c r="B112" s="55" t="s">
        <v>157</v>
      </c>
      <c r="C112" s="93">
        <f>((pout/(VOUT)+(dilout/2))/(Eff*_taa1))+((VINMIN*dmax)/(lmag2*fs))</f>
        <v>3.2195542046605881</v>
      </c>
      <c r="D112" s="55" t="s">
        <v>34</v>
      </c>
      <c r="E112" s="55" t="s">
        <v>19</v>
      </c>
    </row>
    <row r="113" spans="1:6" ht="18.75" x14ac:dyDescent="0.35">
      <c r="A113" s="55" t="s">
        <v>155</v>
      </c>
      <c r="B113" s="55" t="s">
        <v>154</v>
      </c>
      <c r="C113" s="61">
        <f>(2-0.2)/((_ipp1/_ta2)*1.1)</f>
        <v>50.825783084964243</v>
      </c>
      <c r="D113" s="55" t="s">
        <v>156</v>
      </c>
    </row>
    <row r="114" spans="1:6" ht="18.75" x14ac:dyDescent="0.35">
      <c r="A114" s="55" t="s">
        <v>295</v>
      </c>
      <c r="B114" s="55" t="s">
        <v>154</v>
      </c>
      <c r="C114" s="61">
        <f>(IF((10^(LOG(C113)-INT(LOG(C113)))*100)-VLOOKUP((10^(LOG(C113)-INT(LOG(C113)))*100),E48_s:E48_f,1)&lt;VLOOKUP((10^(LOG(C113)-INT(LOG(C113)))*100),E48_s:E48_f,2)-(10^(LOG(C113)-INT(LOG(C113)))*100),VLOOKUP((10^(LOG(C113)-INT(LOG(C113)))*100),E48_s:E48_f,1),VLOOKUP((10^(LOG(C113)-INT(LOG(C113)))*100),E48_s:E48_f,2)))*10^INT(LOG(C113))/100</f>
        <v>51.1</v>
      </c>
      <c r="D114" s="55" t="s">
        <v>156</v>
      </c>
    </row>
    <row r="115" spans="1:6" ht="18.75" x14ac:dyDescent="0.35">
      <c r="A115" s="55" t="s">
        <v>159</v>
      </c>
      <c r="B115" s="55" t="s">
        <v>154</v>
      </c>
      <c r="C115" s="92">
        <v>48.7</v>
      </c>
      <c r="D115" s="55" t="s">
        <v>156</v>
      </c>
      <c r="E115" s="55" t="s">
        <v>19</v>
      </c>
    </row>
    <row r="116" spans="1:6" ht="18.75" x14ac:dyDescent="0.35">
      <c r="A116" s="55" t="s">
        <v>160</v>
      </c>
      <c r="B116" s="55" t="s">
        <v>161</v>
      </c>
      <c r="C116" s="61">
        <f>((iprms1/_ta2)^2)*C115</f>
        <v>2.8348358547169952E-2</v>
      </c>
      <c r="D116" s="55" t="s">
        <v>18</v>
      </c>
    </row>
    <row r="117" spans="1:6" ht="18.75" x14ac:dyDescent="0.35">
      <c r="A117" s="55" t="s">
        <v>163</v>
      </c>
      <c r="B117" s="55" t="s">
        <v>162</v>
      </c>
      <c r="C117" s="61">
        <f>(2*(dclamp))/(1-dclamp)</f>
        <v>323.53179655062399</v>
      </c>
      <c r="D117" s="55" t="s">
        <v>17</v>
      </c>
    </row>
    <row r="118" spans="1:6" ht="18.75" x14ac:dyDescent="0.35">
      <c r="A118" s="55" t="s">
        <v>177</v>
      </c>
      <c r="B118" s="55" t="s">
        <v>178</v>
      </c>
      <c r="C118" s="61">
        <f>(pout*0.6)/(VINMIN*Eff*_ta2)</f>
        <v>9.8199672667757774E-3</v>
      </c>
      <c r="D118" s="55" t="s">
        <v>18</v>
      </c>
    </row>
    <row r="119" spans="1:6" ht="18.75" x14ac:dyDescent="0.35">
      <c r="A119" s="80" t="s">
        <v>287</v>
      </c>
      <c r="B119" s="59"/>
      <c r="C119" s="100"/>
      <c r="D119" s="59"/>
      <c r="E119" s="80" t="s">
        <v>19</v>
      </c>
      <c r="F119" s="80"/>
    </row>
    <row r="120" spans="1:6" x14ac:dyDescent="0.25">
      <c r="A120" s="55" t="s">
        <v>271</v>
      </c>
      <c r="B120" s="55" t="s">
        <v>179</v>
      </c>
      <c r="C120" s="92">
        <v>2.5</v>
      </c>
      <c r="D120" s="55" t="s">
        <v>17</v>
      </c>
      <c r="E120" s="83" t="str">
        <f>IF(_va1&gt;VOUT,"V1 Needs to be &lt; VOUT",IF(_va1=VOUT,"V1 Needs to be &lt; VOUT",""))</f>
        <v/>
      </c>
      <c r="F120" s="83"/>
    </row>
    <row r="121" spans="1:6" ht="18.75" x14ac:dyDescent="0.35">
      <c r="A121" s="55" t="s">
        <v>181</v>
      </c>
      <c r="B121" s="55" t="s">
        <v>180</v>
      </c>
      <c r="C121" s="92">
        <v>2.37</v>
      </c>
      <c r="D121" s="55" t="s">
        <v>208</v>
      </c>
      <c r="E121" s="83" t="str">
        <f>IF(_va1&lt;0.5,"V1 Needs to be Greater than 0.5","")</f>
        <v/>
      </c>
    </row>
    <row r="122" spans="1:6" ht="18.75" x14ac:dyDescent="0.35">
      <c r="A122" s="55" t="s">
        <v>183</v>
      </c>
      <c r="B122" s="55" t="s">
        <v>182</v>
      </c>
      <c r="C122" s="61">
        <f>C121*(5-C120)/C120</f>
        <v>2.37</v>
      </c>
      <c r="D122" s="55" t="s">
        <v>208</v>
      </c>
    </row>
    <row r="123" spans="1:6" ht="18.75" x14ac:dyDescent="0.35">
      <c r="A123" s="55" t="s">
        <v>295</v>
      </c>
      <c r="B123" s="55" t="s">
        <v>182</v>
      </c>
      <c r="C123" s="61">
        <f>(IF((10^(LOG(C122)-INT(LOG(C122)))*100)-VLOOKUP((10^(LOG(C122)-INT(LOG(C122)))*100),E48_s:E48_f,1)&lt;VLOOKUP((10^(LOG(C122)-INT(LOG(C122)))*100),E48_s:E48_f,2)-(10^(LOG(C122)-INT(LOG(C122)))*100),VLOOKUP((10^(LOG(C122)-INT(LOG(C122)))*100),E48_s:E48_f,1),VLOOKUP((10^(LOG(C122)-INT(LOG(C122)))*100),E48_s:E48_f,2)))*10^INT(LOG(C122))/100</f>
        <v>2.37</v>
      </c>
      <c r="D123" s="55" t="s">
        <v>208</v>
      </c>
    </row>
    <row r="124" spans="1:6" ht="18.75" x14ac:dyDescent="0.35">
      <c r="A124" s="55" t="s">
        <v>323</v>
      </c>
      <c r="B124" s="55" t="s">
        <v>182</v>
      </c>
      <c r="C124" s="92">
        <v>2.37</v>
      </c>
      <c r="D124" s="55" t="s">
        <v>208</v>
      </c>
    </row>
    <row r="125" spans="1:6" ht="18.75" x14ac:dyDescent="0.35">
      <c r="A125" s="55" t="s">
        <v>181</v>
      </c>
      <c r="B125" s="55" t="s">
        <v>184</v>
      </c>
      <c r="C125" s="92">
        <v>2.37</v>
      </c>
      <c r="D125" s="55" t="s">
        <v>208</v>
      </c>
    </row>
    <row r="126" spans="1:6" ht="18.75" x14ac:dyDescent="0.35">
      <c r="A126" s="55" t="s">
        <v>183</v>
      </c>
      <c r="B126" s="55" t="s">
        <v>185</v>
      </c>
      <c r="C126" s="61">
        <f>C125*(VOUT-_va1)/_va1</f>
        <v>9.0060000000000002</v>
      </c>
      <c r="D126" s="55" t="s">
        <v>208</v>
      </c>
    </row>
    <row r="127" spans="1:6" ht="18.75" x14ac:dyDescent="0.35">
      <c r="A127" s="55" t="s">
        <v>295</v>
      </c>
      <c r="B127" s="55" t="s">
        <v>185</v>
      </c>
      <c r="C127" s="61">
        <f>(IF((10^(LOG(C126)-INT(LOG(C126)))*100)-VLOOKUP((10^(LOG(C126)-INT(LOG(C126)))*100),E48_s:E48_f,1)&lt;VLOOKUP((10^(LOG(C126)-INT(LOG(C126)))*100),E48_s:E48_f,2)-(10^(LOG(C126)-INT(LOG(C126)))*100),VLOOKUP((10^(LOG(C126)-INT(LOG(C126)))*100),E48_s:E48_f,1),VLOOKUP((10^(LOG(C126)-INT(LOG(C126)))*100),E48_s:E48_f,2)))*10^INT(LOG(C126))/100</f>
        <v>9.09</v>
      </c>
      <c r="D127" s="55" t="s">
        <v>208</v>
      </c>
    </row>
    <row r="128" spans="1:6" ht="18.75" x14ac:dyDescent="0.35">
      <c r="A128" s="55" t="s">
        <v>323</v>
      </c>
      <c r="B128" s="55" t="s">
        <v>185</v>
      </c>
      <c r="C128" s="92">
        <v>9.09</v>
      </c>
      <c r="D128" s="55" t="s">
        <v>208</v>
      </c>
    </row>
    <row r="129" spans="1:5" ht="18.75" x14ac:dyDescent="0.35">
      <c r="A129" s="55" t="s">
        <v>280</v>
      </c>
      <c r="B129" s="55" t="s">
        <v>281</v>
      </c>
      <c r="C129" s="61">
        <f>fs/4</f>
        <v>50</v>
      </c>
      <c r="D129" s="55" t="s">
        <v>20</v>
      </c>
    </row>
    <row r="130" spans="1:5" ht="18.75" x14ac:dyDescent="0.35">
      <c r="A130" s="55" t="s">
        <v>187</v>
      </c>
      <c r="B130" s="55" t="s">
        <v>186</v>
      </c>
      <c r="C130" s="61">
        <f>fs/40</f>
        <v>5</v>
      </c>
      <c r="D130" s="55" t="s">
        <v>20</v>
      </c>
    </row>
    <row r="131" spans="1:5" ht="18.75" x14ac:dyDescent="0.35">
      <c r="A131" s="55" t="s">
        <v>272</v>
      </c>
      <c r="B131" s="55" t="s">
        <v>188</v>
      </c>
      <c r="C131" s="61">
        <f>(VOUT^2)/(pout*0.1)</f>
        <v>2.4</v>
      </c>
      <c r="D131" s="55" t="s">
        <v>156</v>
      </c>
    </row>
    <row r="132" spans="1:5" hidden="1" x14ac:dyDescent="0.25">
      <c r="A132" s="54" t="s">
        <v>189</v>
      </c>
      <c r="B132" s="54" t="s">
        <v>190</v>
      </c>
      <c r="C132" s="101">
        <f>_ta1*_ta2*(rload/RS)</f>
        <v>102.97150297991685</v>
      </c>
      <c r="D132" s="55" t="s">
        <v>19</v>
      </c>
    </row>
    <row r="133" spans="1:5" hidden="1" x14ac:dyDescent="0.25">
      <c r="A133" s="75" t="s">
        <v>197</v>
      </c>
      <c r="B133" s="54"/>
      <c r="C133" s="101" t="str">
        <f>(COMPLEX(1,2*PI()*fc*1000*esrcout*0.001*cout*0.000001))</f>
        <v>1+1.46084058391925i</v>
      </c>
    </row>
    <row r="134" spans="1:5" hidden="1" x14ac:dyDescent="0.25">
      <c r="A134" s="54" t="s">
        <v>191</v>
      </c>
      <c r="B134" s="54" t="s">
        <v>192</v>
      </c>
      <c r="C134" s="101" t="str">
        <f>IMDIV((COMPLEX(1,2*PI()*fc*1000*esrcout*0.001*cout*0.000001)),(COMPLEX(1,2*PI()*fc*1000*rload*cout*0.000001)))</f>
        <v>0.00431420473793824-0.00293459844596929i</v>
      </c>
    </row>
    <row r="135" spans="1:5" hidden="1" x14ac:dyDescent="0.25">
      <c r="A135" s="54" t="s">
        <v>193</v>
      </c>
      <c r="B135" s="54" t="s">
        <v>193</v>
      </c>
      <c r="C135" s="101" t="str">
        <f>IMDIV(1,(COMPLEX((1-(fc/fpp)^2),(fc/fpp))))</f>
        <v>0.999899000101-0.100999899000101i</v>
      </c>
    </row>
    <row r="136" spans="1:5" hidden="1" x14ac:dyDescent="0.25">
      <c r="A136" s="54" t="s">
        <v>194</v>
      </c>
      <c r="C136" s="101" t="str">
        <f>IMPRODUCT(n1divd1,d2a)</f>
        <v>0.00401737485704669-0.00337003629462016i</v>
      </c>
      <c r="E136" s="54"/>
    </row>
    <row r="137" spans="1:5" hidden="1" x14ac:dyDescent="0.25">
      <c r="A137" s="54" t="s">
        <v>195</v>
      </c>
      <c r="C137" s="101" t="str">
        <f>IMPRODUCT(constant,C136)</f>
        <v>0.413675127063826-0.347017702353908i</v>
      </c>
    </row>
    <row r="138" spans="1:5" hidden="1" x14ac:dyDescent="0.25">
      <c r="A138" s="54" t="s">
        <v>196</v>
      </c>
      <c r="B138" s="54" t="s">
        <v>198</v>
      </c>
      <c r="C138" s="101">
        <f>IMABS(C137)</f>
        <v>0.53995221686576866</v>
      </c>
    </row>
    <row r="139" spans="1:5" ht="18.75" x14ac:dyDescent="0.35">
      <c r="A139" s="55" t="s">
        <v>200</v>
      </c>
      <c r="B139" s="55" t="s">
        <v>199</v>
      </c>
      <c r="C139" s="61">
        <f>RII/C138</f>
        <v>16.834823001124487</v>
      </c>
      <c r="D139" s="55" t="s">
        <v>208</v>
      </c>
    </row>
    <row r="140" spans="1:5" ht="18.75" x14ac:dyDescent="0.35">
      <c r="A140" s="55" t="s">
        <v>295</v>
      </c>
      <c r="B140" s="55" t="s">
        <v>199</v>
      </c>
      <c r="C140" s="61">
        <f>(IF((10^(LOG(C139)-INT(LOG(C139)))*100)-VLOOKUP((10^(LOG(C139)-INT(LOG(C139)))*100),E48_s:E48_f,1)&lt;VLOOKUP((10^(LOG(C139)-INT(LOG(C139)))*100),E48_s:E48_f,2)-(10^(LOG(C139)-INT(LOG(C139)))*100),VLOOKUP((10^(LOG(C139)-INT(LOG(C139)))*100),E48_s:E48_f,1),VLOOKUP((10^(LOG(C139)-INT(LOG(C139)))*100),E48_s:E48_f,2)))*10^INT(LOG(C139))/100</f>
        <v>16.899999999999999</v>
      </c>
      <c r="D140" s="55" t="s">
        <v>208</v>
      </c>
    </row>
    <row r="141" spans="1:5" ht="18.75" x14ac:dyDescent="0.35">
      <c r="A141" s="55" t="s">
        <v>323</v>
      </c>
      <c r="B141" s="55" t="s">
        <v>199</v>
      </c>
      <c r="C141" s="92">
        <v>27.4</v>
      </c>
      <c r="D141" s="55" t="s">
        <v>208</v>
      </c>
    </row>
    <row r="142" spans="1:5" ht="18.75" x14ac:dyDescent="0.35">
      <c r="A142" s="55" t="s">
        <v>204</v>
      </c>
      <c r="B142" s="55" t="s">
        <v>201</v>
      </c>
      <c r="C142" s="61">
        <f>(1/(2*PI()*C141*(fc/5)))*10^3</f>
        <v>5.8085745653976408</v>
      </c>
      <c r="D142" s="55" t="s">
        <v>202</v>
      </c>
      <c r="E142" s="60"/>
    </row>
    <row r="143" spans="1:5" ht="18" customHeight="1" x14ac:dyDescent="0.25">
      <c r="A143" s="55" t="s">
        <v>294</v>
      </c>
      <c r="B143" s="55" t="s">
        <v>210</v>
      </c>
      <c r="C143" s="102">
        <f>IF(C142&lt;10000,C144*10^INT(LOG(C142)),C145*10^INT(LOG(C142)))</f>
        <v>5.6</v>
      </c>
      <c r="D143" s="55" t="s">
        <v>202</v>
      </c>
    </row>
    <row r="144" spans="1:5" ht="18" hidden="1" customHeight="1" x14ac:dyDescent="0.25">
      <c r="A144" s="54" t="s">
        <v>211</v>
      </c>
      <c r="C144" s="103">
        <f>IF((10^(LOG(C142)-INT(LOG(C142))))-VLOOKUP((10^(LOG(C142)-INT(LOG(C142)))),c_s1:C_f1,1)&lt;VLOOKUP((10^(LOG(C142)-INT(LOG(C142)))),c_s1:C_f1,2)-(10^(LOG(C142)-INT(LOG(C142)))),VLOOKUP((10^(LOG(C142)-INT(LOG(C142)))),c_s1:C_f1,1),VLOOKUP((10^(LOG(C142)-INT(LOG(C142)))),c_s1:C_f1,2))</f>
        <v>5.6</v>
      </c>
    </row>
    <row r="145" spans="1:5" ht="18" hidden="1" customHeight="1" x14ac:dyDescent="0.25">
      <c r="A145" s="54" t="s">
        <v>212</v>
      </c>
      <c r="C145" s="103">
        <f>IF((10^(LOG(C142)-INT(LOG(C142))))-VLOOKUP((10^(LOG(C142)-INT(LOG(C142)))),C_s2:C_f2,1)&lt;VLOOKUP((10^(LOG(C142)-INT(LOG(C142)))),C_s2:C_f2,2)-(10^(LOG(C142)-INT(LOG(C142)))),VLOOKUP((10^(LOG(C142)-INT(LOG(C142)))),C_s2:C_f2,1),VLOOKUP((10^(LOG(C142)-INT(LOG(C142)))),C_s2:C_f2,2))</f>
        <v>6.8</v>
      </c>
    </row>
    <row r="146" spans="1:5" ht="18.75" x14ac:dyDescent="0.35">
      <c r="A146" s="55" t="s">
        <v>325</v>
      </c>
      <c r="B146" s="55" t="s">
        <v>201</v>
      </c>
      <c r="C146" s="92">
        <v>5.6</v>
      </c>
      <c r="D146" s="55" t="s">
        <v>202</v>
      </c>
    </row>
    <row r="147" spans="1:5" ht="18.75" x14ac:dyDescent="0.35">
      <c r="A147" s="64" t="s">
        <v>203</v>
      </c>
      <c r="B147" s="64" t="s">
        <v>209</v>
      </c>
      <c r="C147" s="93">
        <f>1000000/(2*PI()*rf*fc*2)</f>
        <v>580.85745653976403</v>
      </c>
      <c r="D147" s="55" t="s">
        <v>62</v>
      </c>
      <c r="E147" s="65" t="s">
        <v>19</v>
      </c>
    </row>
    <row r="148" spans="1:5" ht="18.75" x14ac:dyDescent="0.35">
      <c r="A148" s="55" t="s">
        <v>294</v>
      </c>
      <c r="B148" s="64" t="s">
        <v>209</v>
      </c>
      <c r="C148" s="102">
        <f>IF(C147&lt;10000,C149*10^INT(LOG(C147)),C150*10^INT(LOG(C147)))</f>
        <v>560</v>
      </c>
      <c r="D148" s="55" t="s">
        <v>62</v>
      </c>
      <c r="E148" s="63"/>
    </row>
    <row r="149" spans="1:5" hidden="1" x14ac:dyDescent="0.25">
      <c r="A149" s="54" t="s">
        <v>211</v>
      </c>
      <c r="B149" s="66"/>
      <c r="C149" s="103">
        <f>IF((10^(LOG(C147)-INT(LOG(C147))))-VLOOKUP((10^(LOG(C147)-INT(LOG(C147)))),c_s1:C_f1,1)&lt;VLOOKUP((10^(LOG(C147)-INT(LOG(C147)))),c_s1:C_f1,2)-(10^(LOG(C147)-INT(LOG(C147)))),VLOOKUP((10^(LOG(C147)-INT(LOG(C147)))),c_s1:C_f1,1),VLOOKUP((10^(LOG(C147)-INT(LOG(C147)))),c_s1:C_f1,2))</f>
        <v>5.6</v>
      </c>
    </row>
    <row r="150" spans="1:5" hidden="1" x14ac:dyDescent="0.25">
      <c r="A150" s="54" t="s">
        <v>212</v>
      </c>
      <c r="B150" s="66"/>
      <c r="C150" s="103">
        <f>IF((10^(LOG(C147)-INT(LOG(C147))))-VLOOKUP((10^(LOG(C147)-INT(LOG(C147)))),C_s2:C_f2,1)&lt;VLOOKUP((10^(LOG(C147)-INT(LOG(C147)))),C_s2:C_f2,2)-(10^(LOG(C147)-INT(LOG(C147)))),VLOOKUP((10^(LOG(C147)-INT(LOG(C147)))),C_s2:C_f2,1),VLOOKUP((10^(LOG(C147)-INT(LOG(C147)))),C_s2:C_f2,2))</f>
        <v>6.8</v>
      </c>
    </row>
    <row r="151" spans="1:5" ht="18.75" x14ac:dyDescent="0.35">
      <c r="A151" s="55" t="s">
        <v>325</v>
      </c>
      <c r="B151" s="55" t="s">
        <v>209</v>
      </c>
      <c r="C151" s="92">
        <v>560</v>
      </c>
      <c r="D151" s="55" t="s">
        <v>62</v>
      </c>
    </row>
    <row r="152" spans="1:5" x14ac:dyDescent="0.25">
      <c r="C152" s="92"/>
    </row>
    <row r="153" spans="1:5" x14ac:dyDescent="0.25">
      <c r="C153" s="92"/>
    </row>
    <row r="154" spans="1:5" x14ac:dyDescent="0.25">
      <c r="C154" s="92"/>
    </row>
    <row r="155" spans="1:5" x14ac:dyDescent="0.25">
      <c r="C155" s="92"/>
    </row>
    <row r="156" spans="1:5" x14ac:dyDescent="0.25">
      <c r="C156" s="92"/>
    </row>
    <row r="157" spans="1:5" x14ac:dyDescent="0.25">
      <c r="C157" s="92"/>
    </row>
    <row r="158" spans="1:5" x14ac:dyDescent="0.25">
      <c r="C158" s="92"/>
    </row>
    <row r="159" spans="1:5" x14ac:dyDescent="0.25">
      <c r="C159" s="92"/>
    </row>
    <row r="160" spans="1:5" x14ac:dyDescent="0.25">
      <c r="C160" s="92"/>
    </row>
    <row r="161" spans="1:6" x14ac:dyDescent="0.25">
      <c r="C161" s="92"/>
    </row>
    <row r="162" spans="1:6" x14ac:dyDescent="0.25">
      <c r="C162" s="92"/>
    </row>
    <row r="163" spans="1:6" x14ac:dyDescent="0.25">
      <c r="C163" s="92"/>
    </row>
    <row r="164" spans="1:6" x14ac:dyDescent="0.25">
      <c r="C164" s="92"/>
    </row>
    <row r="165" spans="1:6" x14ac:dyDescent="0.25">
      <c r="C165" s="92"/>
    </row>
    <row r="166" spans="1:6" x14ac:dyDescent="0.25">
      <c r="C166" s="92"/>
    </row>
    <row r="167" spans="1:6" x14ac:dyDescent="0.25">
      <c r="C167" s="92"/>
    </row>
    <row r="168" spans="1:6" x14ac:dyDescent="0.25">
      <c r="C168" s="92"/>
    </row>
    <row r="169" spans="1:6" x14ac:dyDescent="0.25">
      <c r="C169" s="92"/>
    </row>
    <row r="170" spans="1:6" x14ac:dyDescent="0.25">
      <c r="C170" s="92"/>
    </row>
    <row r="171" spans="1:6" x14ac:dyDescent="0.25">
      <c r="C171" s="92"/>
    </row>
    <row r="172" spans="1:6" x14ac:dyDescent="0.25">
      <c r="C172" s="92"/>
    </row>
    <row r="173" spans="1:6" ht="18.75" x14ac:dyDescent="0.35">
      <c r="A173" s="80" t="s">
        <v>288</v>
      </c>
      <c r="B173" s="59"/>
      <c r="C173" s="100"/>
      <c r="D173" s="59"/>
      <c r="E173" s="80" t="s">
        <v>19</v>
      </c>
      <c r="F173" s="80"/>
    </row>
    <row r="174" spans="1:6" ht="18.75" x14ac:dyDescent="0.35">
      <c r="A174" s="64" t="s">
        <v>214</v>
      </c>
      <c r="B174" s="64" t="s">
        <v>213</v>
      </c>
      <c r="C174" s="92">
        <v>15</v>
      </c>
      <c r="D174" s="55" t="s">
        <v>215</v>
      </c>
    </row>
    <row r="175" spans="1:6" ht="18.75" x14ac:dyDescent="0.35">
      <c r="A175" s="64" t="s">
        <v>273</v>
      </c>
      <c r="B175" s="64" t="s">
        <v>216</v>
      </c>
      <c r="C175" s="93">
        <f>(C174)*(25)/(_va1+0.55)</f>
        <v>122.95081967213116</v>
      </c>
      <c r="D175" s="55" t="s">
        <v>202</v>
      </c>
    </row>
    <row r="176" spans="1:6" ht="18.75" x14ac:dyDescent="0.35">
      <c r="A176" s="55" t="s">
        <v>294</v>
      </c>
      <c r="B176" s="64" t="s">
        <v>216</v>
      </c>
      <c r="C176" s="102">
        <f>IF(C175&lt;10000,C177*10^INT(LOG(C175)),C178*10^INT(LOG(C175)))</f>
        <v>120</v>
      </c>
      <c r="D176" s="55" t="s">
        <v>202</v>
      </c>
    </row>
    <row r="177" spans="1:6" hidden="1" x14ac:dyDescent="0.25">
      <c r="A177" s="54" t="s">
        <v>211</v>
      </c>
      <c r="B177" s="66"/>
      <c r="C177" s="103">
        <f>IF((10^(LOG(C175)-INT(LOG(C175))))-VLOOKUP((10^(LOG(C175)-INT(LOG(C175)))),c_s1:C_f1,1)&lt;VLOOKUP((10^(LOG(C175)-INT(LOG(C175)))),c_s1:C_f1,2)-(10^(LOG(C175)-INT(LOG(C175)))),VLOOKUP((10^(LOG(C175)-INT(LOG(C175)))),c_s1:C_f1,1),VLOOKUP((10^(LOG(C175)-INT(LOG(C175)))),c_s1:C_f1,2))</f>
        <v>1.2</v>
      </c>
    </row>
    <row r="178" spans="1:6" hidden="1" x14ac:dyDescent="0.25">
      <c r="A178" s="54" t="s">
        <v>217</v>
      </c>
      <c r="B178" s="66"/>
      <c r="C178" s="103">
        <f>IF((10^(LOG(C175)-INT(LOG(C175))))-VLOOKUP((10^(LOG(C175)-INT(LOG(C175)))),C_s2:C_f2,1)&lt;VLOOKUP((10^(LOG(C175)-INT(LOG(C175)))),C_s2:C_f2,2)-(10^(LOG(C175)-INT(LOG(C175)))),VLOOKUP((10^(LOG(C175)-INT(LOG(C175)))),C_s2:C_f2,1),VLOOKUP((10^(LOG(C175)-INT(LOG(C175)))),C_s2:C_f2,2))</f>
        <v>1</v>
      </c>
    </row>
    <row r="179" spans="1:6" ht="18.75" x14ac:dyDescent="0.35">
      <c r="A179" s="55" t="s">
        <v>325</v>
      </c>
      <c r="B179" s="55" t="s">
        <v>216</v>
      </c>
      <c r="C179" s="92">
        <v>150</v>
      </c>
      <c r="D179" s="55" t="s">
        <v>202</v>
      </c>
    </row>
    <row r="180" spans="1:6" ht="18.75" x14ac:dyDescent="0.35">
      <c r="A180" s="80" t="s">
        <v>313</v>
      </c>
      <c r="B180" s="59"/>
      <c r="C180" s="100"/>
      <c r="D180" s="59"/>
      <c r="E180" s="80" t="s">
        <v>19</v>
      </c>
      <c r="F180" s="80"/>
    </row>
    <row r="181" spans="1:6" ht="18.75" x14ac:dyDescent="0.35">
      <c r="A181" s="64" t="s">
        <v>274</v>
      </c>
      <c r="B181" s="64" t="s">
        <v>218</v>
      </c>
      <c r="C181" s="93">
        <f>tdelay</f>
        <v>30.718965415855525</v>
      </c>
      <c r="D181" s="55" t="s">
        <v>132</v>
      </c>
    </row>
    <row r="182" spans="1:6" ht="18.75" x14ac:dyDescent="0.35">
      <c r="A182" s="64" t="s">
        <v>312</v>
      </c>
      <c r="B182" s="64" t="s">
        <v>218</v>
      </c>
      <c r="C182" s="92">
        <v>346</v>
      </c>
      <c r="D182" s="55" t="s">
        <v>132</v>
      </c>
    </row>
    <row r="183" spans="1:6" ht="18.75" x14ac:dyDescent="0.35">
      <c r="A183" s="64" t="s">
        <v>307</v>
      </c>
      <c r="B183" s="64" t="s">
        <v>304</v>
      </c>
      <c r="C183" s="92">
        <v>8.25</v>
      </c>
      <c r="D183" s="55" t="s">
        <v>208</v>
      </c>
    </row>
    <row r="184" spans="1:6" ht="18.75" x14ac:dyDescent="0.35">
      <c r="A184" s="64" t="s">
        <v>306</v>
      </c>
      <c r="B184" s="64" t="s">
        <v>305</v>
      </c>
      <c r="C184" s="93">
        <f>IF(tabset&gt;155, 0.2, 1.8)</f>
        <v>0.2</v>
      </c>
      <c r="D184" s="55" t="s">
        <v>17</v>
      </c>
    </row>
    <row r="185" spans="1:6" ht="18.75" x14ac:dyDescent="0.35">
      <c r="A185" s="64" t="s">
        <v>308</v>
      </c>
      <c r="B185" s="64" t="s">
        <v>309</v>
      </c>
      <c r="C185" s="93">
        <f>C183*C184/(5-C184)</f>
        <v>0.34375000000000006</v>
      </c>
      <c r="D185" s="55" t="s">
        <v>208</v>
      </c>
    </row>
    <row r="186" spans="1:6" ht="18.75" x14ac:dyDescent="0.35">
      <c r="A186" s="55" t="s">
        <v>295</v>
      </c>
      <c r="B186" s="64" t="s">
        <v>309</v>
      </c>
      <c r="C186" s="61">
        <f>(IF((10^(LOG(C185)-INT(LOG(C185)))*100)-VLOOKUP((10^(LOG(C185)-INT(LOG(C185)))*100),E48_s:E48_f,1)&lt;VLOOKUP((10^(LOG(C185)-INT(LOG(C185)))*100),E48_s:E48_f,2)-(10^(LOG(C185)-INT(LOG(C185)))*100),VLOOKUP((10^(LOG(C185)-INT(LOG(C185)))*100),E48_s:E48_f,1),VLOOKUP((10^(LOG(C185)-INT(LOG(C185)))*100),E48_s:E48_f,2)))*10^INT(LOG(C185))/100</f>
        <v>0.34800000000000003</v>
      </c>
      <c r="D186" s="55" t="s">
        <v>208</v>
      </c>
    </row>
    <row r="187" spans="1:6" ht="18.75" x14ac:dyDescent="0.35">
      <c r="A187" s="64" t="s">
        <v>310</v>
      </c>
      <c r="B187" s="64" t="s">
        <v>309</v>
      </c>
      <c r="C187" s="92">
        <v>0.34799999999999998</v>
      </c>
      <c r="D187" s="55" t="s">
        <v>208</v>
      </c>
    </row>
    <row r="188" spans="1:6" ht="18.75" x14ac:dyDescent="0.35">
      <c r="A188" s="64" t="s">
        <v>311</v>
      </c>
      <c r="B188" s="64" t="s">
        <v>305</v>
      </c>
      <c r="C188" s="93">
        <f>5*C187/(C183+C187)</f>
        <v>0.2023726448011165</v>
      </c>
      <c r="D188" s="55" t="s">
        <v>17</v>
      </c>
    </row>
    <row r="189" spans="1:6" ht="18.75" x14ac:dyDescent="0.35">
      <c r="A189" s="55" t="s">
        <v>275</v>
      </c>
      <c r="B189" s="64" t="s">
        <v>219</v>
      </c>
      <c r="C189" s="93">
        <f>(tabset-5)*(0.15+(C188*1.46))/5</f>
        <v>30.380648988136766</v>
      </c>
      <c r="D189" s="55" t="s">
        <v>208</v>
      </c>
    </row>
    <row r="190" spans="1:6" ht="18.75" x14ac:dyDescent="0.35">
      <c r="A190" s="55" t="s">
        <v>295</v>
      </c>
      <c r="B190" s="64" t="s">
        <v>219</v>
      </c>
      <c r="C190" s="61">
        <f>(IF((10^(LOG(C189)-INT(LOG(C189)))*100)-VLOOKUP((10^(LOG(C189)-INT(LOG(C189)))*100),E48_s:E48_f,1)&lt;VLOOKUP((10^(LOG(C189)-INT(LOG(C189)))*100),E48_s:E48_f,2)-(10^(LOG(C189)-INT(LOG(C189)))*100),VLOOKUP((10^(LOG(C189)-INT(LOG(C189)))*100),E48_s:E48_f,1),VLOOKUP((10^(LOG(C189)-INT(LOG(C189)))*100),E48_s:E48_f,2)))*10^INT(LOG(C189))/100</f>
        <v>30.1</v>
      </c>
      <c r="D190" s="55" t="s">
        <v>208</v>
      </c>
    </row>
    <row r="191" spans="1:6" ht="18.75" x14ac:dyDescent="0.35">
      <c r="A191" s="55" t="s">
        <v>326</v>
      </c>
      <c r="B191" s="64" t="s">
        <v>219</v>
      </c>
      <c r="C191" s="92">
        <v>30.1</v>
      </c>
      <c r="D191" s="55" t="s">
        <v>208</v>
      </c>
    </row>
    <row r="192" spans="1:6" ht="18.75" x14ac:dyDescent="0.35">
      <c r="A192" s="80" t="s">
        <v>314</v>
      </c>
      <c r="B192" s="59"/>
      <c r="C192" s="100"/>
      <c r="D192" s="59"/>
      <c r="E192" s="80" t="s">
        <v>19</v>
      </c>
      <c r="F192" s="80"/>
    </row>
    <row r="193" spans="1:6" ht="18.75" x14ac:dyDescent="0.35">
      <c r="A193" s="55" t="s">
        <v>276</v>
      </c>
      <c r="B193" s="64" t="s">
        <v>221</v>
      </c>
      <c r="C193" s="93">
        <f>tdelay</f>
        <v>30.718965415855525</v>
      </c>
      <c r="D193" s="55" t="s">
        <v>132</v>
      </c>
    </row>
    <row r="194" spans="1:6" ht="18.75" x14ac:dyDescent="0.35">
      <c r="A194" s="64" t="s">
        <v>312</v>
      </c>
      <c r="B194" s="64" t="s">
        <v>221</v>
      </c>
      <c r="C194" s="92">
        <v>346</v>
      </c>
      <c r="D194" s="55" t="s">
        <v>132</v>
      </c>
    </row>
    <row r="195" spans="1:6" ht="18.75" x14ac:dyDescent="0.35">
      <c r="A195" s="55" t="s">
        <v>275</v>
      </c>
      <c r="B195" s="64" t="s">
        <v>220</v>
      </c>
      <c r="C195" s="93">
        <f>(tcdset-5)*(0.15+(vadel*1.46))/5</f>
        <v>30.380648988136766</v>
      </c>
      <c r="D195" s="55" t="s">
        <v>208</v>
      </c>
    </row>
    <row r="196" spans="1:6" ht="18.75" x14ac:dyDescent="0.35">
      <c r="A196" s="55" t="s">
        <v>295</v>
      </c>
      <c r="B196" s="64" t="s">
        <v>220</v>
      </c>
      <c r="C196" s="61">
        <f>(IF((10^(LOG(C195)-INT(LOG(C195)))*100)-VLOOKUP((10^(LOG(C195)-INT(LOG(C195)))*100),E48_s:E48_f,1)&lt;VLOOKUP((10^(LOG(C195)-INT(LOG(C195)))*100),E48_s:E48_f,2)-(10^(LOG(C195)-INT(LOG(C195)))*100),VLOOKUP((10^(LOG(C195)-INT(LOG(C195)))*100),E48_s:E48_f,1),VLOOKUP((10^(LOG(C195)-INT(LOG(C195)))*100),E48_s:E48_f,2)))*10^INT(LOG(C195))/100</f>
        <v>30.1</v>
      </c>
      <c r="D196" s="55" t="s">
        <v>208</v>
      </c>
    </row>
    <row r="197" spans="1:6" ht="18.75" x14ac:dyDescent="0.35">
      <c r="A197" s="55" t="s">
        <v>326</v>
      </c>
      <c r="B197" s="64" t="s">
        <v>220</v>
      </c>
      <c r="C197" s="92">
        <v>30.1</v>
      </c>
      <c r="D197" s="55" t="s">
        <v>208</v>
      </c>
    </row>
    <row r="198" spans="1:6" ht="18.75" x14ac:dyDescent="0.35">
      <c r="A198" s="80" t="s">
        <v>324</v>
      </c>
      <c r="B198" s="59"/>
      <c r="C198" s="100"/>
      <c r="D198" s="59"/>
      <c r="E198" s="80" t="s">
        <v>19</v>
      </c>
      <c r="F198" s="80"/>
    </row>
    <row r="199" spans="1:6" ht="18.75" x14ac:dyDescent="0.35">
      <c r="A199" s="55" t="s">
        <v>222</v>
      </c>
      <c r="B199" s="55" t="s">
        <v>321</v>
      </c>
      <c r="C199" s="61">
        <f>C182/2</f>
        <v>173</v>
      </c>
      <c r="D199" s="55" t="s">
        <v>132</v>
      </c>
    </row>
    <row r="200" spans="1:6" ht="18.75" x14ac:dyDescent="0.35">
      <c r="A200" s="55" t="s">
        <v>322</v>
      </c>
      <c r="B200" s="55" t="s">
        <v>321</v>
      </c>
      <c r="C200" s="92">
        <v>173</v>
      </c>
      <c r="D200" s="55" t="s">
        <v>132</v>
      </c>
    </row>
    <row r="201" spans="1:6" ht="18.75" x14ac:dyDescent="0.35">
      <c r="A201" s="64" t="s">
        <v>316</v>
      </c>
      <c r="B201" s="55" t="s">
        <v>315</v>
      </c>
      <c r="C201" s="92">
        <v>8.25</v>
      </c>
      <c r="D201" s="55" t="s">
        <v>208</v>
      </c>
    </row>
    <row r="202" spans="1:6" ht="18.75" x14ac:dyDescent="0.35">
      <c r="A202" s="64" t="s">
        <v>319</v>
      </c>
      <c r="B202" s="55" t="s">
        <v>320</v>
      </c>
      <c r="C202" s="93">
        <f>IF(tafset&lt;170, 0.2,1.7)</f>
        <v>1.7</v>
      </c>
      <c r="D202" s="55" t="s">
        <v>17</v>
      </c>
    </row>
    <row r="203" spans="1:6" ht="18.75" x14ac:dyDescent="0.35">
      <c r="A203" s="64" t="s">
        <v>317</v>
      </c>
      <c r="B203" s="55" t="s">
        <v>318</v>
      </c>
      <c r="C203" s="93">
        <f>C202*C201/(5-C202)</f>
        <v>4.25</v>
      </c>
      <c r="D203" s="55" t="s">
        <v>208</v>
      </c>
    </row>
    <row r="204" spans="1:6" ht="18.75" x14ac:dyDescent="0.35">
      <c r="A204" s="55" t="s">
        <v>295</v>
      </c>
      <c r="B204" s="55" t="s">
        <v>318</v>
      </c>
      <c r="C204" s="61">
        <f>(IF((10^(LOG(C203)-INT(LOG(C203)))*100)-VLOOKUP((10^(LOG(C203)-INT(LOG(C203)))*100),E48_s:E48_f,1)&lt;VLOOKUP((10^(LOG(C203)-INT(LOG(C203)))*100),E48_s:E48_f,2)-(10^(LOG(C203)-INT(LOG(C203)))*100),VLOOKUP((10^(LOG(C203)-INT(LOG(C203)))*100),E48_s:E48_f,1),VLOOKUP((10^(LOG(C203)-INT(LOG(C203)))*100),E48_s:E48_f,2)))*10^INT(LOG(C203))/100</f>
        <v>4.22</v>
      </c>
      <c r="D204" s="55" t="s">
        <v>208</v>
      </c>
    </row>
    <row r="205" spans="1:6" ht="18.75" x14ac:dyDescent="0.35">
      <c r="A205" s="55" t="s">
        <v>323</v>
      </c>
      <c r="B205" s="55" t="s">
        <v>318</v>
      </c>
      <c r="C205" s="92">
        <v>4.22</v>
      </c>
      <c r="D205" s="55" t="s">
        <v>208</v>
      </c>
    </row>
    <row r="206" spans="1:6" ht="18.75" x14ac:dyDescent="0.35">
      <c r="A206" s="64" t="s">
        <v>319</v>
      </c>
      <c r="B206" s="55" t="s">
        <v>320</v>
      </c>
      <c r="C206" s="61">
        <f>5*C205/(C205+C201)</f>
        <v>1.6920609462710505</v>
      </c>
      <c r="D206" s="55" t="s">
        <v>17</v>
      </c>
    </row>
    <row r="207" spans="1:6" ht="18.75" x14ac:dyDescent="0.35">
      <c r="A207" s="55" t="s">
        <v>275</v>
      </c>
      <c r="B207" s="64" t="s">
        <v>223</v>
      </c>
      <c r="C207" s="93">
        <f>(tafset-4)*(2.65-(C206*1.32))/5</f>
        <v>14.077008821170798</v>
      </c>
      <c r="D207" s="55" t="s">
        <v>208</v>
      </c>
    </row>
    <row r="208" spans="1:6" ht="18.75" x14ac:dyDescent="0.35">
      <c r="A208" s="55" t="s">
        <v>295</v>
      </c>
      <c r="B208" s="64" t="s">
        <v>223</v>
      </c>
      <c r="C208" s="61">
        <f>(IF((10^(LOG(C207)-INT(LOG(C207)))*100)-VLOOKUP((10^(LOG(C207)-INT(LOG(C207)))*100),E48_s:E48_f,1)&lt;VLOOKUP((10^(LOG(C207)-INT(LOG(C207)))*100),E48_s:E48_f,2)-(10^(LOG(C207)-INT(LOG(C207)))*100),VLOOKUP((10^(LOG(C207)-INT(LOG(C207)))*100),E48_s:E48_f,1),VLOOKUP((10^(LOG(C207)-INT(LOG(C207)))*100),E48_s:E48_f,2)))*10^INT(LOG(C207))/100</f>
        <v>14</v>
      </c>
      <c r="D208" s="55" t="s">
        <v>208</v>
      </c>
    </row>
    <row r="209" spans="1:6" ht="18.75" x14ac:dyDescent="0.35">
      <c r="A209" s="55" t="s">
        <v>327</v>
      </c>
      <c r="B209" s="64" t="s">
        <v>223</v>
      </c>
      <c r="C209" s="92">
        <v>14</v>
      </c>
      <c r="D209" s="55" t="s">
        <v>208</v>
      </c>
    </row>
    <row r="210" spans="1:6" x14ac:dyDescent="0.25">
      <c r="A210" s="80" t="s">
        <v>224</v>
      </c>
      <c r="B210" s="68"/>
      <c r="C210" s="100"/>
      <c r="D210" s="59"/>
      <c r="E210" s="80" t="s">
        <v>19</v>
      </c>
      <c r="F210" s="80"/>
    </row>
    <row r="211" spans="1:6" ht="18.75" x14ac:dyDescent="0.35">
      <c r="A211" s="55" t="s">
        <v>225</v>
      </c>
      <c r="B211" s="55" t="s">
        <v>226</v>
      </c>
      <c r="C211" s="92">
        <v>100</v>
      </c>
      <c r="D211" s="55" t="s">
        <v>132</v>
      </c>
    </row>
    <row r="212" spans="1:6" ht="18.75" x14ac:dyDescent="0.35">
      <c r="A212" s="55" t="s">
        <v>228</v>
      </c>
      <c r="B212" s="55" t="s">
        <v>227</v>
      </c>
      <c r="C212" s="61">
        <f>(C211-15)/6.6</f>
        <v>12.878787878787879</v>
      </c>
      <c r="D212" s="55" t="s">
        <v>208</v>
      </c>
    </row>
    <row r="213" spans="1:6" ht="18.75" x14ac:dyDescent="0.35">
      <c r="A213" s="55" t="s">
        <v>295</v>
      </c>
      <c r="B213" s="55" t="s">
        <v>227</v>
      </c>
      <c r="C213" s="61">
        <f>(IF((10^(LOG(C212)-INT(LOG(C212)))*100)-VLOOKUP((10^(LOG(C212)-INT(LOG(C212)))*100),E48_s:E48_f,1)&lt;VLOOKUP((10^(LOG(C212)-INT(LOG(C212)))*100),E48_s:E48_f,2)-(10^(LOG(C212)-INT(LOG(C212)))*100),VLOOKUP((10^(LOG(C212)-INT(LOG(C212)))*100),E48_s:E48_f,1),VLOOKUP((10^(LOG(C212)-INT(LOG(C212)))*100),E48_s:E48_f,2)))*10^INT(LOG(C212))/100</f>
        <v>12.7</v>
      </c>
      <c r="D213" s="55" t="s">
        <v>208</v>
      </c>
    </row>
    <row r="214" spans="1:6" ht="18.75" x14ac:dyDescent="0.35">
      <c r="A214" s="55" t="s">
        <v>323</v>
      </c>
      <c r="B214" s="55" t="s">
        <v>227</v>
      </c>
      <c r="C214" s="92">
        <v>12.1</v>
      </c>
      <c r="D214" s="55" t="s">
        <v>208</v>
      </c>
    </row>
    <row r="215" spans="1:6" x14ac:dyDescent="0.25">
      <c r="A215" s="80" t="s">
        <v>229</v>
      </c>
      <c r="B215" s="68"/>
      <c r="C215" s="100"/>
      <c r="D215" s="59"/>
      <c r="E215" s="80" t="s">
        <v>19</v>
      </c>
      <c r="F215" s="80"/>
    </row>
    <row r="216" spans="1:6" ht="18.75" x14ac:dyDescent="0.35">
      <c r="A216" s="55" t="s">
        <v>230</v>
      </c>
      <c r="B216" s="55" t="s">
        <v>231</v>
      </c>
      <c r="C216" s="61">
        <f>(((2.5*10^3)/(fs/2))-1)*2.5</f>
        <v>60</v>
      </c>
      <c r="D216" s="55" t="s">
        <v>208</v>
      </c>
      <c r="E216" s="55" t="s">
        <v>19</v>
      </c>
    </row>
    <row r="217" spans="1:6" ht="18.75" x14ac:dyDescent="0.35">
      <c r="A217" s="55" t="s">
        <v>295</v>
      </c>
      <c r="B217" s="55" t="s">
        <v>231</v>
      </c>
      <c r="C217" s="61">
        <f>(IF((10^(LOG(C216)-INT(LOG(C216)))*100)-VLOOKUP((10^(LOG(C216)-INT(LOG(C216)))*100),E48_s:E48_f,1)&lt;VLOOKUP((10^(LOG(C216)-INT(LOG(C216)))*100),E48_s:E48_f,2)-(10^(LOG(C216)-INT(LOG(C216)))*100),VLOOKUP((10^(LOG(C216)-INT(LOG(C216)))*100),E48_s:E48_f,1),VLOOKUP((10^(LOG(C216)-INT(LOG(C216)))*100),E48_s:E48_f,2)))*10^INT(LOG(C216))/100</f>
        <v>59</v>
      </c>
      <c r="D217" s="55" t="s">
        <v>208</v>
      </c>
    </row>
    <row r="218" spans="1:6" ht="18.75" x14ac:dyDescent="0.35">
      <c r="A218" s="55" t="s">
        <v>323</v>
      </c>
      <c r="B218" s="55" t="s">
        <v>231</v>
      </c>
      <c r="C218" s="92">
        <v>61.9</v>
      </c>
      <c r="D218" s="55" t="s">
        <v>208</v>
      </c>
    </row>
    <row r="219" spans="1:6" x14ac:dyDescent="0.25">
      <c r="A219" s="80" t="s">
        <v>232</v>
      </c>
      <c r="B219" s="68"/>
      <c r="C219" s="100"/>
      <c r="D219" s="59"/>
      <c r="E219" s="80" t="s">
        <v>19</v>
      </c>
      <c r="F219" s="80"/>
    </row>
    <row r="220" spans="1:6" ht="18.75" x14ac:dyDescent="0.35">
      <c r="A220" s="55" t="s">
        <v>277</v>
      </c>
      <c r="B220" s="55" t="s">
        <v>44</v>
      </c>
      <c r="C220" s="61">
        <f>(vin*(1-dtyp))/(lmag2*fs)</f>
        <v>0.2378989359460065</v>
      </c>
      <c r="D220" s="55" t="s">
        <v>34</v>
      </c>
    </row>
    <row r="221" spans="1:6" ht="18.75" x14ac:dyDescent="0.35">
      <c r="A221" s="55" t="s">
        <v>334</v>
      </c>
      <c r="B221" s="55" t="s">
        <v>332</v>
      </c>
      <c r="C221" s="61">
        <f>fs*0.2*0.001</f>
        <v>0.04</v>
      </c>
      <c r="D221" s="55" t="s">
        <v>233</v>
      </c>
    </row>
    <row r="222" spans="1:6" ht="18.75" x14ac:dyDescent="0.35">
      <c r="A222" s="55" t="s">
        <v>335</v>
      </c>
      <c r="B222" s="55" t="s">
        <v>333</v>
      </c>
      <c r="C222" s="61">
        <f>((((dilout/(_taa1*2))-C220)*RS*(1-dtyp)*fs)/_ta2)*0.001</f>
        <v>6.7546517756397301E-6</v>
      </c>
      <c r="D222" s="55" t="s">
        <v>233</v>
      </c>
      <c r="E222" s="55" t="s">
        <v>19</v>
      </c>
    </row>
    <row r="223" spans="1:6" ht="18.75" x14ac:dyDescent="0.35">
      <c r="A223" s="55" t="s">
        <v>234</v>
      </c>
      <c r="B223" s="55" t="s">
        <v>235</v>
      </c>
      <c r="C223" s="93">
        <f>IF(Vslope1&gt;Vslope2, Vslope1, Vslope2)</f>
        <v>0.04</v>
      </c>
      <c r="D223" s="55" t="s">
        <v>233</v>
      </c>
      <c r="E223" s="55" t="s">
        <v>19</v>
      </c>
    </row>
    <row r="224" spans="1:6" ht="18.75" x14ac:dyDescent="0.35">
      <c r="A224" s="55" t="s">
        <v>236</v>
      </c>
      <c r="B224" s="55" t="s">
        <v>237</v>
      </c>
      <c r="C224" s="61">
        <f>2.5/(C223*0.5)</f>
        <v>125</v>
      </c>
      <c r="D224" s="55" t="s">
        <v>208</v>
      </c>
      <c r="E224" s="60"/>
    </row>
    <row r="225" spans="1:6" ht="18.75" x14ac:dyDescent="0.35">
      <c r="A225" s="55" t="s">
        <v>295</v>
      </c>
      <c r="B225" s="55" t="s">
        <v>237</v>
      </c>
      <c r="C225" s="104">
        <f>(IF((10^(LOG(C224)-INT(LOG(C224)))*100)-VLOOKUP((10^(LOG(C224)-INT(LOG(C224)))*100),E48_s:E48_f,1)&lt;VLOOKUP((10^(LOG(C224)-INT(LOG(C224)))*100),E48_s:E48_f,2)-(10^(LOG(C224)-INT(LOG(C224)))*100),VLOOKUP((10^(LOG(C224)-INT(LOG(C224)))*100),E48_s:E48_f,1),VLOOKUP((10^(LOG(C224)-INT(LOG(C224)))*100),E48_s:E48_f,2)))*10^INT(LOG(C224))/100</f>
        <v>127</v>
      </c>
      <c r="D225" s="55" t="s">
        <v>208</v>
      </c>
    </row>
    <row r="226" spans="1:6" ht="18.75" x14ac:dyDescent="0.35">
      <c r="A226" s="55" t="s">
        <v>323</v>
      </c>
      <c r="B226" s="55" t="s">
        <v>237</v>
      </c>
      <c r="C226" s="92">
        <v>127</v>
      </c>
      <c r="D226" s="55" t="s">
        <v>208</v>
      </c>
    </row>
    <row r="227" spans="1:6" x14ac:dyDescent="0.25">
      <c r="A227" s="80" t="s">
        <v>278</v>
      </c>
      <c r="B227" s="68"/>
      <c r="C227" s="100"/>
      <c r="D227" s="59"/>
      <c r="E227" s="80" t="s">
        <v>19</v>
      </c>
      <c r="F227" s="80"/>
    </row>
    <row r="228" spans="1:6" ht="18.75" x14ac:dyDescent="0.35">
      <c r="A228" s="55" t="s">
        <v>238</v>
      </c>
      <c r="B228" s="55" t="s">
        <v>239</v>
      </c>
      <c r="C228" s="61">
        <f>(((pout*0.15/VOUT)+(dilout/2))*RS)/(_ta1*_ta2)</f>
        <v>0.29134274174721014</v>
      </c>
      <c r="D228" s="55" t="s">
        <v>17</v>
      </c>
    </row>
    <row r="229" spans="1:6" ht="18.75" x14ac:dyDescent="0.35">
      <c r="A229" s="55" t="s">
        <v>181</v>
      </c>
      <c r="B229" s="55" t="s">
        <v>240</v>
      </c>
      <c r="C229" s="92">
        <v>1</v>
      </c>
      <c r="D229" s="55" t="s">
        <v>208</v>
      </c>
    </row>
    <row r="230" spans="1:6" ht="18.75" x14ac:dyDescent="0.35">
      <c r="A230" s="55" t="s">
        <v>242</v>
      </c>
      <c r="B230" s="55" t="s">
        <v>241</v>
      </c>
      <c r="C230" s="61">
        <f>(C229*(5-C228)/C228)</f>
        <v>16.161917163319476</v>
      </c>
      <c r="D230" s="55" t="s">
        <v>208</v>
      </c>
    </row>
    <row r="231" spans="1:6" ht="18.75" x14ac:dyDescent="0.35">
      <c r="A231" s="55" t="s">
        <v>295</v>
      </c>
      <c r="B231" s="55" t="s">
        <v>241</v>
      </c>
      <c r="C231" s="104">
        <f>(IF((10^(LOG(C230)-INT(LOG(C230)))*100)-VLOOKUP((10^(LOG(C230)-INT(LOG(C230)))*100),E48_s:E48_f,1)&lt;VLOOKUP((10^(LOG(C230)-INT(LOG(C230)))*100),E48_s:E48_f,2)-(10^(LOG(C230)-INT(LOG(C230)))*100),VLOOKUP((10^(LOG(C230)-INT(LOG(C230)))*100),E48_s:E48_f,1),VLOOKUP((10^(LOG(C230)-INT(LOG(C230)))*100),E48_s:E48_f,2)))*10^INT(LOG(C230))/100</f>
        <v>16.2</v>
      </c>
      <c r="D231" s="55" t="s">
        <v>208</v>
      </c>
    </row>
    <row r="232" spans="1:6" ht="18.75" x14ac:dyDescent="0.35">
      <c r="A232" s="55" t="s">
        <v>323</v>
      </c>
      <c r="B232" s="55" t="s">
        <v>241</v>
      </c>
      <c r="C232" s="92">
        <v>16.899999999999999</v>
      </c>
      <c r="D232" s="55" t="s">
        <v>208</v>
      </c>
    </row>
  </sheetData>
  <sheetProtection password="ECDD" sheet="1" formatColumns="0" formatRows="0" selectLockedCells="1"/>
  <phoneticPr fontId="0" type="noConversion"/>
  <pageMargins left="0.75" right="0.75" top="1" bottom="1" header="0.5" footer="0.5"/>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L30"/>
  <sheetViews>
    <sheetView topLeftCell="A7" workbookViewId="0">
      <selection activeCell="K19" sqref="K19"/>
    </sheetView>
  </sheetViews>
  <sheetFormatPr defaultRowHeight="12.75" x14ac:dyDescent="0.2"/>
  <sheetData>
    <row r="30" spans="12:12" x14ac:dyDescent="0.2">
      <c r="L30" t="s">
        <v>19</v>
      </c>
    </row>
  </sheetData>
  <sheetProtection password="ECDD" sheet="1"/>
  <phoneticPr fontId="21" type="noConversion"/>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Visio.Drawing.6" shapeId="5125" r:id="rId4">
          <objectPr defaultSize="0" autoPict="0" r:id="rId5">
            <anchor moveWithCells="1">
              <from>
                <xdr:col>0</xdr:col>
                <xdr:colOff>38100</xdr:colOff>
                <xdr:row>5</xdr:row>
                <xdr:rowOff>47625</xdr:rowOff>
              </from>
              <to>
                <xdr:col>8</xdr:col>
                <xdr:colOff>428625</xdr:colOff>
                <xdr:row>46</xdr:row>
                <xdr:rowOff>47625</xdr:rowOff>
              </to>
            </anchor>
          </objectPr>
        </oleObject>
      </mc:Choice>
      <mc:Fallback>
        <oleObject progId="Visio.Drawing.6" shapeId="512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2" sqref="I22"/>
    </sheetView>
  </sheetViews>
  <sheetFormatPr defaultRowHeight="12.75" x14ac:dyDescent="0.2"/>
  <sheetData/>
  <sheetProtection password="ECDD" sheet="1"/>
  <phoneticPr fontId="21"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1"/>
  <sheetViews>
    <sheetView workbookViewId="0">
      <selection activeCell="I3" sqref="I3"/>
    </sheetView>
  </sheetViews>
  <sheetFormatPr defaultRowHeight="12.75" x14ac:dyDescent="0.2"/>
  <sheetData>
    <row r="31" spans="7:7" x14ac:dyDescent="0.2">
      <c r="G31" t="s">
        <v>19</v>
      </c>
    </row>
  </sheetData>
  <sheetProtection password="ECDD" sheet="1"/>
  <phoneticPr fontId="21"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workbookViewId="0">
      <selection activeCell="A3" sqref="A3:U3"/>
    </sheetView>
  </sheetViews>
  <sheetFormatPr defaultRowHeight="12.75" x14ac:dyDescent="0.2"/>
  <sheetData>
    <row r="1" spans="1:21" x14ac:dyDescent="0.2">
      <c r="A1" s="123" t="s">
        <v>340</v>
      </c>
      <c r="B1" s="123"/>
      <c r="C1" s="123"/>
      <c r="D1" s="123"/>
      <c r="E1" s="123"/>
      <c r="F1" s="123"/>
      <c r="G1" s="123"/>
      <c r="H1" s="123"/>
      <c r="I1" s="123"/>
      <c r="J1" s="123"/>
      <c r="K1" s="123"/>
      <c r="L1" s="123"/>
      <c r="M1" s="123"/>
      <c r="N1" s="123"/>
      <c r="O1" s="123"/>
      <c r="P1" s="123"/>
      <c r="Q1" s="123"/>
      <c r="R1" s="123"/>
      <c r="S1" s="123"/>
      <c r="T1" s="123"/>
      <c r="U1" s="123"/>
    </row>
    <row r="2" spans="1:21" x14ac:dyDescent="0.2">
      <c r="A2" s="123"/>
      <c r="B2" s="123"/>
      <c r="C2" s="123"/>
      <c r="D2" s="123"/>
      <c r="E2" s="123"/>
      <c r="F2" s="123"/>
      <c r="G2" s="123"/>
      <c r="H2" s="123"/>
      <c r="I2" s="123"/>
      <c r="J2" s="123"/>
      <c r="K2" s="123"/>
      <c r="L2" s="123"/>
      <c r="M2" s="123"/>
      <c r="N2" s="123"/>
      <c r="O2" s="123"/>
      <c r="P2" s="123"/>
      <c r="Q2" s="123"/>
      <c r="R2" s="123"/>
      <c r="S2" s="123"/>
      <c r="T2" s="123"/>
      <c r="U2" s="123"/>
    </row>
    <row r="3" spans="1:21" ht="387" customHeight="1" x14ac:dyDescent="0.2">
      <c r="A3" s="124" t="s">
        <v>341</v>
      </c>
      <c r="B3" s="124"/>
      <c r="C3" s="124"/>
      <c r="D3" s="124"/>
      <c r="E3" s="124"/>
      <c r="F3" s="124"/>
      <c r="G3" s="124"/>
      <c r="H3" s="124"/>
      <c r="I3" s="124"/>
      <c r="J3" s="124"/>
      <c r="K3" s="124"/>
      <c r="L3" s="124"/>
      <c r="M3" s="124"/>
      <c r="N3" s="124"/>
      <c r="O3" s="124"/>
      <c r="P3" s="124"/>
      <c r="Q3" s="124"/>
      <c r="R3" s="124"/>
      <c r="S3" s="124"/>
      <c r="T3" s="124"/>
      <c r="U3" s="124"/>
    </row>
  </sheetData>
  <sheetProtection algorithmName="SHA-512" hashValue="+PcoHR4I2iULuSXVLYlvHInwmbIr8mvl29gW/turBkgZWMMUOwL6rLVWXa7SRfRK/NPJDZ//14B7PXso5Ci7sA==" saltValue="2yqKKuZ4bA/xqIUehV6iRQ==" spinCount="100000" sheet="1" formatCells="0" formatRows="0" insertColumns="0" insertRows="0" insertHyperlinks="0" deleteColumns="0" deleteRows="0" sort="0" autoFilter="0" pivotTables="0"/>
  <mergeCells count="2">
    <mergeCell ref="A1:U2"/>
    <mergeCell ref="A3:U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sqref="A1:IV65536"/>
    </sheetView>
  </sheetViews>
  <sheetFormatPr defaultRowHeight="12.75" x14ac:dyDescent="0.2"/>
  <cols>
    <col min="1" max="1" width="9.140625" style="73"/>
    <col min="2" max="2" width="10.140625" style="73" customWidth="1"/>
    <col min="3" max="3" width="9.140625" style="73"/>
    <col min="4" max="4" width="12.42578125" style="73" customWidth="1"/>
    <col min="5" max="5" width="21.5703125" style="73" customWidth="1"/>
    <col min="6" max="6" width="15.42578125" style="73" customWidth="1"/>
    <col min="7" max="7" width="21.140625" style="73" customWidth="1"/>
    <col min="8" max="8" width="9.140625" style="73"/>
    <col min="9" max="9" width="14.28515625" style="73" customWidth="1"/>
    <col min="10" max="10" width="17.140625" style="73" customWidth="1"/>
    <col min="11" max="11" width="11.85546875" style="73" customWidth="1"/>
    <col min="12" max="12" width="13.5703125" style="73" customWidth="1"/>
    <col min="13" max="16384" width="9.140625" style="73"/>
  </cols>
  <sheetData>
    <row r="1" spans="1:18" ht="42.75" x14ac:dyDescent="0.3">
      <c r="A1" s="73" t="s">
        <v>245</v>
      </c>
      <c r="B1" s="73" t="s">
        <v>260</v>
      </c>
      <c r="C1" s="73" t="s">
        <v>190</v>
      </c>
      <c r="D1" s="73" t="s">
        <v>246</v>
      </c>
      <c r="E1" s="54" t="s">
        <v>247</v>
      </c>
      <c r="F1" s="73" t="s">
        <v>248</v>
      </c>
      <c r="G1" s="73" t="s">
        <v>249</v>
      </c>
      <c r="H1" s="73" t="s">
        <v>250</v>
      </c>
      <c r="I1" s="77" t="s">
        <v>251</v>
      </c>
      <c r="J1" s="77" t="s">
        <v>252</v>
      </c>
      <c r="K1" s="77" t="s">
        <v>253</v>
      </c>
      <c r="L1" s="73" t="s">
        <v>254</v>
      </c>
      <c r="M1" s="73" t="s">
        <v>255</v>
      </c>
      <c r="N1" s="73" t="s">
        <v>256</v>
      </c>
      <c r="O1" s="73" t="s">
        <v>261</v>
      </c>
      <c r="P1" s="79" t="s">
        <v>258</v>
      </c>
      <c r="Q1" s="79" t="s">
        <v>259</v>
      </c>
      <c r="R1" s="73" t="s">
        <v>257</v>
      </c>
    </row>
    <row r="2" spans="1:18" ht="15" x14ac:dyDescent="0.2">
      <c r="A2" s="74">
        <f>1</f>
        <v>1</v>
      </c>
      <c r="B2" s="73">
        <v>100</v>
      </c>
      <c r="C2" s="73">
        <f t="shared" ref="C2:C33" si="0">_ta1*_ta2*(rload/RS)</f>
        <v>102.97150297991685</v>
      </c>
      <c r="D2" s="54" t="str">
        <f>IMDIV((COMPLEX(1,2*PI()*(B2)*(esrcout*0.001)*(cout*0.000001))),(COMPLEX(1,2*PI()*(B2)*rload*(cout*0.000001))))</f>
        <v>0.0254690981799642-0.143612416870798i</v>
      </c>
      <c r="E2" s="54" t="str">
        <f>IMDIV(1,(COMPLEX((1-(B2/(fpp*1000))^2),(B2/(fpp*1000)))))</f>
        <v>0.999999999984-0.002000008i</v>
      </c>
      <c r="F2" s="73" t="str">
        <f t="shared" ref="F2:F33" si="1">IMPRODUCT(D2,E2)</f>
        <v>0.0251818721969158-0.143663355268613i</v>
      </c>
      <c r="G2" s="73" t="str">
        <f t="shared" ref="G2:G33" si="2">IMPRODUCT(C2,F2)</f>
        <v>2.5930152279646-14.7932316151468i</v>
      </c>
      <c r="H2" s="76">
        <f t="shared" ref="H2:H33" si="3">IMABS(G2)</f>
        <v>15.018769243577687</v>
      </c>
      <c r="I2" s="54" t="str">
        <f t="shared" ref="I2:I33" si="4">IMDIV((COMPLEX(1,(2*PI()*B2*(rf*1000)*(Cz*0.000000001)))),(COMPLEX(0,2*PI()*B2*((Cz*0.000000001)+(Cp*0.000000000001))*(RII*1000))))</f>
        <v>2.74027402740274-28.423367888913i</v>
      </c>
      <c r="J2" s="78" t="str">
        <f t="shared" ref="J2:J33" si="5">IMDIV(1,(COMPLEX(1,2*PI()*B2*(((Cz*0.000000001)*(Cp*0.000000000001))/((Cz*0.000000001)+(Cp*0.000000000001)))*(rf*1000))))</f>
        <v>0.999923189925458-0.00876379910508019i</v>
      </c>
      <c r="K2" s="78" t="str">
        <f t="shared" ref="K2:K33" si="6">IMPRODUCT(I2,J2)</f>
        <v>2.49096686068221-28.4451998989757i</v>
      </c>
      <c r="L2" s="78" t="str">
        <f t="shared" ref="L2:L33" si="7">IMPRODUCT(G2,K2)</f>
        <v>-414.337315442594-110.608286216268i</v>
      </c>
      <c r="M2" s="73">
        <f t="shared" ref="M2:M33" si="8">20*LOG(IMABS(L2))</f>
        <v>52.646044091329088</v>
      </c>
      <c r="N2" s="73">
        <f t="shared" ref="N2:N33" si="9">(180/PI())*IMARGUMENT(L2)+180</f>
        <v>14.946693470792979</v>
      </c>
      <c r="O2" s="73">
        <f t="shared" ref="O2:O55" si="10">IF(N2&gt;180,-(360-N2),N2)</f>
        <v>14.946693470792979</v>
      </c>
      <c r="P2" s="73">
        <v>48.311999999999998</v>
      </c>
      <c r="Q2" s="73">
        <v>11.617000000000001</v>
      </c>
      <c r="R2" s="73">
        <f>B2</f>
        <v>100</v>
      </c>
    </row>
    <row r="3" spans="1:18" ht="15" x14ac:dyDescent="0.2">
      <c r="A3" s="74">
        <f>1+A2</f>
        <v>2</v>
      </c>
      <c r="B3" s="73">
        <v>1000</v>
      </c>
      <c r="C3" s="73">
        <f t="shared" si="0"/>
        <v>102.97150297991685</v>
      </c>
      <c r="D3" s="54" t="str">
        <f>IMDIV((COMPLEX(1,2*PI()*(B3)*(esrcout*0.001)*(cout*0.000001))),(COMPLEX(1,2*PI()*(B3)*rload*(cout*0.000001))))</f>
        <v>0.00452174004541499-0.0146699338715084i</v>
      </c>
      <c r="E3" s="54" t="str">
        <f>IMDIV(1,(COMPLEX((1-(B3/(fpp*1000))^2),(B3/(fpp*1000)))))</f>
        <v>0.999999839936-0.0200079999987195i</v>
      </c>
      <c r="F3" s="73" t="str">
        <f t="shared" si="1"/>
        <v>0.00422822328476484-0.014760402498203i</v>
      </c>
      <c r="G3" s="73" t="str">
        <f t="shared" si="2"/>
        <v>0.435386506566917-1.51990082982848i</v>
      </c>
      <c r="H3" s="76">
        <f t="shared" si="3"/>
        <v>1.5810312908395729</v>
      </c>
      <c r="I3" s="54" t="str">
        <f t="shared" si="4"/>
        <v>2.74027402740274-2.8423367888913i</v>
      </c>
      <c r="J3" s="78" t="str">
        <f t="shared" si="5"/>
        <v>0.992376959649284-0.0869766037881862i</v>
      </c>
      <c r="K3" s="78" t="str">
        <f t="shared" si="6"/>
        <v>2.47216800719985-3.05900926921172i</v>
      </c>
      <c r="L3" s="78" t="str">
        <f t="shared" si="7"/>
        <v>-3.57304213442667-5.08930156489638i</v>
      </c>
      <c r="M3" s="73">
        <f t="shared" si="8"/>
        <v>15.873474477405962</v>
      </c>
      <c r="N3" s="73">
        <f t="shared" si="9"/>
        <v>54.928487122211379</v>
      </c>
      <c r="O3" s="73">
        <f t="shared" si="10"/>
        <v>54.928487122211379</v>
      </c>
    </row>
    <row r="4" spans="1:18" ht="15" x14ac:dyDescent="0.2">
      <c r="A4" s="74">
        <f t="shared" ref="A4:A67" si="11">1+A3</f>
        <v>3</v>
      </c>
      <c r="B4" s="73">
        <f t="shared" ref="B4:B35" si="12">(fs*1000/2)*(A4/100)</f>
        <v>3000</v>
      </c>
      <c r="C4" s="73">
        <f t="shared" si="0"/>
        <v>102.97150297991685</v>
      </c>
      <c r="D4" s="54" t="str">
        <f>IMDIV((COMPLEX(1,2*PI()*(B4)*(esrcout*0.001)*(cout*0.000001))),(COMPLEX(1,2*PI()*(B4)*rload*(cout*0.000001))))</f>
        <v>0.00432958069115845-0.00489092188035129i</v>
      </c>
      <c r="E4" s="54" t="str">
        <f>IMDIV(1,(COMPLEX((1-(B4/(fpp*1000))^2),(B4/(fpp*1000)))))</f>
        <v>0.999986993344607-0.0602159971905624i</v>
      </c>
      <c r="F4" s="73" t="str">
        <f t="shared" si="1"/>
        <v>0.00403501263958791-0.00515156828455095i</v>
      </c>
      <c r="G4" s="73" t="str">
        <f t="shared" si="2"/>
        <v>0.415491316041329-0.530464728963883i</v>
      </c>
      <c r="H4" s="76">
        <f t="shared" si="3"/>
        <v>0.6738144124167138</v>
      </c>
      <c r="I4" s="54" t="str">
        <f t="shared" si="4"/>
        <v>2.74027402740274-0.947445596297102i</v>
      </c>
      <c r="J4" s="78" t="str">
        <f t="shared" si="5"/>
        <v>0.935336119788262-0.245931825528337i</v>
      </c>
      <c r="K4" s="78" t="str">
        <f t="shared" si="6"/>
        <v>2.3300702508613-1.56010068175805i</v>
      </c>
      <c r="L4" s="78" t="str">
        <f t="shared" si="7"/>
        <v>0.140545569693958-1.88422836951057i</v>
      </c>
      <c r="M4" s="73">
        <f t="shared" si="8"/>
        <v>5.5267668363205802</v>
      </c>
      <c r="N4" s="73">
        <f t="shared" si="9"/>
        <v>94.265822247820552</v>
      </c>
      <c r="O4" s="73">
        <f t="shared" si="10"/>
        <v>94.265822247820552</v>
      </c>
    </row>
    <row r="5" spans="1:18" ht="15" x14ac:dyDescent="0.2">
      <c r="A5" s="74">
        <f t="shared" si="11"/>
        <v>4</v>
      </c>
      <c r="B5" s="73">
        <f t="shared" si="12"/>
        <v>4000</v>
      </c>
      <c r="C5" s="73">
        <f t="shared" si="0"/>
        <v>102.97150297991685</v>
      </c>
      <c r="D5" s="54" t="str">
        <f>IMDIV((COMPLEX(1,2*PI()*(B5)*(esrcout*0.001)*(cout*0.000001))),(COMPLEX(1,2*PI()*(B5)*rload*(cout*0.000001))))</f>
        <v>0.00431906983699499-0.00366823013374487i</v>
      </c>
      <c r="E5" s="54" t="str">
        <f>IMDIV(1,(COMPLEX((1-(B5/(fpp*1000))^2),(B5/(fpp*1000)))))</f>
        <v>0.999958777866806-0.0805119788942678i</v>
      </c>
      <c r="F5" s="73" t="str">
        <f t="shared" si="1"/>
        <v>0.00402355532861551-0.00401581578103272i</v>
      </c>
      <c r="G5" s="73" t="str">
        <f t="shared" si="2"/>
        <v>0.414311539510392-0.413514586663408i</v>
      </c>
      <c r="H5" s="76">
        <f t="shared" si="3"/>
        <v>0.58536173871793185</v>
      </c>
      <c r="I5" s="54" t="str">
        <f t="shared" si="4"/>
        <v>2.74027402740273-0.710584197222825i</v>
      </c>
      <c r="J5" s="78" t="str">
        <f t="shared" si="5"/>
        <v>0.890546841989013-0.312206925311417i</v>
      </c>
      <c r="K5" s="78" t="str">
        <f t="shared" si="6"/>
        <v>2.2184930738982-1.48834104141022i</v>
      </c>
      <c r="L5" s="78" t="str">
        <f t="shared" si="7"/>
        <v>0.303696550286972-1.53401611465182i</v>
      </c>
      <c r="M5" s="73">
        <f t="shared" si="8"/>
        <v>3.8835648504794729</v>
      </c>
      <c r="N5" s="73">
        <f t="shared" si="9"/>
        <v>101.19831723642746</v>
      </c>
      <c r="O5" s="73">
        <f t="shared" si="10"/>
        <v>101.19831723642746</v>
      </c>
    </row>
    <row r="6" spans="1:18" ht="15" x14ac:dyDescent="0.2">
      <c r="A6" s="74">
        <f t="shared" si="11"/>
        <v>5</v>
      </c>
      <c r="B6" s="73">
        <f t="shared" si="12"/>
        <v>5000</v>
      </c>
      <c r="C6" s="73">
        <f t="shared" si="0"/>
        <v>102.97150297991685</v>
      </c>
      <c r="D6" s="54" t="str">
        <f>IMDIV((COMPLEX(1,2*PI()*(B6)*(esrcout*0.001)*(cout*0.000001))),(COMPLEX(1,2*PI()*(B6)*rload*(cout*0.000001))))</f>
        <v>0.00431420473793824-0.00293459844596929i</v>
      </c>
      <c r="E6" s="54" t="str">
        <f>IMDIV(1,(COMPLEX((1-(B6/(fpp*1000))^2),(B6/(fpp*1000)))))</f>
        <v>0.999899000101-0.100999899000101i</v>
      </c>
      <c r="F6" s="73" t="str">
        <f t="shared" si="1"/>
        <v>0.00401737485704669-0.00337003629462016i</v>
      </c>
      <c r="G6" s="73" t="str">
        <f t="shared" si="2"/>
        <v>0.413675127063826-0.347017702353908i</v>
      </c>
      <c r="H6" s="76">
        <f t="shared" si="3"/>
        <v>0.53995221686576866</v>
      </c>
      <c r="I6" s="54" t="str">
        <f t="shared" si="4"/>
        <v>2.74027402740275-0.568467357778262i</v>
      </c>
      <c r="J6" s="78" t="str">
        <f t="shared" si="5"/>
        <v>0.838898067923283-0.367624944145342i</v>
      </c>
      <c r="K6" s="78" t="str">
        <f t="shared" si="6"/>
        <v>2.08982780651684-1.4842792543845i</v>
      </c>
      <c r="L6" s="78" t="str">
        <f t="shared" si="7"/>
        <v>0.34943860689429-1.33921665288849i</v>
      </c>
      <c r="M6" s="73">
        <f t="shared" si="8"/>
        <v>2.8230677433968294</v>
      </c>
      <c r="N6" s="73">
        <f t="shared" si="9"/>
        <v>104.62398801691164</v>
      </c>
      <c r="O6" s="73">
        <f t="shared" si="10"/>
        <v>104.62398801691164</v>
      </c>
    </row>
    <row r="7" spans="1:18" ht="15" x14ac:dyDescent="0.2">
      <c r="A7" s="74">
        <f t="shared" si="11"/>
        <v>6</v>
      </c>
      <c r="B7" s="73">
        <f t="shared" si="12"/>
        <v>6000</v>
      </c>
      <c r="C7" s="73">
        <f t="shared" si="0"/>
        <v>102.97150297991685</v>
      </c>
      <c r="D7" s="54" t="str">
        <f>IMDIV((COMPLEX(1,2*PI()*(B7)*(esrcout*0.001)*(cout*0.000001))),(COMPLEX(1,2*PI()*(B7)*rload*(cout*0.000001))))</f>
        <v>0.00431156194815257-0.00244550519591667i</v>
      </c>
      <c r="E7" s="54" t="str">
        <f>IMDIV(1,(COMPLEX((1-(B7/(fpp*1000))^2),(B7/(fpp*1000)))))</f>
        <v>0.999789654644088-0.121727636523225i</v>
      </c>
      <c r="F7" s="73" t="str">
        <f t="shared" si="1"/>
        <v>0.00401296946351585-0.00296982704092793i</v>
      </c>
      <c r="G7" s="73" t="str">
        <f t="shared" si="2"/>
        <v>0.413221497070738-0.305807553994748i</v>
      </c>
      <c r="H7" s="76">
        <f t="shared" si="3"/>
        <v>0.51407223784370293</v>
      </c>
      <c r="I7" s="54" t="str">
        <f t="shared" si="4"/>
        <v>2.74027402740274-0.473722798148551i</v>
      </c>
      <c r="J7" s="78" t="str">
        <f t="shared" si="5"/>
        <v>0.78336906889118-0.411948990526431i</v>
      </c>
      <c r="K7" s="78" t="str">
        <f t="shared" si="6"/>
        <v>1.95149628486652-1.49995290665251i</v>
      </c>
      <c r="L7" s="78" t="str">
        <f t="shared" si="7"/>
        <v>0.34770328686981-1.21659509112742i</v>
      </c>
      <c r="M7" s="73">
        <f t="shared" si="8"/>
        <v>2.0439165511874693</v>
      </c>
      <c r="N7" s="73">
        <f t="shared" si="9"/>
        <v>105.94995406171705</v>
      </c>
      <c r="O7" s="73">
        <f t="shared" si="10"/>
        <v>105.94995406171705</v>
      </c>
    </row>
    <row r="8" spans="1:18" ht="15" x14ac:dyDescent="0.2">
      <c r="A8" s="74">
        <f t="shared" si="11"/>
        <v>7</v>
      </c>
      <c r="B8" s="73">
        <f t="shared" si="12"/>
        <v>7000.0000000000009</v>
      </c>
      <c r="C8" s="73">
        <f t="shared" si="0"/>
        <v>102.97150297991685</v>
      </c>
      <c r="D8" s="54" t="str">
        <f>IMDIV((COMPLEX(1,2*PI()*(B8)*(esrcout*0.001)*(cout*0.000001))),(COMPLEX(1,2*PI()*(B8)*rload*(cout*0.000001))))</f>
        <v>0.00430996842248522-0.00209615066551437i</v>
      </c>
      <c r="E8" s="54" t="str">
        <f>IMDIV(1,(COMPLEX((1-(B8/(fpp*1000))^2),(B8/(fpp*1000)))))</f>
        <v>0.999608313413218-0.142742925212006i</v>
      </c>
      <c r="F8" s="73" t="str">
        <f t="shared" si="1"/>
        <v>0.00400906958798406-0.00271054713161173i</v>
      </c>
      <c r="G8" s="73" t="str">
        <f t="shared" si="2"/>
        <v>0.412819921025795-0.279109112039962i</v>
      </c>
      <c r="H8" s="76">
        <f t="shared" si="3"/>
        <v>0.4983193590655291</v>
      </c>
      <c r="I8" s="54" t="str">
        <f t="shared" si="4"/>
        <v>2.74027402740274-0.406048112698757i</v>
      </c>
      <c r="J8" s="78" t="str">
        <f t="shared" si="5"/>
        <v>0.726533894383117-0.445738033709957i</v>
      </c>
      <c r="K8" s="78" t="str">
        <f t="shared" si="6"/>
        <v>1.80991087345984-1.5164520734269i</v>
      </c>
      <c r="L8" s="78" t="str">
        <f t="shared" si="7"/>
        <v>0.323911672180077-1.13118424195434i</v>
      </c>
      <c r="M8" s="73">
        <f t="shared" si="8"/>
        <v>1.4129188120439817</v>
      </c>
      <c r="N8" s="73">
        <f t="shared" si="9"/>
        <v>105.97892760791265</v>
      </c>
      <c r="O8" s="73">
        <f t="shared" si="10"/>
        <v>105.97892760791265</v>
      </c>
    </row>
    <row r="9" spans="1:18" ht="15" x14ac:dyDescent="0.2">
      <c r="A9" s="74">
        <f t="shared" si="11"/>
        <v>8</v>
      </c>
      <c r="B9" s="73">
        <f t="shared" si="12"/>
        <v>8000</v>
      </c>
      <c r="C9" s="73">
        <f t="shared" si="0"/>
        <v>102.97150297991685</v>
      </c>
      <c r="D9" s="54" t="str">
        <f>IMDIV((COMPLEX(1,2*PI()*(B9)*(esrcout*0.001)*(cout*0.000001))),(COMPLEX(1,2*PI()*(B9)*rload*(cout*0.000001))))</f>
        <v>0.00430893416030807-0.00183413373750955i</v>
      </c>
      <c r="E9" s="54" t="str">
        <f>IMDIV(1,(COMPLEX((1-(B9/(fpp*1000))^2),(B9/(fpp*1000)))))</f>
        <v>0.999327874060402-0.164093246972151i</v>
      </c>
      <c r="F9" s="73" t="str">
        <f t="shared" si="1"/>
        <v>0.0040050690535178-0.00253996796600205i</v>
      </c>
      <c r="G9" s="73" t="str">
        <f t="shared" si="2"/>
        <v>0.412407979979081-0.261544318980073i</v>
      </c>
      <c r="H9" s="76">
        <f t="shared" si="3"/>
        <v>0.48835005143971905</v>
      </c>
      <c r="I9" s="54" t="str">
        <f t="shared" si="4"/>
        <v>2.74027402740274-0.355292098611414i</v>
      </c>
      <c r="J9" s="78" t="str">
        <f t="shared" si="5"/>
        <v>0.670411029090846-0.470063911786683i</v>
      </c>
      <c r="K9" s="78" t="str">
        <f t="shared" si="6"/>
        <v>1.67009993700181-1.5262956701463i</v>
      </c>
      <c r="L9" s="78" t="str">
        <f t="shared" si="7"/>
        <v>0.289568579771459-1.06626166482765i</v>
      </c>
      <c r="M9" s="73">
        <f t="shared" si="8"/>
        <v>0.86631678093994524</v>
      </c>
      <c r="N9" s="73">
        <f t="shared" si="9"/>
        <v>105.19357936767467</v>
      </c>
      <c r="O9" s="73">
        <f t="shared" si="10"/>
        <v>105.19357936767467</v>
      </c>
    </row>
    <row r="10" spans="1:18" ht="15" x14ac:dyDescent="0.2">
      <c r="A10" s="74">
        <f t="shared" si="11"/>
        <v>9</v>
      </c>
      <c r="B10" s="73">
        <f t="shared" si="12"/>
        <v>9000</v>
      </c>
      <c r="C10" s="73">
        <f t="shared" si="0"/>
        <v>102.97150297991685</v>
      </c>
      <c r="D10" s="54" t="str">
        <f>IMDIV((COMPLEX(1,2*PI()*(B10)*(esrcout*0.001)*(cout*0.000001))),(COMPLEX(1,2*PI()*(B10)*rload*(cout*0.000001))))</f>
        <v>0.00430822507232285-0.00163034226106669i</v>
      </c>
      <c r="E10" s="54" t="str">
        <f>IMDIV(1,(COMPLEX((1-(B10/(fpp*1000))^2),(B10/(fpp*1000)))))</f>
        <v>0.99891626463625-0.185825679655359i</v>
      </c>
      <c r="F10" s="73" t="str">
        <f t="shared" si="1"/>
        <v>0.00400059663772341-0.00242915425367601i</v>
      </c>
      <c r="G10" s="73" t="str">
        <f t="shared" si="2"/>
        <v>0.411947448602781-0.250133664471077i</v>
      </c>
      <c r="H10" s="76">
        <f t="shared" si="3"/>
        <v>0.48194143888243329</v>
      </c>
      <c r="I10" s="54" t="str">
        <f t="shared" si="4"/>
        <v>2.74027402740274-0.315815198765701i</v>
      </c>
      <c r="J10" s="78" t="str">
        <f t="shared" si="5"/>
        <v>0.616443230218679-0.486251965688818i</v>
      </c>
      <c r="K10" s="78" t="str">
        <f t="shared" si="6"/>
        <v>1.53565761194227-1.52714577362988i</v>
      </c>
      <c r="L10" s="78" t="str">
        <f t="shared" si="7"/>
        <v>0.250619666627498-1.01322347093937i</v>
      </c>
      <c r="M10" s="73">
        <f t="shared" si="8"/>
        <v>0.37200135420561209</v>
      </c>
      <c r="N10" s="73">
        <f t="shared" si="9"/>
        <v>103.89319043485055</v>
      </c>
      <c r="O10" s="73">
        <f t="shared" si="10"/>
        <v>103.89319043485055</v>
      </c>
    </row>
    <row r="11" spans="1:18" ht="15" x14ac:dyDescent="0.2">
      <c r="A11" s="74">
        <f t="shared" si="11"/>
        <v>10</v>
      </c>
      <c r="B11" s="73">
        <f t="shared" si="12"/>
        <v>10000</v>
      </c>
      <c r="C11" s="73">
        <f t="shared" si="0"/>
        <v>102.97150297991685</v>
      </c>
      <c r="D11" s="54" t="str">
        <f>IMDIV((COMPLEX(1,2*PI()*(B11)*(esrcout*0.001)*(cout*0.000001))),(COMPLEX(1,2*PI()*(B11)*rload*(cout*0.000001))))</f>
        <v>0.00430771786523855-0.00146730878240924i</v>
      </c>
      <c r="E11" s="54" t="str">
        <f>IMDIV(1,(COMPLEX((1-(B11/(fpp*1000))^2),(B11/(fpp*1000)))))</f>
        <v>0.998336106489185-0.207986688851913i</v>
      </c>
      <c r="F11" s="73" t="str">
        <f t="shared" si="1"/>
        <v>0.00399536958625953-0.00236081531214702i</v>
      </c>
      <c r="G11" s="73" t="str">
        <f t="shared" si="2"/>
        <v>0.411409211257392-0.24309670094978i</v>
      </c>
      <c r="H11" s="76">
        <f t="shared" si="3"/>
        <v>0.47786352143692257</v>
      </c>
      <c r="I11" s="54" t="str">
        <f t="shared" si="4"/>
        <v>2.74027402740274-0.28423367888913i</v>
      </c>
      <c r="J11" s="78" t="str">
        <f t="shared" si="5"/>
        <v>0.565559758517333-0.495683284026352i</v>
      </c>
      <c r="K11" s="78" t="str">
        <f t="shared" si="6"/>
        <v>1.40889883382656-1.51905915983014i</v>
      </c>
      <c r="L11" s="78" t="str">
        <f t="shared" si="7"/>
        <v>0.210355687663793-0.967453589274264i</v>
      </c>
      <c r="M11" s="73">
        <f t="shared" si="8"/>
        <v>-8.6782293177305903E-2</v>
      </c>
      <c r="N11" s="73">
        <f t="shared" si="9"/>
        <v>102.26701820794592</v>
      </c>
      <c r="O11" s="73">
        <f t="shared" si="10"/>
        <v>102.26701820794592</v>
      </c>
    </row>
    <row r="12" spans="1:18" ht="15" x14ac:dyDescent="0.2">
      <c r="A12" s="74">
        <f t="shared" si="11"/>
        <v>11</v>
      </c>
      <c r="B12" s="73">
        <f t="shared" si="12"/>
        <v>11000</v>
      </c>
      <c r="C12" s="73">
        <f t="shared" si="0"/>
        <v>102.97150297991685</v>
      </c>
      <c r="D12" s="54" t="str">
        <f>IMDIV((COMPLEX(1,2*PI()*(B12)*(esrcout*0.001)*(cout*0.000001))),(COMPLEX(1,2*PI()*(B12)*rload*(cout*0.000001))))</f>
        <v>0.00430734258902495-0.00133391757767055i</v>
      </c>
      <c r="E12" s="54" t="str">
        <f>IMDIV(1,(COMPLEX((1-(B12/(fpp*1000))^2),(B12/(fpp*1000)))))</f>
        <v>0.997544338518663-0.230621852116547i</v>
      </c>
      <c r="F12" s="73" t="str">
        <f t="shared" si="1"/>
        <v>0.00398913467140896-0.0023240092532372i</v>
      </c>
      <c r="G12" s="73" t="str">
        <f t="shared" si="2"/>
        <v>0.410767192704277-0.239306725745069i</v>
      </c>
      <c r="H12" s="76">
        <f t="shared" si="3"/>
        <v>0.4753918337424175</v>
      </c>
      <c r="I12" s="54" t="str">
        <f t="shared" si="4"/>
        <v>2.74027402740274-0.258394253535573i</v>
      </c>
      <c r="J12" s="78" t="str">
        <f t="shared" si="5"/>
        <v>0.518276154772205-0.499665870524236i</v>
      </c>
      <c r="K12" s="78" t="str">
        <f t="shared" si="6"/>
        <v>1.29110789631312-1.5031409875148i</v>
      </c>
      <c r="L12" s="78" t="str">
        <f t="shared" si="7"/>
        <v>0.170633017991489-0.926411806930486i</v>
      </c>
      <c r="M12" s="73">
        <f t="shared" si="8"/>
        <v>-0.51902862120249615</v>
      </c>
      <c r="N12" s="73">
        <f t="shared" si="9"/>
        <v>100.43617201613453</v>
      </c>
      <c r="O12" s="73">
        <f t="shared" si="10"/>
        <v>100.43617201613453</v>
      </c>
    </row>
    <row r="13" spans="1:18" ht="15" x14ac:dyDescent="0.2">
      <c r="A13" s="74">
        <f t="shared" si="11"/>
        <v>12</v>
      </c>
      <c r="B13" s="73">
        <f t="shared" si="12"/>
        <v>12000</v>
      </c>
      <c r="C13" s="73">
        <f t="shared" si="0"/>
        <v>102.97150297991685</v>
      </c>
      <c r="D13" s="54" t="str">
        <f>IMDIV((COMPLEX(1,2*PI()*(B13)*(esrcout*0.001)*(cout*0.000001))),(COMPLEX(1,2*PI()*(B13)*rload*(cout*0.000001))))</f>
        <v>0.00430705716049849-0.0012227581300511i</v>
      </c>
      <c r="E13" s="54" t="str">
        <f>IMDIV(1,(COMPLEX((1-(B13/(fpp*1000))^2),(B13/(fpp*1000)))))</f>
        <v>0.996491807450037-0.253775502746189i</v>
      </c>
      <c r="F13" s="73" t="str">
        <f t="shared" si="1"/>
        <v>0.00398164111546506-0.00231149405535093i</v>
      </c>
      <c r="G13" s="73" t="str">
        <f t="shared" si="2"/>
        <v>0.40999556998607-0.238018017008628i</v>
      </c>
      <c r="H13" s="76">
        <f t="shared" si="3"/>
        <v>0.47407693872294815</v>
      </c>
      <c r="I13" s="54" t="str">
        <f t="shared" si="4"/>
        <v>2.74027402740273-0.236861399074275i</v>
      </c>
      <c r="J13" s="78" t="str">
        <f t="shared" si="5"/>
        <v>0.474799982192647-0.499364555312558i</v>
      </c>
      <c r="K13" s="78" t="str">
        <f t="shared" si="6"/>
        <v>1.18280187219435-1.48085750919111i</v>
      </c>
      <c r="L13" s="78" t="str">
        <f t="shared" si="7"/>
        <v>0.132472759960909-0.888673174682753i</v>
      </c>
      <c r="M13" s="73">
        <f t="shared" si="8"/>
        <v>-0.92970941689402065</v>
      </c>
      <c r="N13" s="73">
        <f t="shared" si="9"/>
        <v>98.478535583239037</v>
      </c>
      <c r="O13" s="73">
        <f t="shared" si="10"/>
        <v>98.478535583239037</v>
      </c>
    </row>
    <row r="14" spans="1:18" ht="15" x14ac:dyDescent="0.2">
      <c r="A14" s="74">
        <f t="shared" si="11"/>
        <v>13</v>
      </c>
      <c r="B14" s="73">
        <f t="shared" si="12"/>
        <v>13000</v>
      </c>
      <c r="C14" s="73">
        <f t="shared" si="0"/>
        <v>102.97150297991685</v>
      </c>
      <c r="D14" s="54" t="str">
        <f>IMDIV((COMPLEX(1,2*PI()*(B14)*(esrcout*0.001)*(cout*0.000001))),(COMPLEX(1,2*PI()*(B14)*rload*(cout*0.000001))))</f>
        <v>0.00430683502987521-0.00112870006415819i</v>
      </c>
      <c r="E14" s="54" t="str">
        <f>IMDIV(1,(COMPLEX((1-(B14/(fpp*1000))^2),(B14/(fpp*1000)))))</f>
        <v>0.99512283085849-0.277490278875169i</v>
      </c>
      <c r="F14" s="73" t="str">
        <f t="shared" si="1"/>
        <v>0.00397262657140025-0.00231830005654468i</v>
      </c>
      <c r="G14" s="73" t="str">
        <f t="shared" si="2"/>
        <v>0.409067328835038-0.238718841180832i</v>
      </c>
      <c r="H14" s="76">
        <f t="shared" si="3"/>
        <v>0.47362724230659742</v>
      </c>
      <c r="I14" s="54" t="str">
        <f t="shared" si="4"/>
        <v>2.74027402740275-0.218641291453177i</v>
      </c>
      <c r="J14" s="78" t="str">
        <f t="shared" si="5"/>
        <v>0.435125038134224-0.495773374963717i</v>
      </c>
      <c r="K14" s="78" t="str">
        <f t="shared" si="6"/>
        <v>1.08396530970168-1.45369120317216i</v>
      </c>
      <c r="L14" s="78" t="str">
        <f t="shared" si="7"/>
        <v>0.0963913143334834-0.853420520044835i</v>
      </c>
      <c r="M14" s="73">
        <f t="shared" si="8"/>
        <v>-1.3216857061944578</v>
      </c>
      <c r="N14" s="73">
        <f t="shared" si="9"/>
        <v>96.444078375706425</v>
      </c>
      <c r="O14" s="73">
        <f t="shared" si="10"/>
        <v>96.444078375706425</v>
      </c>
    </row>
    <row r="15" spans="1:18" ht="15" x14ac:dyDescent="0.2">
      <c r="A15" s="74">
        <f t="shared" si="11"/>
        <v>14</v>
      </c>
      <c r="B15" s="73">
        <f t="shared" si="12"/>
        <v>14000.000000000002</v>
      </c>
      <c r="C15" s="73">
        <f t="shared" si="0"/>
        <v>102.97150297991685</v>
      </c>
      <c r="D15" s="54" t="str">
        <f>IMDIV((COMPLEX(1,2*PI()*(B15)*(esrcout*0.001)*(cout*0.000001))),(COMPLEX(1,2*PI()*(B15)*rload*(cout*0.000001))))</f>
        <v>0.00430665877595503-0.00104807881653103i</v>
      </c>
      <c r="E15" s="54" t="str">
        <f>IMDIV(1,(COMPLEX((1-(B15/(fpp*1000))^2),(B15/(fpp*1000)))))</f>
        <v>0.993374742343426-0.301806562343923i</v>
      </c>
      <c r="F15" s="73" t="str">
        <f t="shared" si="1"/>
        <v>0.00396180898724267-0.00234091290468639i</v>
      </c>
      <c r="G15" s="73" t="str">
        <f t="shared" si="2"/>
        <v>0.40795342593572-0.24104732014064i</v>
      </c>
      <c r="H15" s="76">
        <f t="shared" si="3"/>
        <v>0.4738457642310156</v>
      </c>
      <c r="I15" s="54" t="str">
        <f t="shared" si="4"/>
        <v>2.74027402740274-0.203024056349379i</v>
      </c>
      <c r="J15" s="78" t="str">
        <f t="shared" si="5"/>
        <v>0.399107100714115-0.489714838322965i</v>
      </c>
      <c r="K15" s="78" t="str">
        <f t="shared" si="6"/>
        <v>0.99423892930809-1.42298119479497i</v>
      </c>
      <c r="L15" s="78" t="str">
        <f t="shared" si="7"/>
        <v>0.0625973737940439-0.820168682947926i</v>
      </c>
      <c r="M15" s="73">
        <f t="shared" si="8"/>
        <v>-1.6967115195650435</v>
      </c>
      <c r="N15" s="73">
        <f t="shared" si="9"/>
        <v>94.364499117065435</v>
      </c>
      <c r="O15" s="73">
        <f t="shared" si="10"/>
        <v>94.364499117065435</v>
      </c>
    </row>
    <row r="16" spans="1:18" ht="15" x14ac:dyDescent="0.2">
      <c r="A16" s="74">
        <f t="shared" si="11"/>
        <v>15</v>
      </c>
      <c r="B16" s="73">
        <f t="shared" si="12"/>
        <v>15000</v>
      </c>
      <c r="C16" s="73">
        <f t="shared" si="0"/>
        <v>102.97150297991685</v>
      </c>
      <c r="D16" s="54" t="str">
        <f>IMDIV((COMPLEX(1,2*PI()*(B16)*(esrcout*0.001)*(cout*0.000001))),(COMPLEX(1,2*PI()*(B16)*rload*(cout*0.000001))))</f>
        <v>0.0043065165832408-0.00097820703512448i</v>
      </c>
      <c r="E16" s="54" t="str">
        <f>IMDIV(1,(COMPLEX((1-(B16/(fpp*1000))^2),(B16/(fpp*1000)))))</f>
        <v>0.991177431652325-0.326761790654613i</v>
      </c>
      <c r="F16" s="73" t="str">
        <f t="shared" si="1"/>
        <v>0.00394888136391655-0.00237678180692247i</v>
      </c>
      <c r="G16" s="73" t="str">
        <f t="shared" si="2"/>
        <v>0.406622249131871-0.244740794914129i</v>
      </c>
      <c r="H16" s="76">
        <f t="shared" si="3"/>
        <v>0.47459425848219139</v>
      </c>
      <c r="I16" s="54" t="str">
        <f t="shared" si="4"/>
        <v>2.74027402740273-0.18948911925942i</v>
      </c>
      <c r="J16" s="78" t="str">
        <f t="shared" si="5"/>
        <v>0.366520623364025-0.481853977894623i</v>
      </c>
      <c r="K16" s="78" t="str">
        <f t="shared" si="6"/>
        <v>0.913060858828996-1.38986361073699i</v>
      </c>
      <c r="L16" s="78" t="str">
        <f t="shared" si="7"/>
        <v>0.0311145350973316-0.788612707779204i</v>
      </c>
      <c r="M16" s="73">
        <f t="shared" si="8"/>
        <v>-2.055969264084915</v>
      </c>
      <c r="N16" s="73">
        <f t="shared" si="9"/>
        <v>92.259420043685026</v>
      </c>
      <c r="O16" s="73">
        <f t="shared" si="10"/>
        <v>92.259420043685026</v>
      </c>
    </row>
    <row r="17" spans="1:18" ht="15" x14ac:dyDescent="0.2">
      <c r="A17" s="74">
        <f t="shared" si="11"/>
        <v>16</v>
      </c>
      <c r="B17" s="73">
        <f t="shared" si="12"/>
        <v>16000</v>
      </c>
      <c r="C17" s="73">
        <f t="shared" si="0"/>
        <v>102.97150297991685</v>
      </c>
      <c r="D17" s="54" t="str">
        <f>IMDIV((COMPLEX(1,2*PI()*(B17)*(esrcout*0.001)*(cout*0.000001))),(COMPLEX(1,2*PI()*(B17)*rload*(cout*0.000001))))</f>
        <v>0.00430640020889326-0.000917069202614111i</v>
      </c>
      <c r="E17" s="54" t="str">
        <f>IMDIV(1,(COMPLEX((1-(B17/(fpp*1000))^2),(B17/(fpp*1000)))))</f>
        <v>0.98845289678367-0.352389624521807i</v>
      </c>
      <c r="F17" s="73" t="str">
        <f t="shared" si="1"/>
        <v>0.00393350808922064-0.00242401046252754i</v>
      </c>
      <c r="G17" s="73" t="str">
        <f t="shared" si="2"/>
        <v>0.40503923993071-0.249604000565504i</v>
      </c>
      <c r="H17" s="76">
        <f t="shared" si="3"/>
        <v>0.47577194429889558</v>
      </c>
      <c r="I17" s="54" t="str">
        <f t="shared" si="4"/>
        <v>2.74027402740274-0.177646049305706i</v>
      </c>
      <c r="J17" s="78" t="str">
        <f t="shared" si="5"/>
        <v>0.337098844917639-0.472718958444478i</v>
      </c>
      <c r="K17" s="78" t="str">
        <f t="shared" si="6"/>
        <v>0.8397665539957-1.35526376211141i</v>
      </c>
      <c r="L17" s="78" t="str">
        <f t="shared" si="7"/>
        <v>0.00185914990518637-0.758544095529674i</v>
      </c>
      <c r="M17" s="73">
        <f t="shared" si="8"/>
        <v>-2.4003572679514824</v>
      </c>
      <c r="N17" s="73">
        <f t="shared" si="9"/>
        <v>90.140428526675962</v>
      </c>
      <c r="O17" s="73">
        <f t="shared" si="10"/>
        <v>90.140428526675962</v>
      </c>
    </row>
    <row r="18" spans="1:18" ht="15" x14ac:dyDescent="0.2">
      <c r="A18" s="74">
        <f t="shared" si="11"/>
        <v>17</v>
      </c>
      <c r="B18" s="73">
        <f t="shared" si="12"/>
        <v>17000</v>
      </c>
      <c r="C18" s="73">
        <f t="shared" si="0"/>
        <v>102.97150297991685</v>
      </c>
      <c r="D18" s="54" t="str">
        <f>IMDIV((COMPLEX(1,2*PI()*(B18)*(esrcout*0.001)*(cout*0.000001))),(COMPLEX(1,2*PI()*(B18)*rload*(cout*0.000001))))</f>
        <v>0.00430630376066073-0.00086312403900834i</v>
      </c>
      <c r="E18" s="54" t="str">
        <f>IMDIV(1,(COMPLEX((1-(B18/(fpp*1000))^2),(B18/(fpp*1000)))))</f>
        <v>0.985114830259947-0.378718953288537i</v>
      </c>
      <c r="F18" s="73" t="str">
        <f t="shared" si="1"/>
        <v>0.00391532226561965-0.0024811551439609i</v>
      </c>
      <c r="G18" s="73" t="str">
        <f t="shared" si="2"/>
        <v>0.403166618341589-0.255488274300006i</v>
      </c>
      <c r="H18" s="76">
        <f t="shared" si="3"/>
        <v>0.47730239937568675</v>
      </c>
      <c r="I18" s="54" t="str">
        <f t="shared" si="4"/>
        <v>2.74027402740274-0.167196281699489i</v>
      </c>
      <c r="J18" s="78" t="str">
        <f t="shared" si="5"/>
        <v>0.31056077397573-0.462723221422186i</v>
      </c>
      <c r="K18" s="78" t="str">
        <f t="shared" si="6"/>
        <v>0.773656020777987-1.3199130321898i</v>
      </c>
      <c r="L18" s="78" t="str">
        <f t="shared" si="7"/>
        <v>-0.0253100211635892-0.729804915343332i</v>
      </c>
      <c r="M18" s="73">
        <f t="shared" si="8"/>
        <v>-2.7306440274146433</v>
      </c>
      <c r="N18" s="73">
        <f t="shared" si="9"/>
        <v>88.013748066428633</v>
      </c>
      <c r="O18" s="73">
        <f t="shared" si="10"/>
        <v>88.013748066428633</v>
      </c>
    </row>
    <row r="19" spans="1:18" ht="15" x14ac:dyDescent="0.2">
      <c r="A19" s="74">
        <f t="shared" si="11"/>
        <v>18</v>
      </c>
      <c r="B19" s="73">
        <f t="shared" si="12"/>
        <v>18000</v>
      </c>
      <c r="C19" s="73">
        <f t="shared" si="0"/>
        <v>102.97150297991685</v>
      </c>
      <c r="D19" s="54" t="str">
        <f>IMDIV((COMPLEX(1,2*PI()*(B19)*(esrcout*0.001)*(cout*0.000001))),(COMPLEX(1,2*PI()*(B19)*rload*(cout*0.000001))))</f>
        <v>0.00430622293608935-0.000815172769678813i</v>
      </c>
      <c r="E19" s="54" t="str">
        <f>IMDIV(1,(COMPLEX((1-(B19/(fpp*1000))^2),(B19/(fpp*1000)))))</f>
        <v>0.981068267923973-0.405772721108261i</v>
      </c>
      <c r="F19" s="73" t="str">
        <f t="shared" si="1"/>
        <v>0.00389392380427773-0.00254708793568336i</v>
      </c>
      <c r="G19" s="73" t="str">
        <f t="shared" si="2"/>
        <v>0.400963186615753-0.262277472959329i</v>
      </c>
      <c r="H19" s="76">
        <f t="shared" si="3"/>
        <v>0.4791251922441469</v>
      </c>
      <c r="I19" s="54" t="str">
        <f t="shared" si="4"/>
        <v>2.74027402740273-0.15790759938285i</v>
      </c>
      <c r="J19" s="78" t="str">
        <f t="shared" si="5"/>
        <v>0.286628418842458-0.452186430971044i</v>
      </c>
      <c r="K19" s="78" t="str">
        <f t="shared" si="6"/>
        <v>0.714036737881363-1.2843755378682i</v>
      </c>
      <c r="L19" s="78" t="str">
        <f t="shared" si="7"/>
        <v>-0.0505603246212221-0.702263059686602i</v>
      </c>
      <c r="M19" s="73">
        <f t="shared" si="8"/>
        <v>-3.0475501594962044</v>
      </c>
      <c r="N19" s="73">
        <f t="shared" si="9"/>
        <v>85.88202260155748</v>
      </c>
      <c r="O19" s="73">
        <f t="shared" si="10"/>
        <v>85.88202260155748</v>
      </c>
    </row>
    <row r="20" spans="1:18" ht="15" x14ac:dyDescent="0.2">
      <c r="A20" s="74">
        <f t="shared" si="11"/>
        <v>19</v>
      </c>
      <c r="B20" s="73">
        <f t="shared" si="12"/>
        <v>19000</v>
      </c>
      <c r="C20" s="73">
        <f t="shared" si="0"/>
        <v>102.97150297991685</v>
      </c>
      <c r="D20" s="54" t="str">
        <f>IMDIV((COMPLEX(1,2*PI()*(B20)*(esrcout*0.001)*(cout*0.000001))),(COMPLEX(1,2*PI()*(B20)*rload*(cout*0.000001))))</f>
        <v>0.00430615453424753-0.000772268992748793i</v>
      </c>
      <c r="E20" s="54" t="str">
        <f>IMDIV(1,(COMPLEX((1-(B20/(fpp*1000))^2),(B20/(fpp*1000)))))</f>
        <v>0.976209335792462-0.433566558673604i</v>
      </c>
      <c r="F20" s="73" t="str">
        <f t="shared" si="1"/>
        <v>0.00386887824814106-0.00262090080299485i</v>
      </c>
      <c r="G20" s="73" t="str">
        <f t="shared" si="2"/>
        <v>0.398384208057393-0.269878094845651i</v>
      </c>
      <c r="H20" s="76">
        <f t="shared" si="3"/>
        <v>0.48119036077942617</v>
      </c>
      <c r="I20" s="54" t="str">
        <f t="shared" si="4"/>
        <v>2.74027402740274-0.149596673099542i</v>
      </c>
      <c r="J20" s="78" t="str">
        <f t="shared" si="5"/>
        <v>0.26503709916248-0.441352959919856i</v>
      </c>
      <c r="K20" s="78" t="str">
        <f t="shared" si="6"/>
        <v>0.660249344666463-1.24907672126836i</v>
      </c>
      <c r="L20" s="78" t="str">
        <f t="shared" si="7"/>
        <v>-0.0740655335565957-0.675799275667095i</v>
      </c>
      <c r="M20" s="73">
        <f t="shared" si="8"/>
        <v>-3.3517911293585523</v>
      </c>
      <c r="N20" s="73">
        <f t="shared" si="9"/>
        <v>83.745519978899296</v>
      </c>
      <c r="O20" s="73">
        <f t="shared" si="10"/>
        <v>83.745519978899296</v>
      </c>
    </row>
    <row r="21" spans="1:18" ht="15" x14ac:dyDescent="0.2">
      <c r="A21" s="74">
        <f t="shared" si="11"/>
        <v>20</v>
      </c>
      <c r="B21" s="73">
        <f t="shared" si="12"/>
        <v>20000</v>
      </c>
      <c r="C21" s="73">
        <f t="shared" si="0"/>
        <v>102.97150297991685</v>
      </c>
      <c r="D21" s="54" t="str">
        <f>IMDIV((COMPLEX(1,2*PI()*(B21)*(esrcout*0.001)*(cout*0.000001))),(COMPLEX(1,2*PI()*(B21)*rload*(cout*0.000001))))</f>
        <v>0.00430609613385677-0.000733655586142422i</v>
      </c>
      <c r="E21" s="54" t="str">
        <f>IMDIV(1,(COMPLEX((1-(B21/(fpp*1000))^2),(B21/(fpp*1000)))))</f>
        <v>0.970425138632163-0.462107208872458i</v>
      </c>
      <c r="F21" s="73" t="str">
        <f t="shared" si="1"/>
        <v>0.00383971640247541-0.00270183588944355i</v>
      </c>
      <c r="G21" s="73" t="str">
        <f t="shared" si="2"/>
        <v>0.395381368979532-0.278212102341083i</v>
      </c>
      <c r="H21" s="76">
        <f t="shared" si="3"/>
        <v>0.48345465229447743</v>
      </c>
      <c r="I21" s="54" t="str">
        <f t="shared" si="4"/>
        <v>2.74027402740274-0.142116839444565i</v>
      </c>
      <c r="J21" s="78" t="str">
        <f t="shared" si="5"/>
        <v>0.245541036692956-0.430407523159975i</v>
      </c>
      <c r="K21" s="78" t="str">
        <f t="shared" si="6"/>
        <v>0.611681568646591-1.21433007300277i</v>
      </c>
      <c r="L21" s="78" t="str">
        <f t="shared" si="7"/>
        <v>-0.0959938265550647-0.65030070183331i</v>
      </c>
      <c r="M21" s="73">
        <f t="shared" si="8"/>
        <v>-3.6440988664133056</v>
      </c>
      <c r="N21" s="73">
        <f t="shared" si="9"/>
        <v>81.602951242931795</v>
      </c>
      <c r="O21" s="73">
        <f t="shared" si="10"/>
        <v>81.602951242931795</v>
      </c>
    </row>
    <row r="22" spans="1:18" ht="15" x14ac:dyDescent="0.2">
      <c r="A22" s="74">
        <f t="shared" si="11"/>
        <v>21</v>
      </c>
      <c r="B22" s="73">
        <f t="shared" si="12"/>
        <v>21000</v>
      </c>
      <c r="C22" s="73">
        <f t="shared" si="0"/>
        <v>102.97150297991685</v>
      </c>
      <c r="D22" s="54" t="str">
        <f>IMDIV((COMPLEX(1,2*PI()*(B22)*(esrcout*0.001)*(cout*0.000001))),(COMPLEX(1,2*PI()*(B22)*rload*(cout*0.000001))))</f>
        <v>0.00430604587603492-0.000698719641117919i</v>
      </c>
      <c r="E22" s="54" t="str">
        <f>IMDIV(1,(COMPLEX((1-(B22/(fpp*1000))^2),(B22/(fpp*1000)))))</f>
        <v>0.963593842808501-0.491390740625996i</v>
      </c>
      <c r="F22" s="73" t="str">
        <f t="shared" si="1"/>
        <v>0.00380593493105932-0.00278923301622491i</v>
      </c>
      <c r="G22" s="73" t="str">
        <f t="shared" si="2"/>
        <v>0.391902840094944-0.287211515841886i</v>
      </c>
      <c r="H22" s="76">
        <f t="shared" si="3"/>
        <v>0.48587888501835236</v>
      </c>
      <c r="I22" s="54" t="str">
        <f t="shared" si="4"/>
        <v>2.74027402740273-0.135349370899586i</v>
      </c>
      <c r="J22" s="78" t="str">
        <f t="shared" si="5"/>
        <v>0.22791583905811-0.419488032444965i</v>
      </c>
      <c r="K22" s="78" t="str">
        <f t="shared" si="6"/>
        <v>0.567774412913308-1.18036042554978i</v>
      </c>
      <c r="L22" s="78" t="str">
        <f t="shared" si="7"/>
        <v>-0.116500702107961-0.625657952897704i</v>
      </c>
      <c r="M22" s="73">
        <f t="shared" si="8"/>
        <v>-3.925232222694838</v>
      </c>
      <c r="N22" s="73">
        <f t="shared" si="9"/>
        <v>79.452034029838771</v>
      </c>
      <c r="O22" s="73">
        <f t="shared" si="10"/>
        <v>79.452034029838771</v>
      </c>
    </row>
    <row r="23" spans="1:18" ht="15" x14ac:dyDescent="0.2">
      <c r="A23" s="74">
        <f t="shared" si="11"/>
        <v>22</v>
      </c>
      <c r="B23" s="73">
        <f t="shared" si="12"/>
        <v>22000</v>
      </c>
      <c r="C23" s="73">
        <f t="shared" si="0"/>
        <v>102.97150297991685</v>
      </c>
      <c r="D23" s="54" t="str">
        <f>IMDIV((COMPLEX(1,2*PI()*(B23)*(esrcout*0.001)*(cout*0.000001))),(COMPLEX(1,2*PI()*(B23)*rload*(cout*0.000001))))</f>
        <v>0.00430600231452427-0.000666959686610158i</v>
      </c>
      <c r="E23" s="54" t="str">
        <f>IMDIV(1,(COMPLEX((1-(B23/(fpp*1000))^2),(B23/(fpp*1000)))))</f>
        <v>0.95558501521352-0.521400553935948i</v>
      </c>
      <c r="F23" s="73" t="str">
        <f t="shared" si="1"/>
        <v>0.00376699813718264-0.0028824886743186i</v>
      </c>
      <c r="G23" s="73" t="str">
        <f t="shared" si="2"/>
        <v>0.387893459908243-0.296814191117174i</v>
      </c>
      <c r="H23" s="76">
        <f t="shared" si="3"/>
        <v>0.48842604382662685</v>
      </c>
      <c r="I23" s="54" t="str">
        <f t="shared" si="4"/>
        <v>2.74027402740274-0.129197126767787i</v>
      </c>
      <c r="J23" s="78" t="str">
        <f t="shared" si="5"/>
        <v>0.211959016866011-0.408695965278843i</v>
      </c>
      <c r="K23" s="78" t="str">
        <f t="shared" si="6"/>
        <v>0.528023444356136-1.14732343472952i</v>
      </c>
      <c r="L23" s="78" t="str">
        <f t="shared" si="7"/>
        <v>-0.135725036485051-0.601764108258513i</v>
      </c>
      <c r="M23" s="73">
        <f t="shared" si="8"/>
        <v>-4.1959817111955333</v>
      </c>
      <c r="N23" s="73">
        <f t="shared" si="9"/>
        <v>77.289884779969697</v>
      </c>
      <c r="O23" s="73">
        <f t="shared" si="10"/>
        <v>77.289884779969697</v>
      </c>
    </row>
    <row r="24" spans="1:18" ht="15" x14ac:dyDescent="0.2">
      <c r="A24" s="74">
        <f t="shared" si="11"/>
        <v>23</v>
      </c>
      <c r="B24" s="73">
        <f t="shared" si="12"/>
        <v>23000</v>
      </c>
      <c r="C24" s="73">
        <f t="shared" si="0"/>
        <v>102.97150297991685</v>
      </c>
      <c r="D24" s="54" t="str">
        <f>IMDIV((COMPLEX(1,2*PI()*(B24)*(esrcout*0.001)*(cout*0.000001))),(COMPLEX(1,2*PI()*(B24)*rload*(cout*0.000001))))</f>
        <v>0.00430596431046881-0.000637961463716211i</v>
      </c>
      <c r="E24" s="54" t="str">
        <f>IMDIV(1,(COMPLEX((1-(B24/(fpp*1000))^2),(B24/(fpp*1000)))))</f>
        <v>0.946260289080358-0.552105191497926i</v>
      </c>
      <c r="F24" s="73" t="str">
        <f t="shared" si="1"/>
        <v>0.00372234119710058-0.00298102284929285i</v>
      </c>
      <c r="G24" s="73" t="str">
        <f t="shared" si="2"/>
        <v>0.38329506766951-0.306960403209159i</v>
      </c>
      <c r="H24" s="76">
        <f t="shared" si="3"/>
        <v>0.49105987215216812</v>
      </c>
      <c r="I24" s="54" t="str">
        <f t="shared" si="4"/>
        <v>2.74027402740274-0.123579860386579i</v>
      </c>
      <c r="J24" s="78" t="str">
        <f t="shared" si="5"/>
        <v>0.197489315722579-0.398104616775548i</v>
      </c>
      <c r="K24" s="78" t="str">
        <f t="shared" si="6"/>
        <v>0.491977129603748-1.11532144360399i</v>
      </c>
      <c r="L24" s="78" t="str">
        <f t="shared" si="7"/>
        <v>-0.153787112853182-0.578514706272298i</v>
      </c>
      <c r="M24" s="73">
        <f t="shared" si="8"/>
        <v>-4.4571714379345915</v>
      </c>
      <c r="N24" s="73">
        <f t="shared" si="9"/>
        <v>75.113296299087224</v>
      </c>
      <c r="O24" s="73">
        <f t="shared" si="10"/>
        <v>75.113296299087224</v>
      </c>
    </row>
    <row r="25" spans="1:18" ht="15" x14ac:dyDescent="0.2">
      <c r="A25" s="74">
        <f t="shared" si="11"/>
        <v>24</v>
      </c>
      <c r="B25" s="73">
        <f t="shared" si="12"/>
        <v>24000</v>
      </c>
      <c r="C25" s="73">
        <f t="shared" si="0"/>
        <v>102.97150297991685</v>
      </c>
      <c r="D25" s="54" t="str">
        <f>IMDIV((COMPLEX(1,2*PI()*(B25)*(esrcout*0.001)*(cout*0.000001))),(COMPLEX(1,2*PI()*(B25)*rload*(cout*0.000001))))</f>
        <v>0.00430593095721589-0.000611379756541057i</v>
      </c>
      <c r="E25" s="54" t="str">
        <f>IMDIV(1,(COMPLEX((1-(B25/(fpp*1000))^2),(B25/(fpp*1000)))))</f>
        <v>0.935474435292397-0.583455988747857i</v>
      </c>
      <c r="F25" s="73" t="str">
        <f t="shared" si="1"/>
        <v>0.0036713751502565-0.00308425133662185i</v>
      </c>
      <c r="G25" s="73" t="str">
        <f t="shared" si="2"/>
        <v>0.37804701722503-0.317589995699769i</v>
      </c>
      <c r="H25" s="76">
        <f t="shared" si="3"/>
        <v>0.49374381272206486</v>
      </c>
      <c r="I25" s="54" t="str">
        <f t="shared" si="4"/>
        <v>2.74027402740274-0.118430699537138i</v>
      </c>
      <c r="J25" s="78" t="str">
        <f t="shared" si="5"/>
        <v>0.184345384510225-0.387765604096086i</v>
      </c>
      <c r="K25" s="78" t="str">
        <f t="shared" si="6"/>
        <v>0.459233517495401-1.08441616646863i</v>
      </c>
      <c r="L25" s="78" t="str">
        <f t="shared" si="7"/>
        <v>-0.170787864146637-0.555808268010621i</v>
      </c>
      <c r="M25" s="73">
        <f t="shared" si="8"/>
        <v>-4.7096597212152096</v>
      </c>
      <c r="N25" s="73">
        <f t="shared" si="9"/>
        <v>72.918938723982123</v>
      </c>
      <c r="O25" s="73">
        <f t="shared" si="10"/>
        <v>72.918938723982123</v>
      </c>
      <c r="P25" s="73">
        <v>-9.1029999999999998</v>
      </c>
      <c r="Q25" s="73">
        <v>72.905000000000001</v>
      </c>
      <c r="R25" s="73">
        <f>B25</f>
        <v>24000</v>
      </c>
    </row>
    <row r="26" spans="1:18" ht="15" x14ac:dyDescent="0.2">
      <c r="A26" s="74">
        <f t="shared" si="11"/>
        <v>25</v>
      </c>
      <c r="B26" s="73">
        <f t="shared" si="12"/>
        <v>25000</v>
      </c>
      <c r="C26" s="73">
        <f t="shared" si="0"/>
        <v>102.97150297991685</v>
      </c>
      <c r="D26" s="54" t="str">
        <f>IMDIV((COMPLEX(1,2*PI()*(B26)*(esrcout*0.001)*(cout*0.000001))),(COMPLEX(1,2*PI()*(B26)*rload*(cout*0.000001))))</f>
        <v>0.00430590152573595-0.000586924583628175i</v>
      </c>
      <c r="E26" s="54" t="str">
        <f>IMDIV(1,(COMPLEX((1-(B26/(fpp*1000))^2),(B26/(fpp*1000)))))</f>
        <v>0.923076923076923-0.615384615384615i</v>
      </c>
      <c r="F26" s="73" t="str">
        <f t="shared" si="1"/>
        <v>0.00361349397229277-0.00319156209303274i</v>
      </c>
      <c r="G26" s="73" t="str">
        <f t="shared" si="2"/>
        <v>0.372086905335857-0.32863994557331i</v>
      </c>
      <c r="H26" s="76">
        <f t="shared" si="3"/>
        <v>0.49644020682136852</v>
      </c>
      <c r="I26" s="54" t="str">
        <f t="shared" si="4"/>
        <v>2.74027402740274-0.113693471555652i</v>
      </c>
      <c r="J26" s="78" t="str">
        <f t="shared" si="5"/>
        <v>0.172384118547403-0.377713958201226i</v>
      </c>
      <c r="K26" s="78" t="str">
        <f t="shared" si="6"/>
        <v>0.42943611162924-1.05463869832502i</v>
      </c>
      <c r="L26" s="78" t="str">
        <f t="shared" si="7"/>
        <v>-0.186808850601454-0.53354710986024i</v>
      </c>
      <c r="M26" s="73">
        <f t="shared" si="8"/>
        <v>-4.9543390886165115</v>
      </c>
      <c r="N26" s="73">
        <f t="shared" si="9"/>
        <v>70.703509679561975</v>
      </c>
      <c r="O26" s="73">
        <f t="shared" si="10"/>
        <v>70.703509679561975</v>
      </c>
    </row>
    <row r="27" spans="1:18" ht="15" x14ac:dyDescent="0.2">
      <c r="A27" s="74">
        <f t="shared" si="11"/>
        <v>26</v>
      </c>
      <c r="B27" s="73">
        <f t="shared" si="12"/>
        <v>26000</v>
      </c>
      <c r="C27" s="73">
        <f t="shared" si="0"/>
        <v>102.97150297991685</v>
      </c>
      <c r="D27" s="54" t="str">
        <f>IMDIV((COMPLEX(1,2*PI()*(B27)*(esrcout*0.001)*(cout*0.000001))),(COMPLEX(1,2*PI()*(B27)*rload*(cout*0.000001))))</f>
        <v>0.00430587542444374-0.000564350575974918i</v>
      </c>
      <c r="E27" s="54" t="str">
        <f>IMDIV(1,(COMPLEX((1-(B27/(fpp*1000))^2),(B27/(fpp*1000)))))</f>
        <v>0.908914055000462-0.647800587445505i</v>
      </c>
      <c r="F27" s="73" t="str">
        <f t="shared" si="1"/>
        <v>0.00354808405771623-0.00330229479987303i</v>
      </c>
      <c r="G27" s="73" t="str">
        <f t="shared" si="2"/>
        <v>0.365351548122122-0.34004225882569i</v>
      </c>
      <c r="H27" s="76">
        <f t="shared" si="3"/>
        <v>0.49910969886640022</v>
      </c>
      <c r="I27" s="54" t="str">
        <f t="shared" si="4"/>
        <v>2.74027402740274-0.109320645726589i</v>
      </c>
      <c r="J27" s="78" t="str">
        <f t="shared" si="5"/>
        <v>0.161478890980319-0.367972089631924i</v>
      </c>
      <c r="K27" s="78" t="str">
        <f t="shared" si="6"/>
        <v>0.402269464479243-1.02599733666066i</v>
      </c>
      <c r="L27" s="78" t="str">
        <f t="shared" si="7"/>
        <v>-0.201912680297484-0.511638332676269i</v>
      </c>
      <c r="M27" s="73">
        <f t="shared" si="8"/>
        <v>-5.1921358872294014</v>
      </c>
      <c r="N27" s="73">
        <f t="shared" si="9"/>
        <v>68.463851152880935</v>
      </c>
      <c r="O27" s="73">
        <f t="shared" si="10"/>
        <v>68.463851152880935</v>
      </c>
    </row>
    <row r="28" spans="1:18" ht="15" x14ac:dyDescent="0.2">
      <c r="A28" s="74">
        <f t="shared" si="11"/>
        <v>27</v>
      </c>
      <c r="B28" s="73">
        <f t="shared" si="12"/>
        <v>27000</v>
      </c>
      <c r="C28" s="73">
        <f t="shared" si="0"/>
        <v>102.97150297991685</v>
      </c>
      <c r="D28" s="54" t="str">
        <f>IMDIV((COMPLEX(1,2*PI()*(B28)*(esrcout*0.001)*(cout*0.000001))),(COMPLEX(1,2*PI()*(B28)*rload*(cout*0.000001))))</f>
        <v>0.00430585216923657-0.000543448715483327i</v>
      </c>
      <c r="E28" s="54" t="str">
        <f>IMDIV(1,(COMPLEX((1-(B28/(fpp*1000))^2),(B28/(fpp*1000)))))</f>
        <v>0.89283175581238-0.680588859597241i</v>
      </c>
      <c r="F28" s="73" t="str">
        <f t="shared" si="1"/>
        <v>0.00347453641100765-0.00341572328829398i</v>
      </c>
      <c r="G28" s="73" t="str">
        <f t="shared" si="2"/>
        <v>0.357778236399904-0.351722160759135i</v>
      </c>
      <c r="H28" s="76">
        <f t="shared" si="3"/>
        <v>0.50171081791257044</v>
      </c>
      <c r="I28" s="54" t="str">
        <f t="shared" si="4"/>
        <v>2.74027402740274-0.1052717329219i</v>
      </c>
      <c r="J28" s="78" t="str">
        <f t="shared" si="5"/>
        <v>0.151517801661492-0.358552865615603i</v>
      </c>
      <c r="K28" s="78" t="str">
        <f t="shared" si="6"/>
        <v>0.377454815074679-0.998483646646684i</v>
      </c>
      <c r="L28" s="78" t="str">
        <f t="shared" si="7"/>
        <v>-0.216143707623162-0.489994941318401i</v>
      </c>
      <c r="M28" s="73">
        <f t="shared" si="8"/>
        <v>-5.4240094850451479</v>
      </c>
      <c r="N28" s="73">
        <f t="shared" si="9"/>
        <v>66.197044952022637</v>
      </c>
      <c r="O28" s="73">
        <f t="shared" si="10"/>
        <v>66.197044952022637</v>
      </c>
    </row>
    <row r="29" spans="1:18" ht="15" x14ac:dyDescent="0.2">
      <c r="A29" s="74">
        <f t="shared" si="11"/>
        <v>28</v>
      </c>
      <c r="B29" s="73">
        <f t="shared" si="12"/>
        <v>28000.000000000004</v>
      </c>
      <c r="C29" s="73">
        <f t="shared" si="0"/>
        <v>102.97150297991685</v>
      </c>
      <c r="D29" s="54" t="str">
        <f>IMDIV((COMPLEX(1,2*PI()*(B29)*(esrcout*0.001)*(cout*0.000001))),(COMPLEX(1,2*PI()*(B29)*rload*(cout*0.000001))))</f>
        <v>0.00430583136088461-0.000524039843739055i</v>
      </c>
      <c r="E29" s="54" t="str">
        <f>IMDIV(1,(COMPLEX((1-(B29/(fpp*1000))^2),(B29/(fpp*1000)))))</f>
        <v>0.874679080449271-0.713607641392179i</v>
      </c>
      <c r="F29" s="73" t="str">
        <f t="shared" si="1"/>
        <v>0.00339226177842203-0.0035310408503138i</v>
      </c>
      <c r="G29" s="73" t="str">
        <f t="shared" si="2"/>
        <v>0.349306293825442-0.363596583440296i</v>
      </c>
      <c r="H29" s="76">
        <f t="shared" si="3"/>
        <v>0.50419972470789998</v>
      </c>
      <c r="I29" s="54" t="str">
        <f t="shared" si="4"/>
        <v>2.74027402740274-0.101512028174689i</v>
      </c>
      <c r="J29" s="78" t="str">
        <f t="shared" si="5"/>
        <v>0.142402017405415-0.349461990557318i</v>
      </c>
      <c r="K29" s="78" t="str">
        <f t="shared" si="6"/>
        <v>0.354745954314374-0.972077133891671i</v>
      </c>
      <c r="L29" s="78" t="str">
        <f t="shared" si="7"/>
        <v>-0.229528930172323-0.468537077930131i</v>
      </c>
      <c r="M29" s="73">
        <f t="shared" si="8"/>
        <v>-5.6509508974525948</v>
      </c>
      <c r="N29" s="73">
        <f t="shared" si="9"/>
        <v>63.900494658372793</v>
      </c>
      <c r="O29" s="73">
        <f t="shared" si="10"/>
        <v>63.900494658372793</v>
      </c>
    </row>
    <row r="30" spans="1:18" ht="15" x14ac:dyDescent="0.2">
      <c r="A30" s="74">
        <f t="shared" si="11"/>
        <v>29</v>
      </c>
      <c r="B30" s="73">
        <f t="shared" si="12"/>
        <v>28999.999999999996</v>
      </c>
      <c r="C30" s="73">
        <f t="shared" si="0"/>
        <v>102.97150297991685</v>
      </c>
      <c r="D30" s="54" t="str">
        <f>IMDIV((COMPLEX(1,2*PI()*(B30)*(esrcout*0.001)*(cout*0.000001))),(COMPLEX(1,2*PI()*(B30)*rload*(cout*0.000001))))</f>
        <v>0.00430581266778152-0.000505969513798818i</v>
      </c>
      <c r="E30" s="54" t="str">
        <f>IMDIV(1,(COMPLEX((1-(B30/(fpp*1000))^2),(B30/(fpp*1000)))))</f>
        <v>0.854312480830752-0.74668661675985i</v>
      </c>
      <c r="F30" s="73" t="str">
        <f t="shared" si="1"/>
        <v>0.00330070883776284-0.00364734876386569i</v>
      </c>
      <c r="G30" s="73" t="str">
        <f t="shared" si="2"/>
        <v>0.339878949923534-0.375572984107192i</v>
      </c>
      <c r="H30" s="76">
        <f t="shared" si="3"/>
        <v>0.50653012446675394</v>
      </c>
      <c r="I30" s="54" t="str">
        <f t="shared" si="4"/>
        <v>2.74027402740273-0.0980116134100447i</v>
      </c>
      <c r="J30" s="78" t="str">
        <f t="shared" si="5"/>
        <v>0.134044241809507-0.340699843039619i</v>
      </c>
      <c r="K30" s="78" t="str">
        <f t="shared" si="6"/>
        <v>0.333925413048621-0.946748823429731i</v>
      </c>
      <c r="L30" s="78" t="str">
        <f t="shared" si="7"/>
        <v>-0.242079062075729-0.447193359796536i</v>
      </c>
      <c r="M30" s="73">
        <f t="shared" si="8"/>
        <v>-5.8739805965964393</v>
      </c>
      <c r="N30" s="73">
        <f t="shared" si="9"/>
        <v>61.571999129855087</v>
      </c>
      <c r="O30" s="73">
        <f t="shared" si="10"/>
        <v>61.571999129855087</v>
      </c>
    </row>
    <row r="31" spans="1:18" ht="15" x14ac:dyDescent="0.2">
      <c r="A31" s="74">
        <f t="shared" si="11"/>
        <v>30</v>
      </c>
      <c r="B31" s="73">
        <f t="shared" si="12"/>
        <v>30000</v>
      </c>
      <c r="C31" s="73">
        <f t="shared" si="0"/>
        <v>102.97150297991685</v>
      </c>
      <c r="D31" s="54" t="str">
        <f>IMDIV((COMPLEX(1,2*PI()*(B31)*(esrcout*0.001)*(cout*0.000001))),(COMPLEX(1,2*PI()*(B31)*rload*(cout*0.000001))))</f>
        <v>0.00430579581265077-0.000489103871618417i</v>
      </c>
      <c r="E31" s="54" t="str">
        <f>IMDIV(1,(COMPLEX((1-(B31/(fpp*1000))^2),(B31/(fpp*1000)))))</f>
        <v>0.831600831600832-0.77962577962578i</v>
      </c>
      <c r="F31" s="73" t="str">
        <f t="shared" si="1"/>
        <v>0.00319938539127526-0.00376364860372434i</v>
      </c>
      <c r="G31" s="73" t="str">
        <f t="shared" si="2"/>
        <v>0.329445522351603-0.387548553413761i</v>
      </c>
      <c r="H31" s="76">
        <f t="shared" si="3"/>
        <v>0.50865335293362535</v>
      </c>
      <c r="I31" s="54" t="str">
        <f t="shared" si="4"/>
        <v>2.74027402740274-0.0947445596297102i</v>
      </c>
      <c r="J31" s="78" t="str">
        <f t="shared" si="5"/>
        <v>0.126367330364555-0.332262890165439i</v>
      </c>
      <c r="K31" s="78" t="str">
        <f t="shared" si="6"/>
        <v>0.314801012100192-0.922463985257093i</v>
      </c>
      <c r="L31" s="78" t="str">
        <f t="shared" si="7"/>
        <v>-0.253789799194518-0.425902306326182i</v>
      </c>
      <c r="M31" s="73">
        <f t="shared" si="8"/>
        <v>-6.0941452288210121</v>
      </c>
      <c r="N31" s="73">
        <f t="shared" si="9"/>
        <v>59.209820485697151</v>
      </c>
      <c r="O31" s="73">
        <f t="shared" si="10"/>
        <v>59.209820485697151</v>
      </c>
    </row>
    <row r="32" spans="1:18" ht="15" x14ac:dyDescent="0.2">
      <c r="A32" s="74">
        <f t="shared" si="11"/>
        <v>31</v>
      </c>
      <c r="B32" s="73">
        <f t="shared" si="12"/>
        <v>31000</v>
      </c>
      <c r="C32" s="73">
        <f t="shared" si="0"/>
        <v>102.97150297991685</v>
      </c>
      <c r="D32" s="54" t="str">
        <f>IMDIV((COMPLEX(1,2*PI()*(B32)*(esrcout*0.001)*(cout*0.000001))),(COMPLEX(1,2*PI()*(B32)*rload*(cout*0.000001))))</f>
        <v>0.00430578056220384-0.000473326334622316i</v>
      </c>
      <c r="E32" s="54" t="str">
        <f>IMDIV(1,(COMPLEX((1-(B32/(fpp*1000))^2),(B32/(fpp*1000)))))</f>
        <v>0.80643116012275-0.812195125529735i</v>
      </c>
      <c r="F32" s="73" t="str">
        <f t="shared" si="1"/>
        <v>0.00308788227224693-0.00387883908936876i</v>
      </c>
      <c r="G32" s="73" t="str">
        <f t="shared" si="2"/>
        <v>0.317963878598307-0.399409890849553i</v>
      </c>
      <c r="H32" s="76">
        <f t="shared" si="3"/>
        <v>0.51051864706563932</v>
      </c>
      <c r="I32" s="54" t="str">
        <f t="shared" si="4"/>
        <v>2.74027402740275-0.0916882835126231i</v>
      </c>
      <c r="J32" s="78" t="str">
        <f t="shared" si="5"/>
        <v>0.119303052897333-0.324144773930893i</v>
      </c>
      <c r="K32" s="78" t="str">
        <f t="shared" si="6"/>
        <v>0.297202779313107-0.899184197259134i</v>
      </c>
      <c r="L32" s="78" t="str">
        <f t="shared" si="7"/>
        <v>-0.264643313640321-0.404613824580451i</v>
      </c>
      <c r="M32" s="73">
        <f t="shared" si="8"/>
        <v>-6.3125129651597973</v>
      </c>
      <c r="N32" s="73">
        <f t="shared" si="9"/>
        <v>56.812747853370155</v>
      </c>
      <c r="O32" s="73">
        <f t="shared" si="10"/>
        <v>56.812747853370155</v>
      </c>
    </row>
    <row r="33" spans="1:18" ht="15" x14ac:dyDescent="0.2">
      <c r="A33" s="74">
        <f t="shared" si="11"/>
        <v>32</v>
      </c>
      <c r="B33" s="73">
        <f t="shared" si="12"/>
        <v>32000</v>
      </c>
      <c r="C33" s="73">
        <f t="shared" si="0"/>
        <v>102.97150297991685</v>
      </c>
      <c r="D33" s="54" t="str">
        <f>IMDIV((COMPLEX(1,2*PI()*(B33)*(esrcout*0.001)*(cout*0.000001))),(COMPLEX(1,2*PI()*(B33)*rload*(cout*0.000001))))</f>
        <v>0.00430576671902434-0.0004585348930404i</v>
      </c>
      <c r="E33" s="54" t="str">
        <f>IMDIV(1,(COMPLEX((1-(B33/(fpp*1000))^2),(B33/(fpp*1000)))))</f>
        <v>0.778714955716654-0.844135453351387i</v>
      </c>
      <c r="F33" s="73" t="str">
        <f t="shared" si="1"/>
        <v>0.00296589938011719-0.00399171832031742i</v>
      </c>
      <c r="G33" s="73" t="str">
        <f t="shared" si="2"/>
        <v>0.305403116857871-0.411033234915554i</v>
      </c>
      <c r="H33" s="76">
        <f t="shared" si="3"/>
        <v>0.51207361188763423</v>
      </c>
      <c r="I33" s="54" t="str">
        <f t="shared" si="4"/>
        <v>2.74027402740273-0.0888230246528531i</v>
      </c>
      <c r="J33" s="78" t="str">
        <f t="shared" si="5"/>
        <v>0.112790997446704-0.316337143474619i</v>
      </c>
      <c r="K33" s="78" t="str">
        <f t="shared" si="6"/>
        <v>0.280980218934591-0.876868895713098i</v>
      </c>
      <c r="L33" s="78" t="str">
        <f t="shared" si="7"/>
        <v>-0.274610024163753-0.383290702162465i</v>
      </c>
      <c r="M33" s="73">
        <f t="shared" si="8"/>
        <v>-6.5301672375885822</v>
      </c>
      <c r="N33" s="73">
        <f t="shared" si="9"/>
        <v>54.380156833781299</v>
      </c>
      <c r="O33" s="73">
        <f t="shared" si="10"/>
        <v>54.380156833781299</v>
      </c>
    </row>
    <row r="34" spans="1:18" ht="15" x14ac:dyDescent="0.2">
      <c r="A34" s="74">
        <f t="shared" si="11"/>
        <v>33</v>
      </c>
      <c r="B34" s="73">
        <f t="shared" si="12"/>
        <v>33000</v>
      </c>
      <c r="C34" s="73">
        <f t="shared" ref="C34:C65" si="13">_ta1*_ta2*(rload/RS)</f>
        <v>102.97150297991685</v>
      </c>
      <c r="D34" s="54" t="str">
        <f>IMDIV((COMPLEX(1,2*PI()*(B34)*(esrcout*0.001)*(cout*0.000001))),(COMPLEX(1,2*PI()*(B34)*rload*(cout*0.000001))))</f>
        <v>0.00430575411514671-0.000444639901910022i</v>
      </c>
      <c r="E34" s="54" t="str">
        <f>IMDIV(1,(COMPLEX((1-(B34/(fpp*1000))^2),(B34/(fpp*1000)))))</f>
        <v>0.748394849515882-0.875160525656418i</v>
      </c>
      <c r="F34" s="73" t="str">
        <f t="shared" ref="F34:F65" si="14">IMPRODUCT(D34,E34)</f>
        <v>0.00283327291277422-0.00410099224723779i</v>
      </c>
      <c r="G34" s="73" t="str">
        <f t="shared" ref="G34:G65" si="15">IMPRODUCT(C34,F34)</f>
        <v>0.291746370180648-0.422285335407062i</v>
      </c>
      <c r="H34" s="76">
        <f t="shared" ref="H34:H65" si="16">IMABS(G34)</f>
        <v>0.51326489166261746</v>
      </c>
      <c r="I34" s="54" t="str">
        <f t="shared" ref="I34:I65" si="17">IMDIV((COMPLEX(1,(2*PI()*B34*(rf*1000)*(Cz*0.000000001)))),(COMPLEX(0,2*PI()*B34*((Cz*0.000000001)+(Cp*0.000000000001))*(RII*1000))))</f>
        <v>2.74027402740274-0.0861314178451912i</v>
      </c>
      <c r="J34" s="78" t="str">
        <f t="shared" ref="J34:J65" si="18">IMDIV(1,(COMPLEX(1,2*PI()*B34*(((Cz*0.000000001)*(Cp*0.000000000001))/((Cz*0.000000001)+(Cp*0.000000000001)))*(rf*1000))))</f>
        <v>0.10677760542311-0.308830290618029i</v>
      </c>
      <c r="K34" s="78" t="str">
        <f t="shared" ref="K34:K65" si="19">IMPRODUCT(I34,J34)</f>
        <v>0.265999908044733-0.855476530805032i</v>
      </c>
      <c r="L34" s="78" t="str">
        <f t="shared" ref="L34:L65" si="20">IMPRODUCT(G34,K34)</f>
        <v>-0.283650686103436-0.361910033024019i</v>
      </c>
      <c r="M34" s="73">
        <f t="shared" ref="M34:M65" si="21">20*LOG(IMABS(L34))</f>
        <v>-6.748198668978346</v>
      </c>
      <c r="N34" s="73">
        <f t="shared" ref="N34:N65" si="22">(180/PI())*IMARGUMENT(L34)+180</f>
        <v>51.912063558867203</v>
      </c>
      <c r="O34" s="73">
        <f t="shared" si="10"/>
        <v>51.912063558867203</v>
      </c>
    </row>
    <row r="35" spans="1:18" ht="15" x14ac:dyDescent="0.2">
      <c r="A35" s="74">
        <f t="shared" si="11"/>
        <v>34</v>
      </c>
      <c r="B35" s="73">
        <f t="shared" si="12"/>
        <v>34000</v>
      </c>
      <c r="C35" s="73">
        <f t="shared" si="13"/>
        <v>102.97150297991685</v>
      </c>
      <c r="D35" s="54" t="str">
        <f>IMDIV((COMPLEX(1,2*PI()*(B35)*(esrcout*0.001)*(cout*0.000001))),(COMPLEX(1,2*PI()*(B35)*rload*(cout*0.000001))))</f>
        <v>0.00430574260693728-0.000431562262724184i</v>
      </c>
      <c r="E35" s="54" t="str">
        <f>IMDIV(1,(COMPLEX((1-(B35/(fpp*1000))^2),(B35/(fpp*1000)))))</f>
        <v>0.715451364638305-0.904960803485952i</v>
      </c>
      <c r="F35" s="73" t="str">
        <f t="shared" si="14"/>
        <v>0.00269000249188548-0.00420529009897007i</v>
      </c>
      <c r="G35" s="73" t="str">
        <f t="shared" si="15"/>
        <v>0.276993599609169-0.433025041957511i</v>
      </c>
      <c r="H35" s="76">
        <f t="shared" si="16"/>
        <v>0.51403904636393993</v>
      </c>
      <c r="I35" s="54" t="str">
        <f t="shared" si="17"/>
        <v>2.74027402740275-0.0835981408497446i</v>
      </c>
      <c r="J35" s="78" t="str">
        <f t="shared" si="18"/>
        <v>0.101215325973284-0.301613633248575i</v>
      </c>
      <c r="K35" s="78" t="str">
        <f t="shared" si="19"/>
        <v>0.252143389945176-0.834965418578516i</v>
      </c>
      <c r="L35" s="78" t="str">
        <f t="shared" si="20"/>
        <v>-0.29171883021446-0.340464478851559i</v>
      </c>
      <c r="M35" s="73">
        <f t="shared" si="21"/>
        <v>-6.967695087970367</v>
      </c>
      <c r="N35" s="73">
        <f t="shared" si="22"/>
        <v>49.409171344986134</v>
      </c>
      <c r="O35" s="73">
        <f t="shared" si="10"/>
        <v>49.409171344986134</v>
      </c>
    </row>
    <row r="36" spans="1:18" ht="15" x14ac:dyDescent="0.2">
      <c r="A36" s="74">
        <f t="shared" si="11"/>
        <v>35</v>
      </c>
      <c r="B36" s="73">
        <f t="shared" ref="B36:B67" si="23">(fs*1000/2)*(A36/100)</f>
        <v>35000</v>
      </c>
      <c r="C36" s="73">
        <f t="shared" si="13"/>
        <v>102.97150297991685</v>
      </c>
      <c r="D36" s="54" t="str">
        <f>IMDIV((COMPLEX(1,2*PI()*(B36)*(esrcout*0.001)*(cout*0.000001))),(COMPLEX(1,2*PI()*(B36)*rload*(cout*0.000001))))</f>
        <v>0.00430573207098377-0.000419231916796744i</v>
      </c>
      <c r="E36" s="54" t="str">
        <f>IMDIV(1,(COMPLEX((1-(B36/(fpp*1000))^2),(B36/(fpp*1000)))))</f>
        <v>0.679909345420611-0.933208905479269i</v>
      </c>
      <c r="F36" s="73" t="str">
        <f t="shared" si="14"/>
        <v>0.00253627651572324-0.00430318721137845i</v>
      </c>
      <c r="G36" s="73" t="str">
        <f t="shared" si="15"/>
        <v>0.261164204796689-0.443105654759596i</v>
      </c>
      <c r="H36" s="76">
        <f t="shared" si="16"/>
        <v>0.5143436236087866</v>
      </c>
      <c r="I36" s="54" t="str">
        <f t="shared" si="17"/>
        <v>2.74027402740274-0.0812096225397515i</v>
      </c>
      <c r="J36" s="78" t="str">
        <f t="shared" si="18"/>
        <v>0.0960618769667604-0.294676081079519i</v>
      </c>
      <c r="K36" s="78" t="str">
        <f t="shared" si="19"/>
        <v>0.23930533315961-0.815294360247961i</v>
      </c>
      <c r="L36" s="78" t="str">
        <f t="shared" si="20"/>
        <v>-0.298763554281242-0.318963249606536i</v>
      </c>
      <c r="M36" s="73">
        <f t="shared" si="21"/>
        <v>-7.1897296311497279</v>
      </c>
      <c r="N36" s="73">
        <f t="shared" si="22"/>
        <v>46.872907292885884</v>
      </c>
      <c r="O36" s="73">
        <f t="shared" si="10"/>
        <v>46.872907292885884</v>
      </c>
    </row>
    <row r="37" spans="1:18" ht="15" x14ac:dyDescent="0.2">
      <c r="A37" s="74">
        <f t="shared" si="11"/>
        <v>36</v>
      </c>
      <c r="B37" s="73">
        <f t="shared" si="23"/>
        <v>36000</v>
      </c>
      <c r="C37" s="73">
        <f t="shared" si="13"/>
        <v>102.97150297991685</v>
      </c>
      <c r="D37" s="54" t="str">
        <f>IMDIV((COMPLEX(1,2*PI()*(B37)*(esrcout*0.001)*(cout*0.000001))),(COMPLEX(1,2*PI()*(B37)*rload*(cout*0.000001))))</f>
        <v>0.00430572240077287-0.000407586589733105i</v>
      </c>
      <c r="E37" s="54" t="str">
        <f>IMDIV(1,(COMPLEX((1-(B37/(fpp*1000))^2),(B37/(fpp*1000)))))</f>
        <v>0.641843596575924-0.959566838734771i</v>
      </c>
      <c r="F37" s="73" t="str">
        <f t="shared" si="14"/>
        <v>0.0023724937761487-0.00439323527524952i</v>
      </c>
      <c r="G37" s="73" t="str">
        <f t="shared" si="15"/>
        <v>0.24429924994053-0.452378039236832i</v>
      </c>
      <c r="H37" s="76">
        <f t="shared" si="16"/>
        <v>0.51412840215773559</v>
      </c>
      <c r="I37" s="54" t="str">
        <f t="shared" si="17"/>
        <v>2.74027402740275-0.0789537996914253i</v>
      </c>
      <c r="J37" s="78" t="str">
        <f t="shared" si="18"/>
        <v>0.091279600351635-0.288006310540726i</v>
      </c>
      <c r="K37" s="78" t="str">
        <f t="shared" si="19"/>
        <v>0.227391925522989-0.796423083784919i</v>
      </c>
      <c r="L37" s="78" t="str">
        <f t="shared" si="20"/>
        <v>-0.304732636197774-0.297432675410357i</v>
      </c>
      <c r="M37" s="73">
        <f t="shared" si="21"/>
        <v>-7.4153470712502969</v>
      </c>
      <c r="N37" s="73">
        <f t="shared" si="22"/>
        <v>44.305445783794141</v>
      </c>
      <c r="O37" s="73">
        <f t="shared" si="10"/>
        <v>44.305445783794141</v>
      </c>
    </row>
    <row r="38" spans="1:18" ht="15" x14ac:dyDescent="0.2">
      <c r="A38" s="74">
        <f t="shared" si="11"/>
        <v>37</v>
      </c>
      <c r="B38" s="73">
        <f t="shared" si="23"/>
        <v>37000</v>
      </c>
      <c r="C38" s="73">
        <f t="shared" si="13"/>
        <v>102.97150297991685</v>
      </c>
      <c r="D38" s="54" t="str">
        <f>IMDIV((COMPLEX(1,2*PI()*(B38)*(esrcout*0.001)*(cout*0.000001))),(COMPLEX(1,2*PI()*(B38)*rload*(cout*0.000001))))</f>
        <v>0.00430571350398769-0.000396570739499996i</v>
      </c>
      <c r="E38" s="54" t="str">
        <f>IMDIV(1,(COMPLEX((1-(B38/(fpp*1000))^2),(B38/(fpp*1000)))))</f>
        <v>0.601383213294196-0.983694911223927i</v>
      </c>
      <c r="F38" s="73" t="str">
        <f t="shared" si="14"/>
        <v>0.00219927920416587-0.0044739994486798i</v>
      </c>
      <c r="G38" s="73" t="str">
        <f t="shared" si="15"/>
        <v>0.226463085125435-0.460694447561878i</v>
      </c>
      <c r="H38" s="76">
        <f t="shared" si="16"/>
        <v>0.51334676675603397</v>
      </c>
      <c r="I38" s="54" t="str">
        <f t="shared" si="17"/>
        <v>2.74027402740273-0.0768199132132783i</v>
      </c>
      <c r="J38" s="78" t="str">
        <f t="shared" si="18"/>
        <v>0.0868349004172422-0.281592969526531i</v>
      </c>
      <c r="K38" s="78" t="str">
        <f t="shared" si="19"/>
        <v>0.216319474804974-0.778312550206698i</v>
      </c>
      <c r="L38" s="78" t="str">
        <f t="shared" si="20"/>
        <v>-0.309575894710903-0.275916242253807i</v>
      </c>
      <c r="M38" s="73">
        <f t="shared" si="21"/>
        <v>-7.6455486652780795</v>
      </c>
      <c r="N38" s="73">
        <f t="shared" si="22"/>
        <v>41.709715718107788</v>
      </c>
      <c r="O38" s="73">
        <f t="shared" si="10"/>
        <v>41.709715718107788</v>
      </c>
    </row>
    <row r="39" spans="1:18" ht="15" x14ac:dyDescent="0.2">
      <c r="A39" s="74">
        <f t="shared" si="11"/>
        <v>38</v>
      </c>
      <c r="B39" s="73">
        <f t="shared" si="23"/>
        <v>38000</v>
      </c>
      <c r="C39" s="73">
        <f t="shared" si="13"/>
        <v>102.97150297991685</v>
      </c>
      <c r="D39" s="54" t="str">
        <f>IMDIV((COMPLEX(1,2*PI()*(B39)*(esrcout*0.001)*(cout*0.000001))),(COMPLEX(1,2*PI()*(B39)*rload*(cout*0.000001))))</f>
        <v>0.0043057053002961-0.000386134670589319i</v>
      </c>
      <c r="E39" s="54" t="str">
        <f>IMDIV(1,(COMPLEX((1-(B39/(fpp*1000))^2),(B39/(fpp*1000)))))</f>
        <v>0.558714077224444-1.00526207076368i</v>
      </c>
      <c r="F39" s="73" t="str">
        <f t="shared" si="14"/>
        <v>0.00201749162510506-0.00454410110243649i</v>
      </c>
      <c r="G39" s="73" t="str">
        <f t="shared" si="15"/>
        <v>0.207744144886463-0.467912920210582i</v>
      </c>
      <c r="H39" s="76">
        <f t="shared" si="16"/>
        <v>0.51195715703035372</v>
      </c>
      <c r="I39" s="54" t="str">
        <f t="shared" si="17"/>
        <v>2.74027402740274-0.0747983365497712i</v>
      </c>
      <c r="J39" s="78" t="str">
        <f t="shared" si="18"/>
        <v>0.0826977545131897-0.27542482805961i</v>
      </c>
      <c r="K39" s="78" t="str">
        <f t="shared" si="19"/>
        <v>0.206013189833656-0.760925157307603i</v>
      </c>
      <c r="L39" s="78" t="str">
        <f t="shared" si="20"/>
        <v>-0.313248678460172-0.254473979384428i</v>
      </c>
      <c r="M39" s="73">
        <f t="shared" si="21"/>
        <v>-7.8812759795040783</v>
      </c>
      <c r="N39" s="73">
        <f t="shared" si="22"/>
        <v>39.089388583697456</v>
      </c>
      <c r="O39" s="73">
        <f t="shared" si="10"/>
        <v>39.089388583697456</v>
      </c>
    </row>
    <row r="40" spans="1:18" ht="15" x14ac:dyDescent="0.2">
      <c r="A40" s="74">
        <f t="shared" si="11"/>
        <v>39</v>
      </c>
      <c r="B40" s="73">
        <f t="shared" si="23"/>
        <v>39000</v>
      </c>
      <c r="C40" s="73">
        <f t="shared" si="13"/>
        <v>102.97150297991685</v>
      </c>
      <c r="D40" s="54" t="str">
        <f>IMDIV((COMPLEX(1,2*PI()*(B40)*(esrcout*0.001)*(cout*0.000001))),(COMPLEX(1,2*PI()*(B40)*rload*(cout*0.000001))))</f>
        <v>0.00430569771953124-0.000376233784464322i</v>
      </c>
      <c r="E40" s="54" t="str">
        <f>IMDIV(1,(COMPLEX((1-(B40/(fpp*1000))^2),(B40/(fpp*1000)))))</f>
        <v>0.514079044457808-1.02395723870554i</v>
      </c>
      <c r="F40" s="73" t="str">
        <f t="shared" si="14"/>
        <v>0.00182822166233296-0.00460226425200211i</v>
      </c>
      <c r="G40" s="73" t="str">
        <f t="shared" si="15"/>
        <v>0.188254732350867-0.4739020671394i</v>
      </c>
      <c r="H40" s="76">
        <f t="shared" si="16"/>
        <v>0.50992451744497724</v>
      </c>
      <c r="I40" s="54" t="str">
        <f t="shared" si="17"/>
        <v>2.74027402740275-0.0728804304843926i</v>
      </c>
      <c r="J40" s="78" t="str">
        <f t="shared" si="18"/>
        <v>0.0788412868611406-0.269490887317586i</v>
      </c>
      <c r="K40" s="78" t="str">
        <f t="shared" si="19"/>
        <v>0.196406118793267-0.744224866064486i</v>
      </c>
      <c r="L40" s="78" t="str">
        <f t="shared" si="20"/>
        <v>-0.315715321119004-0.233181118664785i</v>
      </c>
      <c r="M40" s="73">
        <f t="shared" si="21"/>
        <v>-8.1233943040171646</v>
      </c>
      <c r="N40" s="73">
        <f t="shared" si="22"/>
        <v>36.448845052913356</v>
      </c>
      <c r="O40" s="73">
        <f t="shared" si="10"/>
        <v>36.448845052913356</v>
      </c>
    </row>
    <row r="41" spans="1:18" ht="15" x14ac:dyDescent="0.2">
      <c r="A41" s="74">
        <f t="shared" si="11"/>
        <v>40</v>
      </c>
      <c r="B41" s="73">
        <f t="shared" si="23"/>
        <v>40000</v>
      </c>
      <c r="C41" s="73">
        <f t="shared" si="13"/>
        <v>102.97150297991685</v>
      </c>
      <c r="D41" s="54" t="str">
        <f>IMDIV((COMPLEX(1,2*PI()*(B41)*(esrcout*0.001)*(cout*0.000001))),(COMPLEX(1,2*PI()*(B41)*rload*(cout*0.000001))))</f>
        <v>0.00430569070018588-0.000366827942438741i</v>
      </c>
      <c r="E41" s="54" t="str">
        <f>IMDIV(1,(COMPLEX((1-(B41/(fpp*1000))^2),(B41/(fpp*1000)))))</f>
        <v>0.467775467775468-1.03950103950104i</v>
      </c>
      <c r="F41" s="73" t="str">
        <f t="shared" si="14"/>
        <v>0.00163277845389283-0.00464736307098058i</v>
      </c>
      <c r="G41" s="73" t="str">
        <f t="shared" si="15"/>
        <v>0.16812965143057-0.478545960312232i</v>
      </c>
      <c r="H41" s="76">
        <f t="shared" si="16"/>
        <v>0.50722166339907182</v>
      </c>
      <c r="I41" s="54" t="str">
        <f t="shared" si="17"/>
        <v>2.74027402740273-0.0710584197222825i</v>
      </c>
      <c r="J41" s="78" t="str">
        <f t="shared" si="18"/>
        <v>0.0752413971709198-0.263780456673135i</v>
      </c>
      <c r="K41" s="78" t="str">
        <f t="shared" si="19"/>
        <v>0.18743822404815-0.728177269138485i</v>
      </c>
      <c r="L41" s="78" t="str">
        <f t="shared" si="20"/>
        <v>-0.316952367263434-0.212125995366259i</v>
      </c>
      <c r="M41" s="73">
        <f t="shared" si="21"/>
        <v>-8.3726763994359761</v>
      </c>
      <c r="N41" s="73">
        <f t="shared" si="22"/>
        <v>33.793118785485149</v>
      </c>
      <c r="O41" s="73">
        <f t="shared" si="10"/>
        <v>33.793118785485149</v>
      </c>
    </row>
    <row r="42" spans="1:18" ht="15" x14ac:dyDescent="0.2">
      <c r="A42" s="74">
        <f t="shared" si="11"/>
        <v>41</v>
      </c>
      <c r="B42" s="73">
        <f t="shared" si="23"/>
        <v>41000</v>
      </c>
      <c r="C42" s="73">
        <f t="shared" si="13"/>
        <v>102.97150297991685</v>
      </c>
      <c r="D42" s="54" t="str">
        <f>IMDIV((COMPLEX(1,2*PI()*(B42)*(esrcout*0.001)*(cout*0.000001))),(COMPLEX(1,2*PI()*(B42)*rload*(cout*0.000001))))</f>
        <v>0.00430568418816112-0.000357880921793037i</v>
      </c>
      <c r="E42" s="54" t="str">
        <f>IMDIV(1,(COMPLEX((1-(B42/(fpp*1000))^2),(B42/(fpp*1000)))))</f>
        <v>0.420149875001565-1.05165719627986i</v>
      </c>
      <c r="F42" s="73" t="str">
        <f t="shared" si="14"/>
        <v>0.00143266462663719-0.00467846738594484i</v>
      </c>
      <c r="G42" s="73" t="str">
        <f t="shared" si="15"/>
        <v>0.147523629870993-0.481748818373263i</v>
      </c>
      <c r="H42" s="76">
        <f t="shared" si="16"/>
        <v>0.50383047285207838</v>
      </c>
      <c r="I42" s="54" t="str">
        <f t="shared" si="17"/>
        <v>2.74027402740274-0.0693252875339343i</v>
      </c>
      <c r="J42" s="78" t="str">
        <f t="shared" si="18"/>
        <v>0.0718764367871513-0.258283206232875i</v>
      </c>
      <c r="K42" s="78" t="str">
        <f t="shared" si="19"/>
        <v>0.179055575372805-0.712749616401437i</v>
      </c>
      <c r="L42" s="78" t="str">
        <f t="shared" si="20"/>
        <v>-0.316951357069753-0.191407222459691i</v>
      </c>
      <c r="M42" s="73">
        <f t="shared" si="21"/>
        <v>-8.6297874029953405</v>
      </c>
      <c r="N42" s="73">
        <f t="shared" si="22"/>
        <v>31.127817407571712</v>
      </c>
      <c r="O42" s="73">
        <f t="shared" si="10"/>
        <v>31.127817407571712</v>
      </c>
    </row>
    <row r="43" spans="1:18" ht="15" x14ac:dyDescent="0.2">
      <c r="A43" s="74">
        <f t="shared" si="11"/>
        <v>42</v>
      </c>
      <c r="B43" s="73">
        <f t="shared" si="23"/>
        <v>42000</v>
      </c>
      <c r="C43" s="73">
        <f t="shared" si="13"/>
        <v>102.97150297991685</v>
      </c>
      <c r="D43" s="54" t="str">
        <f>IMDIV((COMPLEX(1,2*PI()*(B43)*(esrcout*0.001)*(cout*0.000001))),(COMPLEX(1,2*PI()*(B43)*rload*(cout*0.000001))))</f>
        <v>0.00430567813572066-0.000349359949588256i</v>
      </c>
      <c r="E43" s="54" t="str">
        <f>IMDIV(1,(COMPLEX((1-(B43/(fpp*1000))^2),(B43/(fpp*1000)))))</f>
        <v>0.371589855273829-1.06024279358022i</v>
      </c>
      <c r="F43" s="73" t="str">
        <f t="shared" si="14"/>
        <v>0.00122953994639163-0.00469488282797972i</v>
      </c>
      <c r="G43" s="73" t="str">
        <f t="shared" si="15"/>
        <v>0.126607576253793-0.483439141111674i</v>
      </c>
      <c r="H43" s="76">
        <f t="shared" si="16"/>
        <v>0.49974281537972426</v>
      </c>
      <c r="I43" s="54" t="str">
        <f t="shared" si="17"/>
        <v>2.74027402740275-0.0676746854497932i</v>
      </c>
      <c r="J43" s="78" t="str">
        <f t="shared" si="18"/>
        <v>0.0687269260222039-0.25298920068205i</v>
      </c>
      <c r="K43" s="78" t="str">
        <f t="shared" si="19"/>
        <v>0.171209645783523-0.697910808942888i</v>
      </c>
      <c r="L43" s="78" t="str">
        <f t="shared" si="20"/>
        <v>-0.315720963763981-0.171130240069203i</v>
      </c>
      <c r="M43" s="73">
        <f t="shared" si="21"/>
        <v>-8.895271743218526</v>
      </c>
      <c r="N43" s="73">
        <f t="shared" si="22"/>
        <v>28.459022143194005</v>
      </c>
      <c r="O43" s="73">
        <f t="shared" si="10"/>
        <v>28.459022143194005</v>
      </c>
    </row>
    <row r="44" spans="1:18" ht="15" x14ac:dyDescent="0.2">
      <c r="A44" s="74">
        <f t="shared" si="11"/>
        <v>43</v>
      </c>
      <c r="B44" s="73">
        <f t="shared" si="23"/>
        <v>43000</v>
      </c>
      <c r="C44" s="73">
        <f t="shared" si="13"/>
        <v>102.97150297991685</v>
      </c>
      <c r="D44" s="54" t="str">
        <f>IMDIV((COMPLEX(1,2*PI()*(B44)*(esrcout*0.001)*(cout*0.000001))),(COMPLEX(1,2*PI()*(B44)*rload*(cout*0.000001))))</f>
        <v>0.00430567250061369-0.000341235301529044i</v>
      </c>
      <c r="E44" s="54" t="str">
        <f>IMDIV(1,(COMPLEX((1-(B44/(fpp*1000))^2),(B44/(fpp*1000)))))</f>
        <v>0.322513460849838-1.0651366218543i</v>
      </c>
      <c r="F44" s="73" t="str">
        <f t="shared" si="14"/>
        <v>0.00102517512313082-0.00469618244017489i</v>
      </c>
      <c r="G44" s="73" t="str">
        <f t="shared" si="15"/>
        <v>0.105563823246402-0.483572964132702i</v>
      </c>
      <c r="H44" s="76">
        <f t="shared" si="16"/>
        <v>0.49496114233188554</v>
      </c>
      <c r="I44" s="54" t="str">
        <f t="shared" si="17"/>
        <v>2.74027402740273-0.0661008555556117i</v>
      </c>
      <c r="J44" s="78" t="str">
        <f t="shared" si="18"/>
        <v>0.0657753071660852-0.247888918940102i</v>
      </c>
      <c r="K44" s="78" t="str">
        <f t="shared" si="19"/>
        <v>0.163856696246964-0.683631370330614i</v>
      </c>
      <c r="L44" s="78" t="str">
        <f t="shared" si="20"/>
        <v>-0.313288308804522-0.151403409440413i</v>
      </c>
      <c r="M44" s="73">
        <f t="shared" si="21"/>
        <v>-9.1695428601181206</v>
      </c>
      <c r="N44" s="73">
        <f t="shared" si="22"/>
        <v>25.793169145389271</v>
      </c>
      <c r="O44" s="73">
        <f t="shared" si="10"/>
        <v>25.793169145389271</v>
      </c>
    </row>
    <row r="45" spans="1:18" ht="15" x14ac:dyDescent="0.2">
      <c r="A45" s="74">
        <f t="shared" si="11"/>
        <v>44</v>
      </c>
      <c r="B45" s="73">
        <f t="shared" si="23"/>
        <v>44000</v>
      </c>
      <c r="C45" s="73">
        <f t="shared" si="13"/>
        <v>102.97150297991685</v>
      </c>
      <c r="D45" s="54" t="str">
        <f>IMDIV((COMPLEX(1,2*PI()*(B45)*(esrcout*0.001)*(cout*0.000001))),(COMPLEX(1,2*PI()*(B45)*rload*(cout*0.000001))))</f>
        <v>0.00430566724533531-0.000333479955527128i</v>
      </c>
      <c r="E45" s="54" t="str">
        <f>IMDIV(1,(COMPLEX((1-(B45/(fpp*1000))^2),(B45/(fpp*1000)))))</f>
        <v>0.27335668044953-1.0662849237393i</v>
      </c>
      <c r="F45" s="73" t="str">
        <f t="shared" si="14"/>
        <v>0.000821398256357304-0.00468222704397852i</v>
      </c>
      <c r="G45" s="73" t="str">
        <f t="shared" si="15"/>
        <v>0.0845806130021946-0.482135956011681i</v>
      </c>
      <c r="H45" s="76">
        <f t="shared" si="16"/>
        <v>0.48949868250601514</v>
      </c>
      <c r="I45" s="54" t="str">
        <f t="shared" si="17"/>
        <v>2.74027402740274-0.0645985633838934i</v>
      </c>
      <c r="J45" s="78" t="str">
        <f t="shared" si="18"/>
        <v>0.0630057284035029-0.242973263121371i</v>
      </c>
      <c r="K45" s="78" t="str">
        <f t="shared" si="19"/>
        <v>0.156957237383373-0.669883401824607i</v>
      </c>
      <c r="L45" s="78" t="str">
        <f t="shared" si="20"/>
        <v>-0.309699335002047-0.132333876465106i</v>
      </c>
      <c r="M45" s="73">
        <f t="shared" si="21"/>
        <v>-9.4528763984996136</v>
      </c>
      <c r="N45" s="73">
        <f t="shared" si="22"/>
        <v>23.13691703320535</v>
      </c>
      <c r="O45" s="73">
        <f t="shared" si="10"/>
        <v>23.13691703320535</v>
      </c>
      <c r="P45" s="73">
        <v>-13.846</v>
      </c>
      <c r="Q45" s="73">
        <v>23.129000000000001</v>
      </c>
      <c r="R45" s="73">
        <f>B45</f>
        <v>44000</v>
      </c>
    </row>
    <row r="46" spans="1:18" ht="15" x14ac:dyDescent="0.2">
      <c r="A46" s="74">
        <f t="shared" si="11"/>
        <v>45</v>
      </c>
      <c r="B46" s="73">
        <f t="shared" si="23"/>
        <v>45000</v>
      </c>
      <c r="C46" s="73">
        <f t="shared" si="13"/>
        <v>102.97150297991685</v>
      </c>
      <c r="D46" s="54" t="str">
        <f>IMDIV((COMPLEX(1,2*PI()*(B46)*(esrcout*0.001)*(cout*0.000001))),(COMPLEX(1,2*PI()*(B46)*rload*(cout*0.000001))))</f>
        <v>0.00430566233650109-0.000326069291456289i</v>
      </c>
      <c r="E46" s="54" t="str">
        <f>IMDIV(1,(COMPLEX((1-(B46/(fpp*1000))^2),(B46/(fpp*1000)))))</f>
        <v>0.224559744711027-1.06370405389434i</v>
      </c>
      <c r="F46" s="73" t="str">
        <f t="shared" si="14"/>
        <v>0.000620037207924059-0.00465317251888392i</v>
      </c>
      <c r="G46" s="73" t="str">
        <f t="shared" si="15"/>
        <v>0.0638461632034116-0.479144167894323i</v>
      </c>
      <c r="H46" s="76">
        <f t="shared" si="16"/>
        <v>0.483379215712612</v>
      </c>
      <c r="I46" s="54" t="str">
        <f t="shared" si="17"/>
        <v>2.74027402740275-0.0631630397531403i</v>
      </c>
      <c r="J46" s="78" t="str">
        <f t="shared" si="18"/>
        <v>0.0604038545170514-0.238233559509433i</v>
      </c>
      <c r="K46" s="78" t="str">
        <f t="shared" si="19"/>
        <v>0.150475557898264-0.65664052664351i</v>
      </c>
      <c r="L46" s="78" t="str">
        <f t="shared" si="20"/>
        <v>-0.305018191716598-0.114023464207653i</v>
      </c>
      <c r="M46" s="73">
        <f t="shared" si="21"/>
        <v>-9.7454073432496617</v>
      </c>
      <c r="N46" s="73">
        <f t="shared" si="22"/>
        <v>20.497006306013759</v>
      </c>
      <c r="O46" s="73">
        <f t="shared" si="10"/>
        <v>20.497006306013759</v>
      </c>
    </row>
    <row r="47" spans="1:18" ht="15" x14ac:dyDescent="0.2">
      <c r="A47" s="74">
        <f t="shared" si="11"/>
        <v>46</v>
      </c>
      <c r="B47" s="73">
        <f t="shared" si="23"/>
        <v>46000</v>
      </c>
      <c r="C47" s="73">
        <f t="shared" si="13"/>
        <v>102.97150297991685</v>
      </c>
      <c r="D47" s="54" t="str">
        <f>IMDIV((COMPLEX(1,2*PI()*(B47)*(esrcout*0.001)*(cout*0.000001))),(COMPLEX(1,2*PI()*(B47)*rload*(cout*0.000001))))</f>
        <v>0.00430565774431532-0.000318980830069697i</v>
      </c>
      <c r="E47" s="54" t="str">
        <f>IMDIV(1,(COMPLEX((1-(B47/(fpp*1000))^2),(B47/(fpp*1000)))))</f>
        <v>0.176553152797926-1.05747982144591i</v>
      </c>
      <c r="F47" s="73" t="str">
        <f t="shared" si="14"/>
        <v>0.000422861658400905-0.00460946325389667i</v>
      </c>
      <c r="G47" s="73" t="str">
        <f t="shared" si="15"/>
        <v>0.0435427005181214-0.474643359184438i</v>
      </c>
      <c r="H47" s="76">
        <f t="shared" si="16"/>
        <v>0.47663642872350642</v>
      </c>
      <c r="I47" s="54" t="str">
        <f t="shared" si="17"/>
        <v>2.74027402740274-0.0617899301932892i</v>
      </c>
      <c r="J47" s="78" t="str">
        <f t="shared" si="18"/>
        <v>0.0579567008205921-0.233661553642409i</v>
      </c>
      <c r="K47" s="78" t="str">
        <f t="shared" si="19"/>
        <v>0.1443793108842-0.643877827146803i</v>
      </c>
      <c r="L47" s="78" t="str">
        <f t="shared" si="20"/>
        <v>-0.299325669686492-0.096564860512523i</v>
      </c>
      <c r="M47" s="73">
        <f t="shared" si="21"/>
        <v>-10.047131315769738</v>
      </c>
      <c r="N47" s="73">
        <f t="shared" si="22"/>
        <v>17.880117024267633</v>
      </c>
      <c r="O47" s="73">
        <f t="shared" si="10"/>
        <v>17.880117024267633</v>
      </c>
    </row>
    <row r="48" spans="1:18" ht="15" x14ac:dyDescent="0.2">
      <c r="A48" s="74">
        <f t="shared" si="11"/>
        <v>47</v>
      </c>
      <c r="B48" s="73">
        <f t="shared" si="23"/>
        <v>47000</v>
      </c>
      <c r="C48" s="73">
        <f t="shared" si="13"/>
        <v>102.97150297991685</v>
      </c>
      <c r="D48" s="54" t="str">
        <f>IMDIV((COMPLEX(1,2*PI()*(B48)*(esrcout*0.001)*(cout*0.000001))),(COMPLEX(1,2*PI()*(B48)*rload*(cout*0.000001))))</f>
        <v>0.00430565344211808-0.00031219400524693i</v>
      </c>
      <c r="E48" s="54" t="str">
        <f>IMDIV(1,(COMPLEX((1-(B48/(fpp*1000))^2),(B48/(fpp*1000)))))</f>
        <v>0.129744340337863-1.04776357317518i</v>
      </c>
      <c r="F48" s="73" t="str">
        <f t="shared" si="14"/>
        <v>0.000231528659109665-0.00455181224063585i</v>
      </c>
      <c r="G48" s="73" t="str">
        <f t="shared" si="15"/>
        <v>0.023840854011447-0.468706947700656i</v>
      </c>
      <c r="H48" s="76">
        <f t="shared" si="16"/>
        <v>0.46931289045034824</v>
      </c>
      <c r="I48" s="54" t="str">
        <f t="shared" si="17"/>
        <v>2.74027402740275-0.0604752508274747i</v>
      </c>
      <c r="J48" s="78" t="str">
        <f t="shared" si="18"/>
        <v>0.0556524872566236-0.229249401130679i</v>
      </c>
      <c r="K48" s="78" t="str">
        <f t="shared" si="19"/>
        <v>0.138639150354262-0.631571777842051i</v>
      </c>
      <c r="L48" s="78" t="str">
        <f t="shared" si="20"/>
        <v>-0.292716804502357-0.0800383435476408i</v>
      </c>
      <c r="M48" s="73">
        <f t="shared" si="21"/>
        <v>-10.35790997646356</v>
      </c>
      <c r="N48" s="73">
        <f t="shared" si="22"/>
        <v>15.29273131683442</v>
      </c>
      <c r="O48" s="73">
        <f t="shared" si="10"/>
        <v>15.29273131683442</v>
      </c>
    </row>
    <row r="49" spans="1:15" ht="15" x14ac:dyDescent="0.2">
      <c r="A49" s="74">
        <f t="shared" si="11"/>
        <v>48</v>
      </c>
      <c r="B49" s="73">
        <f t="shared" si="23"/>
        <v>48000</v>
      </c>
      <c r="C49" s="73">
        <f t="shared" si="13"/>
        <v>102.97150297991685</v>
      </c>
      <c r="D49" s="54" t="str">
        <f>IMDIV((COMPLEX(1,2*PI()*(B49)*(esrcout*0.001)*(cout*0.000001))),(COMPLEX(1,2*PI()*(B49)*rload*(cout*0.000001))))</f>
        <v>0.00430564940599716-0.000305689964710089i</v>
      </c>
      <c r="E49" s="54" t="str">
        <f>IMDIV(1,(COMPLEX((1-(B49/(fpp*1000))^2),(B49/(fpp*1000)))))</f>
        <v>0.0845058374562984-1.03476535660774i</v>
      </c>
      <c r="F49" s="73" t="str">
        <f t="shared" si="14"/>
        <v>0.0000475351235023611-0.00448116942949437i</v>
      </c>
      <c r="G49" s="73" t="str">
        <f t="shared" si="15"/>
        <v>0.00489476311137409-0.461432751262692i</v>
      </c>
      <c r="H49" s="76">
        <f t="shared" si="16"/>
        <v>0.46145871174328684</v>
      </c>
      <c r="I49" s="54" t="str">
        <f t="shared" si="17"/>
        <v>2.74027402740273-0.0592153497685687i</v>
      </c>
      <c r="J49" s="78" t="str">
        <f t="shared" si="18"/>
        <v>0.0534805100143562-0.224989655457669i</v>
      </c>
      <c r="K49" s="78" t="str">
        <f t="shared" si="19"/>
        <v>0.133228411422356-0.619700176391241i</v>
      </c>
      <c r="L49" s="78" t="str">
        <f t="shared" si="20"/>
        <v>-0.285297835836569-0.0645092379924875i</v>
      </c>
      <c r="M49" s="73">
        <f t="shared" si="21"/>
        <v>-10.677480209947772</v>
      </c>
      <c r="N49" s="73">
        <f t="shared" si="22"/>
        <v>12.741006874802423</v>
      </c>
      <c r="O49" s="73">
        <f t="shared" si="10"/>
        <v>12.741006874802423</v>
      </c>
    </row>
    <row r="50" spans="1:15" ht="15" x14ac:dyDescent="0.2">
      <c r="A50" s="74">
        <f t="shared" si="11"/>
        <v>49</v>
      </c>
      <c r="B50" s="73">
        <f t="shared" si="23"/>
        <v>49000</v>
      </c>
      <c r="C50" s="73">
        <f t="shared" si="13"/>
        <v>102.97150297991685</v>
      </c>
      <c r="D50" s="54" t="str">
        <f>IMDIV((COMPLEX(1,2*PI()*(B50)*(esrcout*0.001)*(cout*0.000001))),(COMPLEX(1,2*PI()*(B50)*rload*(cout*0.000001))))</f>
        <v>0.00430564561445532-0.000299451395142012i</v>
      </c>
      <c r="E50" s="54" t="str">
        <f>IMDIV(1,(COMPLEX((1-(B50/(fpp*1000))^2),(B50/(fpp*1000)))))</f>
        <v>0.0411656036515804-1.01874473683204i</v>
      </c>
      <c r="F50" s="73" t="str">
        <f t="shared" si="14"/>
        <v>-0.000127820031909103-0.00439868090583564i</v>
      </c>
      <c r="G50" s="73" t="str">
        <f t="shared" si="15"/>
        <v>-0.0131618207966213-0.452938784002958i</v>
      </c>
      <c r="H50" s="76">
        <f t="shared" si="16"/>
        <v>0.45312997647558101</v>
      </c>
      <c r="I50" s="54" t="str">
        <f t="shared" si="17"/>
        <v>2.74027402740274-0.0580068732426797i</v>
      </c>
      <c r="J50" s="78" t="str">
        <f t="shared" si="18"/>
        <v>0.0514310283894516-0.220875253725389i</v>
      </c>
      <c r="K50" s="78" t="str">
        <f t="shared" si="19"/>
        <v>0.128122828452934-0.608242074224201i</v>
      </c>
      <c r="L50" s="78" t="str">
        <f t="shared" si="20"/>
        <v>-0.2771827551866-0.0500262249405874i</v>
      </c>
      <c r="M50" s="73">
        <f t="shared" si="21"/>
        <v>-11.005466536916998</v>
      </c>
      <c r="N50" s="73">
        <f t="shared" si="22"/>
        <v>10.230666674723466</v>
      </c>
      <c r="O50" s="73">
        <f t="shared" si="10"/>
        <v>10.230666674723466</v>
      </c>
    </row>
    <row r="51" spans="1:15" ht="15" x14ac:dyDescent="0.2">
      <c r="A51" s="74">
        <f t="shared" si="11"/>
        <v>50</v>
      </c>
      <c r="B51" s="73">
        <f t="shared" si="23"/>
        <v>50000</v>
      </c>
      <c r="C51" s="73">
        <f t="shared" si="13"/>
        <v>102.97150297991685</v>
      </c>
      <c r="D51" s="54" t="str">
        <f>IMDIV((COMPLEX(1,2*PI()*(B51)*(esrcout*0.001)*(cout*0.000001))),(COMPLEX(1,2*PI()*(B51)*rload*(cout*0.000001))))</f>
        <v>0.00430564204812318-0.000293462368290282i</v>
      </c>
      <c r="E51" s="54" t="str">
        <f>IMDIV(1,(COMPLEX((1-(B51/(fpp*1000))^2),(B51/(fpp*1000)))))</f>
        <v>-i</v>
      </c>
      <c r="F51" s="73" t="str">
        <f t="shared" si="14"/>
        <v>-0.000293462368290282-0.00430564204812318i</v>
      </c>
      <c r="G51" s="73" t="str">
        <f t="shared" si="15"/>
        <v>-0.0302182611308962-0.443358432988771i</v>
      </c>
      <c r="H51" s="76">
        <f t="shared" si="16"/>
        <v>0.44438704234938442</v>
      </c>
      <c r="I51" s="54" t="str">
        <f t="shared" si="17"/>
        <v>2.74027402740275-0.0568467357778262i</v>
      </c>
      <c r="J51" s="78" t="str">
        <f t="shared" si="18"/>
        <v>0.0494951649196212-0.216899501081032i</v>
      </c>
      <c r="K51" s="78" t="str">
        <f t="shared" si="19"/>
        <v>0.123300286282958-0.597177707931432i</v>
      </c>
      <c r="L51" s="78" t="str">
        <f t="shared" si="20"/>
        <v>-0.268489693052718-0.036620549793657i</v>
      </c>
      <c r="M51" s="73">
        <f t="shared" si="21"/>
        <v>-11.341396023000993</v>
      </c>
      <c r="N51" s="73">
        <f t="shared" si="22"/>
        <v>7.7669088633678882</v>
      </c>
      <c r="O51" s="73">
        <f t="shared" si="10"/>
        <v>7.7669088633678882</v>
      </c>
    </row>
    <row r="52" spans="1:15" ht="15" x14ac:dyDescent="0.2">
      <c r="A52" s="74">
        <f t="shared" si="11"/>
        <v>51</v>
      </c>
      <c r="B52" s="73">
        <f t="shared" si="23"/>
        <v>51000</v>
      </c>
      <c r="C52" s="73">
        <f t="shared" si="13"/>
        <v>102.97150297991685</v>
      </c>
      <c r="D52" s="54" t="str">
        <f>IMDIV((COMPLEX(1,2*PI()*(B52)*(esrcout*0.001)*(cout*0.000001))),(COMPLEX(1,2*PI()*(B52)*rload*(cout*0.000001))))</f>
        <v>0.00430563868951166-0.000287708205176637i</v>
      </c>
      <c r="E52" s="54" t="str">
        <f>IMDIV(1,(COMPLEX((1-(B52/(fpp*1000))^2),(B52/(fpp*1000)))))</f>
        <v>-0.0387703964914096-0.978856545080144i</v>
      </c>
      <c r="F52" s="73" t="str">
        <f t="shared" si="14"/>
        <v>-0.000448556378851532-0.00420344805079025i</v>
      </c>
      <c r="G52" s="73" t="str">
        <f t="shared" si="15"/>
        <v>-0.0461885245015712-0.432835363487874i</v>
      </c>
      <c r="H52" s="76">
        <f t="shared" si="16"/>
        <v>0.43529281142848231</v>
      </c>
      <c r="I52" s="54" t="str">
        <f t="shared" si="17"/>
        <v>2.74027402740273-0.0557320938998294i</v>
      </c>
      <c r="J52" s="78" t="str">
        <f t="shared" si="18"/>
        <v>0.0476648170993294-0.213056054385265i</v>
      </c>
      <c r="K52" s="78" t="str">
        <f t="shared" si="19"/>
        <v>0.118740600289267-0.586488432275143i</v>
      </c>
      <c r="L52" s="78" t="str">
        <f t="shared" si="20"/>
        <v>-0.259337386891037-0.0243060955629447i</v>
      </c>
      <c r="M52" s="73">
        <f t="shared" si="21"/>
        <v>-11.684714854707943</v>
      </c>
      <c r="N52" s="73">
        <f t="shared" si="22"/>
        <v>5.354339198369729</v>
      </c>
      <c r="O52" s="73">
        <f t="shared" si="10"/>
        <v>5.354339198369729</v>
      </c>
    </row>
    <row r="53" spans="1:15" ht="15" x14ac:dyDescent="0.2">
      <c r="A53" s="74">
        <f t="shared" si="11"/>
        <v>52</v>
      </c>
      <c r="B53" s="73">
        <f t="shared" si="23"/>
        <v>52000</v>
      </c>
      <c r="C53" s="73">
        <f t="shared" si="13"/>
        <v>102.97150297991685</v>
      </c>
      <c r="D53" s="54" t="str">
        <f>IMDIV((COMPLEX(1,2*PI()*(B53)*(esrcout*0.001)*(cout*0.000001))),(COMPLEX(1,2*PI()*(B53)*rload*(cout*0.000001))))</f>
        <v>0.00430563552279685-0.000282175355974519i</v>
      </c>
      <c r="E53" s="54" t="str">
        <f>IMDIV(1,(COMPLEX((1-(B53/(fpp*1000))^2),(B53/(fpp*1000)))))</f>
        <v>-0.0749821807052913-0.955655244283123i</v>
      </c>
      <c r="F53" s="73" t="str">
        <f t="shared" si="14"/>
        <v>-0.000592508299565981-0.00409354504380025i</v>
      </c>
      <c r="G53" s="73" t="str">
        <f t="shared" si="15"/>
        <v>-0.0610114701343839-0.421518485676101i</v>
      </c>
      <c r="H53" s="76">
        <f t="shared" si="16"/>
        <v>0.42591106261123596</v>
      </c>
      <c r="I53" s="54" t="str">
        <f t="shared" si="17"/>
        <v>2.74027402740274-0.0546603228632944i</v>
      </c>
      <c r="J53" s="78" t="str">
        <f t="shared" si="18"/>
        <v>0.0459325792078404-0.209338905545902i</v>
      </c>
      <c r="K53" s="78" t="str">
        <f t="shared" si="19"/>
        <v>0.114425321649876-0.576156655401795i</v>
      </c>
      <c r="L53" s="78" t="str">
        <f t="shared" si="20"/>
        <v>-0.24984193799163-0.0130802237310834i</v>
      </c>
      <c r="M53" s="73">
        <f t="shared" si="21"/>
        <v>-12.034805729064789</v>
      </c>
      <c r="N53" s="73">
        <f t="shared" si="22"/>
        <v>2.9969268559296438</v>
      </c>
      <c r="O53" s="73">
        <f t="shared" si="10"/>
        <v>2.9969268559296438</v>
      </c>
    </row>
    <row r="54" spans="1:15" ht="15" x14ac:dyDescent="0.2">
      <c r="A54" s="74">
        <f t="shared" si="11"/>
        <v>53</v>
      </c>
      <c r="B54" s="73">
        <f t="shared" si="23"/>
        <v>53000</v>
      </c>
      <c r="C54" s="73">
        <f t="shared" si="13"/>
        <v>102.97150297991685</v>
      </c>
      <c r="D54" s="54" t="str">
        <f>IMDIV((COMPLEX(1,2*PI()*(B54)*(esrcout*0.001)*(cout*0.000001))),(COMPLEX(1,2*PI()*(B54)*rload*(cout*0.000001))))</f>
        <v>0.00430563253363359-0.000276851293485378i</v>
      </c>
      <c r="E54" s="54" t="str">
        <f>IMDIV(1,(COMPLEX((1-(B54/(fpp*1000))^2),(B54/(fpp*1000)))))</f>
        <v>-0.108527966006091-0.93074145603929i</v>
      </c>
      <c r="F54" s="73" t="str">
        <f t="shared" si="14"/>
        <v>-0.000724958517249847-0.00397738458575614i</v>
      </c>
      <c r="G54" s="73" t="str">
        <f t="shared" si="15"/>
        <v>-0.0746500681193087-0.409557268724464i</v>
      </c>
      <c r="H54" s="76">
        <f t="shared" si="16"/>
        <v>0.41630492314559564</v>
      </c>
      <c r="I54" s="54" t="str">
        <f t="shared" si="17"/>
        <v>2.74027402740275-0.0536289960168172i</v>
      </c>
      <c r="J54" s="78" t="str">
        <f t="shared" si="18"/>
        <v>0.044291672983141-0.205742364834021i</v>
      </c>
      <c r="K54" s="78" t="str">
        <f t="shared" si="19"/>
        <v>0.110337564641743-0.56616577664508i</v>
      </c>
      <c r="L54" s="78" t="str">
        <f t="shared" si="20"/>
        <v>-0.240114015844649-0.00292523781900472i</v>
      </c>
      <c r="M54" s="73">
        <f t="shared" si="21"/>
        <v>-12.39100525010571</v>
      </c>
      <c r="N54" s="73">
        <f t="shared" si="22"/>
        <v>0.69798295376156716</v>
      </c>
      <c r="O54" s="73">
        <f t="shared" si="10"/>
        <v>0.69798295376156716</v>
      </c>
    </row>
    <row r="55" spans="1:15" ht="15" x14ac:dyDescent="0.2">
      <c r="A55" s="74">
        <f t="shared" si="11"/>
        <v>54</v>
      </c>
      <c r="B55" s="73">
        <f t="shared" si="23"/>
        <v>54000</v>
      </c>
      <c r="C55" s="73">
        <f t="shared" si="13"/>
        <v>102.97150297991685</v>
      </c>
      <c r="D55" s="54" t="str">
        <f>IMDIV((COMPLEX(1,2*PI()*(B55)*(esrcout*0.001)*(cout*0.000001))),(COMPLEX(1,2*PI()*(B55)*rload*(cout*0.000001))))</f>
        <v>0.00430562970899237-0.000271724418450936i</v>
      </c>
      <c r="E55" s="54" t="str">
        <f>IMDIV(1,(COMPLEX((1-(B55/(fpp*1000))^2),(B55/(fpp*1000)))))</f>
        <v>-0.139353101464065-0.9044552258485i</v>
      </c>
      <c r="F55" s="73" t="str">
        <f t="shared" si="14"/>
        <v>-0.0008457654239625-0.00385638365041205i</v>
      </c>
      <c r="G55" s="73" t="str">
        <f t="shared" si="15"/>
        <v>-0.0870897368738652-0.397097620550107i</v>
      </c>
      <c r="H55" s="76">
        <f t="shared" si="16"/>
        <v>0.40653553659589936</v>
      </c>
      <c r="I55" s="54" t="str">
        <f t="shared" si="17"/>
        <v>2.74027402740274-0.05263586646095i</v>
      </c>
      <c r="J55" s="78" t="str">
        <f t="shared" si="18"/>
        <v>0.0427358860445133-0.202261044416624i</v>
      </c>
      <c r="K55" s="78" t="str">
        <f t="shared" si="19"/>
        <v>0.106461853241657-0.556500127161156i</v>
      </c>
      <c r="L55" s="78" t="str">
        <f t="shared" si="20"/>
        <v>-0.230256611117447+0.00618970104312092i</v>
      </c>
      <c r="M55" s="73">
        <f t="shared" si="21"/>
        <v>-12.752620627530336</v>
      </c>
      <c r="N55" s="73">
        <f t="shared" si="22"/>
        <v>358.46015992208703</v>
      </c>
      <c r="O55" s="73">
        <f t="shared" si="10"/>
        <v>-1.5398400779129702</v>
      </c>
    </row>
    <row r="56" spans="1:15" ht="15" x14ac:dyDescent="0.2">
      <c r="A56" s="74">
        <f t="shared" si="11"/>
        <v>55</v>
      </c>
      <c r="B56" s="73">
        <f t="shared" si="23"/>
        <v>55000.000000000007</v>
      </c>
      <c r="C56" s="73">
        <f t="shared" si="13"/>
        <v>102.97150297991685</v>
      </c>
      <c r="D56" s="54" t="str">
        <f>IMDIV((COMPLEX(1,2*PI()*(B56)*(esrcout*0.001)*(cout*0.000001))),(COMPLEX(1,2*PI()*(B56)*rload*(cout*0.000001))))</f>
        <v>0.0043056270370175-0.000266783975195024i</v>
      </c>
      <c r="E56" s="54" t="str">
        <f>IMDIV(1,(COMPLEX((1-(B56/(fpp*1000))^2),(B56/(fpp*1000)))))</f>
        <v>-0.167450761502273-0.877123036440475i</v>
      </c>
      <c r="F56" s="73" t="str">
        <f t="shared" si="14"/>
        <v>-0.000954982896490076-0.00373189148068598i</v>
      </c>
      <c r="G56" s="73" t="str">
        <f t="shared" si="15"/>
        <v>-0.0983360241716975-0.384278474724183i</v>
      </c>
      <c r="H56" s="76">
        <f t="shared" si="16"/>
        <v>0.39666096327498773</v>
      </c>
      <c r="I56" s="54" t="str">
        <f t="shared" si="17"/>
        <v>2.74027402740274-0.0516788507071147i</v>
      </c>
      <c r="J56" s="78" t="str">
        <f t="shared" si="18"/>
        <v>0.041259517112778-0.198889842275563i</v>
      </c>
      <c r="K56" s="78" t="str">
        <f t="shared" si="19"/>
        <v>0.102783984661204-0.547144913527072i</v>
      </c>
      <c r="L56" s="78" t="str">
        <f t="shared" si="20"/>
        <v>-0.220363381223386+0.0143063825903382i</v>
      </c>
      <c r="M56" s="73">
        <f t="shared" si="21"/>
        <v>-13.118945111944269</v>
      </c>
      <c r="N56" s="73">
        <f t="shared" si="22"/>
        <v>356.28546896451894</v>
      </c>
      <c r="O56" s="73">
        <f>IF(N56&gt;180,-(360-N56),N56)</f>
        <v>-3.714531035481059</v>
      </c>
    </row>
    <row r="57" spans="1:15" ht="15" x14ac:dyDescent="0.2">
      <c r="A57" s="74">
        <f t="shared" si="11"/>
        <v>56</v>
      </c>
      <c r="B57" s="73">
        <f t="shared" si="23"/>
        <v>56000.000000000007</v>
      </c>
      <c r="C57" s="73">
        <f t="shared" si="13"/>
        <v>102.97150297991685</v>
      </c>
      <c r="D57" s="54" t="str">
        <f>IMDIV((COMPLEX(1,2*PI()*(B57)*(esrcout*0.001)*(cout*0.000001))),(COMPLEX(1,2*PI()*(B57)*rload*(cout*0.000001))))</f>
        <v>0.00430562450690214-0.000262019976303777i</v>
      </c>
      <c r="E57" s="54" t="str">
        <f>IMDIV(1,(COMPLEX((1-(B57/(fpp*1000))^2),(B57/(fpp*1000)))))</f>
        <v>-0.192855936857753-0.84905129434231i</v>
      </c>
      <c r="F57" s="73" t="str">
        <f t="shared" si="14"/>
        <v>-0.00105283364806058-0.00360516395253172i</v>
      </c>
      <c r="G57" s="73" t="str">
        <f t="shared" si="15"/>
        <v>-0.108411863128627-0.371229150681209i</v>
      </c>
      <c r="H57" s="76">
        <f t="shared" si="16"/>
        <v>0.38673532859374493</v>
      </c>
      <c r="I57" s="54" t="str">
        <f t="shared" si="17"/>
        <v>2.74027402740273-0.0507560140873446i</v>
      </c>
      <c r="J57" s="78" t="str">
        <f t="shared" si="18"/>
        <v>0.0398573272029162-0.195623926632597i</v>
      </c>
      <c r="K57" s="78" t="str">
        <f t="shared" si="19"/>
        <v>0.0992909077598578-0.538086164350838i</v>
      </c>
      <c r="L57" s="78" t="str">
        <f t="shared" si="20"/>
        <v>-0.21051758208725+0.0214752442429527i</v>
      </c>
      <c r="M57" s="73">
        <f t="shared" si="21"/>
        <v>-13.489271757614112</v>
      </c>
      <c r="N57" s="73">
        <f t="shared" si="22"/>
        <v>354.17531230900232</v>
      </c>
      <c r="O57" s="73">
        <f t="shared" ref="O57:O101" si="24">IF(N57&gt;180,-(360-N57),N57)</f>
        <v>-5.8246876909976777</v>
      </c>
    </row>
    <row r="58" spans="1:15" ht="15" x14ac:dyDescent="0.2">
      <c r="A58" s="74">
        <f t="shared" si="11"/>
        <v>57</v>
      </c>
      <c r="B58" s="73">
        <f t="shared" si="23"/>
        <v>56999.999999999993</v>
      </c>
      <c r="C58" s="73">
        <f t="shared" si="13"/>
        <v>102.97150297991685</v>
      </c>
      <c r="D58" s="54" t="str">
        <f>IMDIV((COMPLEX(1,2*PI()*(B58)*(esrcout*0.001)*(cout*0.000001))),(COMPLEX(1,2*PI()*(B58)*rload*(cout*0.000001))))</f>
        <v>0.00430562210877915-0.000257423135234239i</v>
      </c>
      <c r="E58" s="54" t="str">
        <f>IMDIV(1,(COMPLEX((1-(B58/(fpp*1000))^2),(B58/(fpp*1000)))))</f>
        <v>-0.215638830467112-0.820521584554433i</v>
      </c>
      <c r="F58" s="73" t="str">
        <f t="shared" si="14"/>
        <v>-0.00113968055479384-0.00347734545137098i</v>
      </c>
      <c r="G58" s="73" t="str">
        <f t="shared" si="15"/>
        <v>-0.117354619644107-0.358067487508047i</v>
      </c>
      <c r="H58" s="76">
        <f t="shared" si="16"/>
        <v>0.37680821695145988</v>
      </c>
      <c r="I58" s="54" t="str">
        <f t="shared" si="17"/>
        <v>2.74027402740274-0.0498655576998474i</v>
      </c>
      <c r="J58" s="78" t="str">
        <f t="shared" si="18"/>
        <v>0.0385244960719176-0.192458720961983i</v>
      </c>
      <c r="K58" s="78" t="str">
        <f t="shared" si="19"/>
        <v>0.0959706145496861-0.529310679881005i</v>
      </c>
      <c r="L58" s="78" t="str">
        <f t="shared" si="20"/>
        <v>-0.200791540223657+0.0277530966845897i</v>
      </c>
      <c r="M58" s="73">
        <f t="shared" si="21"/>
        <v>-13.862905260098861</v>
      </c>
      <c r="N58" s="73">
        <f t="shared" si="22"/>
        <v>352.13052673715083</v>
      </c>
      <c r="O58" s="73">
        <f t="shared" si="24"/>
        <v>-7.8694732628491693</v>
      </c>
    </row>
    <row r="59" spans="1:15" ht="15" x14ac:dyDescent="0.2">
      <c r="A59" s="74">
        <f t="shared" si="11"/>
        <v>58</v>
      </c>
      <c r="B59" s="73">
        <f t="shared" si="23"/>
        <v>57999.999999999993</v>
      </c>
      <c r="C59" s="73">
        <f t="shared" si="13"/>
        <v>102.97150297991685</v>
      </c>
      <c r="D59" s="54" t="str">
        <f>IMDIV((COMPLEX(1,2*PI()*(B59)*(esrcout*0.001)*(cout*0.000001))),(COMPLEX(1,2*PI()*(B59)*rload*(cout*0.000001))))</f>
        <v>0.00430561983362449-0.000252984805894476i</v>
      </c>
      <c r="E59" s="54" t="str">
        <f>IMDIV(1,(COMPLEX((1-(B59/(fpp*1000))^2),(B59/(fpp*1000)))))</f>
        <v>-0.235898099010801-0.791787600846437i</v>
      </c>
      <c r="F59" s="73" t="str">
        <f t="shared" si="14"/>
        <v>-0.00121599776632501-0.00334945776343325i</v>
      </c>
      <c r="G59" s="73" t="str">
        <f t="shared" si="15"/>
        <v>-0.125213117618708-0.344898700068473i</v>
      </c>
      <c r="H59" s="76">
        <f t="shared" si="16"/>
        <v>0.36692429482485744</v>
      </c>
      <c r="I59" s="54" t="str">
        <f t="shared" si="17"/>
        <v>2.74027402740274-0.0490058067050226i</v>
      </c>
      <c r="J59" s="78" t="str">
        <f t="shared" si="18"/>
        <v>0.0372565832978016-0.18938988964244i</v>
      </c>
      <c r="K59" s="78" t="str">
        <f t="shared" si="19"/>
        <v>0.0928120432370295-0.520805984559431i</v>
      </c>
      <c r="L59" s="78" t="str">
        <f t="shared" si="20"/>
        <v>-0.1912465923487+0.0332009879380167i</v>
      </c>
      <c r="M59" s="73">
        <f t="shared" si="21"/>
        <v>-14.239171758904245</v>
      </c>
      <c r="N59" s="73">
        <f t="shared" si="22"/>
        <v>350.15143494730899</v>
      </c>
      <c r="O59" s="73">
        <f t="shared" si="24"/>
        <v>-9.8485650526910149</v>
      </c>
    </row>
    <row r="60" spans="1:15" ht="15" x14ac:dyDescent="0.2">
      <c r="A60" s="74">
        <f t="shared" si="11"/>
        <v>59</v>
      </c>
      <c r="B60" s="73">
        <f t="shared" si="23"/>
        <v>59000</v>
      </c>
      <c r="C60" s="73">
        <f t="shared" si="13"/>
        <v>102.97150297991685</v>
      </c>
      <c r="D60" s="54" t="str">
        <f>IMDIV((COMPLEX(1,2*PI()*(B60)*(esrcout*0.001)*(cout*0.000001))),(COMPLEX(1,2*PI()*(B60)*rload*(cout*0.000001))))</f>
        <v>0.00430561767317245-0.000248696928368089i</v>
      </c>
      <c r="E60" s="54" t="str">
        <f>IMDIV(1,(COMPLEX((1-(B60/(fpp*1000))^2),(B60/(fpp*1000)))))</f>
        <v>-0.253754296104207-0.763073571363313i</v>
      </c>
      <c r="F60" s="73" t="str">
        <f t="shared" si="14"/>
        <v>-0.00128234303526663-0.00322239514079138i</v>
      </c>
      <c r="G60" s="73" t="str">
        <f t="shared" si="15"/>
        <v>-0.132044789677233-0.331814870842469i</v>
      </c>
      <c r="H60" s="76">
        <f t="shared" si="16"/>
        <v>0.35712313701734461</v>
      </c>
      <c r="I60" s="54" t="str">
        <f t="shared" si="17"/>
        <v>2.74027402740273-0.048175199811717i</v>
      </c>
      <c r="J60" s="78" t="str">
        <f t="shared" si="18"/>
        <v>0.0360494934460179-0.186413324277808i</v>
      </c>
      <c r="K60" s="78" t="str">
        <f t="shared" si="19"/>
        <v>0.089804991446498-0.512560282430153i</v>
      </c>
      <c r="L60" s="78" t="str">
        <f t="shared" si="20"/>
        <v>-0.181933405121059+0.0378822830525639i</v>
      </c>
      <c r="M60" s="73">
        <f t="shared" si="21"/>
        <v>-14.617426615475368</v>
      </c>
      <c r="N60" s="73">
        <f t="shared" si="22"/>
        <v>348.23790158433115</v>
      </c>
      <c r="O60" s="73">
        <f t="shared" si="24"/>
        <v>-11.762098415668845</v>
      </c>
    </row>
    <row r="61" spans="1:15" ht="15" x14ac:dyDescent="0.2">
      <c r="A61" s="74">
        <f t="shared" si="11"/>
        <v>60</v>
      </c>
      <c r="B61" s="73">
        <f t="shared" si="23"/>
        <v>60000</v>
      </c>
      <c r="C61" s="73">
        <f t="shared" si="13"/>
        <v>102.97150297991685</v>
      </c>
      <c r="D61" s="54" t="str">
        <f>IMDIV((COMPLEX(1,2*PI()*(B61)*(esrcout*0.001)*(cout*0.000001))),(COMPLEX(1,2*PI()*(B61)*rload*(cout*0.000001))))</f>
        <v>0.00430561561984022-0.000244551980066272i</v>
      </c>
      <c r="E61" s="54" t="str">
        <f>IMDIV(1,(COMPLEX((1-(B61/(fpp*1000))^2),(B61/(fpp*1000)))))</f>
        <v>-0.269343780607248-0.734573947110676i</v>
      </c>
      <c r="F61" s="73" t="str">
        <f t="shared" si="14"/>
        <v>-0.0013393323021604-0.00309692450574137i</v>
      </c>
      <c r="G61" s="73" t="str">
        <f t="shared" si="15"/>
        <v>-0.137913060143009-0.318894970971525i</v>
      </c>
      <c r="H61" s="76">
        <f t="shared" si="16"/>
        <v>0.3474392244248467</v>
      </c>
      <c r="I61" s="54" t="str">
        <f t="shared" si="17"/>
        <v>2.74027402740274-0.0473722798148551i</v>
      </c>
      <c r="J61" s="78" t="str">
        <f t="shared" si="18"/>
        <v>0.0348994448486892-0.183525130698612i</v>
      </c>
      <c r="K61" s="78" t="str">
        <f t="shared" si="19"/>
        <v>0.0869400384451249-0.504562415295855i</v>
      </c>
      <c r="L61" s="78" t="str">
        <f t="shared" si="20"/>
        <v>-0.172892583530012+0.0418610056903778i</v>
      </c>
      <c r="M61" s="73">
        <f t="shared" si="21"/>
        <v>-14.997060270037426</v>
      </c>
      <c r="N61" s="73">
        <f t="shared" si="22"/>
        <v>346.38939118503441</v>
      </c>
      <c r="O61" s="73">
        <f t="shared" si="24"/>
        <v>-13.610608814965587</v>
      </c>
    </row>
    <row r="62" spans="1:15" ht="15" x14ac:dyDescent="0.2">
      <c r="A62" s="74">
        <f t="shared" si="11"/>
        <v>61</v>
      </c>
      <c r="B62" s="73">
        <f t="shared" si="23"/>
        <v>61000</v>
      </c>
      <c r="C62" s="73">
        <f t="shared" si="13"/>
        <v>102.97150297991685</v>
      </c>
      <c r="D62" s="54" t="str">
        <f>IMDIV((COMPLEX(1,2*PI()*(B62)*(esrcout*0.001)*(cout*0.000001))),(COMPLEX(1,2*PI()*(B62)*rload*(cout*0.000001))))</f>
        <v>0.00430561366666151-0.000240542931684581i</v>
      </c>
      <c r="E62" s="54" t="str">
        <f>IMDIV(1,(COMPLEX((1-(B62/(fpp*1000))^2),(B62/(fpp*1000)))))</f>
        <v>-0.282813264215408-0.706454099800979i</v>
      </c>
      <c r="F62" s="73" t="str">
        <f t="shared" si="14"/>
        <v>-0.00138761719578573-0.00297368969527849i</v>
      </c>
      <c r="G62" s="73" t="str">
        <f t="shared" si="15"/>
        <v>-0.142885028210834-0.306205297318717i</v>
      </c>
      <c r="H62" s="76">
        <f t="shared" si="16"/>
        <v>0.33790207959237939</v>
      </c>
      <c r="I62" s="54" t="str">
        <f t="shared" si="17"/>
        <v>2.74027402740275-0.046595685063792i</v>
      </c>
      <c r="J62" s="78" t="str">
        <f t="shared" si="18"/>
        <v>0.0338029415820028-0.18072161664396i</v>
      </c>
      <c r="K62" s="78" t="str">
        <f t="shared" si="19"/>
        <v>0.0842084753336134-0.496801823499865i</v>
      </c>
      <c r="L62" s="78" t="str">
        <f t="shared" si="20"/>
        <v>-0.164155480446892+0.045200461339687i</v>
      </c>
      <c r="M62" s="73">
        <f t="shared" si="21"/>
        <v>-15.377502346393699</v>
      </c>
      <c r="N62" s="73">
        <f t="shared" si="22"/>
        <v>344.60502577587101</v>
      </c>
      <c r="O62" s="73">
        <f t="shared" si="24"/>
        <v>-15.394974224128987</v>
      </c>
    </row>
    <row r="63" spans="1:15" ht="15" x14ac:dyDescent="0.2">
      <c r="A63" s="74">
        <f t="shared" si="11"/>
        <v>62</v>
      </c>
      <c r="B63" s="73">
        <f t="shared" si="23"/>
        <v>62000</v>
      </c>
      <c r="C63" s="73">
        <f t="shared" si="13"/>
        <v>102.97150297991685</v>
      </c>
      <c r="D63" s="54" t="str">
        <f>IMDIV((COMPLEX(1,2*PI()*(B63)*(esrcout*0.001)*(cout*0.000001))),(COMPLEX(1,2*PI()*(B63)*rload*(cout*0.000001))))</f>
        <v>0.00430561180722715-0.000236663207421954i</v>
      </c>
      <c r="E63" s="54" t="str">
        <f>IMDIV(1,(COMPLEX((1-(B63/(fpp*1000))^2),(B63/(fpp*1000)))))</f>
        <v>-0.294315093739357-0.678851778714291i</v>
      </c>
      <c r="F63" s="73" t="str">
        <f t="shared" si="14"/>
        <v>-0.00142786578196396-0.00285321867971235i</v>
      </c>
      <c r="G63" s="73" t="str">
        <f t="shared" si="15"/>
        <v>-0.147029485622423-0.293800215780355i</v>
      </c>
      <c r="H63" s="76">
        <f t="shared" si="16"/>
        <v>0.32853650700489501</v>
      </c>
      <c r="I63" s="54" t="str">
        <f t="shared" si="17"/>
        <v>2.74027402740274-0.0458441417563113i</v>
      </c>
      <c r="J63" s="78" t="str">
        <f t="shared" si="18"/>
        <v>0.032756748278823-0.177999280113771i</v>
      </c>
      <c r="K63" s="78" t="str">
        <f t="shared" si="19"/>
        <v>0.081602242300571-0.489268509203722i</v>
      </c>
      <c r="L63" s="78" t="str">
        <f t="shared" si="20"/>
        <v>-0.155745129289675+0.0479621408434044i</v>
      </c>
      <c r="M63" s="73">
        <f t="shared" si="21"/>
        <v>-15.758224213968557</v>
      </c>
      <c r="N63" s="73">
        <f t="shared" si="22"/>
        <v>342.88364036342392</v>
      </c>
      <c r="O63" s="73">
        <f t="shared" si="24"/>
        <v>-17.116359636576078</v>
      </c>
    </row>
    <row r="64" spans="1:15" ht="15" x14ac:dyDescent="0.2">
      <c r="A64" s="74">
        <f t="shared" si="11"/>
        <v>63</v>
      </c>
      <c r="B64" s="73">
        <f t="shared" si="23"/>
        <v>63000</v>
      </c>
      <c r="C64" s="73">
        <f t="shared" si="13"/>
        <v>102.97150297991685</v>
      </c>
      <c r="D64" s="54" t="str">
        <f>IMDIV((COMPLEX(1,2*PI()*(B64)*(esrcout*0.001)*(cout*0.000001))),(COMPLEX(1,2*PI()*(B64)*rload*(cout*0.000001))))</f>
        <v>0.00430561003563266-0.000232906648988387i</v>
      </c>
      <c r="E64" s="54" t="str">
        <f>IMDIV(1,(COMPLEX((1-(B64/(fpp*1000))^2),(B64/(fpp*1000)))))</f>
        <v>-0.304003299211843-0.65187909633581i</v>
      </c>
      <c r="F64" s="73" t="str">
        <f t="shared" si="14"/>
        <v>-0.0014607466318251-0.00273593278950177i</v>
      </c>
      <c r="G64" s="73" t="str">
        <f t="shared" si="15"/>
        <v>-0.150415276151882-0.281723111387034i</v>
      </c>
      <c r="H64" s="76">
        <f t="shared" si="16"/>
        <v>0.3193629076606081</v>
      </c>
      <c r="I64" s="54" t="str">
        <f t="shared" si="17"/>
        <v>2.74027402740274-0.0451164569665287i</v>
      </c>
      <c r="J64" s="78" t="str">
        <f t="shared" si="18"/>
        <v>0.0317578674584459-0.175354798374432i</v>
      </c>
      <c r="K64" s="78" t="str">
        <f t="shared" si="19"/>
        <v>0.0791138721473436-0.481953002026438i</v>
      </c>
      <c r="L64" s="78" t="str">
        <f t="shared" si="20"/>
        <v>-0.147677234199697+0.0502048876768096i</v>
      </c>
      <c r="M64" s="73">
        <f t="shared" si="21"/>
        <v>-16.13874023498607</v>
      </c>
      <c r="N64" s="73">
        <f t="shared" si="22"/>
        <v>341.22383503809476</v>
      </c>
      <c r="O64" s="73">
        <f t="shared" si="24"/>
        <v>-18.776164961905238</v>
      </c>
    </row>
    <row r="65" spans="1:15" ht="15" x14ac:dyDescent="0.2">
      <c r="A65" s="74">
        <f t="shared" si="11"/>
        <v>64</v>
      </c>
      <c r="B65" s="73">
        <f t="shared" si="23"/>
        <v>64000</v>
      </c>
      <c r="C65" s="73">
        <f t="shared" si="13"/>
        <v>102.97150297991685</v>
      </c>
      <c r="D65" s="54" t="str">
        <f>IMDIV((COMPLEX(1,2*PI()*(B65)*(esrcout*0.001)*(cout*0.000001))),(COMPLEX(1,2*PI()*(B65)*rload*(cout*0.000001))))</f>
        <v>0.00430560834643116-0.000229267482986897i</v>
      </c>
      <c r="E65" s="54" t="str">
        <f>IMDIV(1,(COMPLEX((1-(B65/(fpp*1000))^2),(B65/(fpp*1000)))))</f>
        <v>-0.312030390352364-0.625624842811758i</v>
      </c>
      <c r="F65" s="73" t="str">
        <f t="shared" si="14"/>
        <v>-0.00148691608604684-0.00262215712273348i</v>
      </c>
      <c r="G65" s="73" t="str">
        <f t="shared" si="15"/>
        <v>-0.153109984185258-0.270007459977361i</v>
      </c>
      <c r="H65" s="76">
        <f t="shared" si="16"/>
        <v>0.31039764126139258</v>
      </c>
      <c r="I65" s="54" t="str">
        <f t="shared" si="17"/>
        <v>2.74027402740275-0.0444115123264267i</v>
      </c>
      <c r="J65" s="78" t="str">
        <f t="shared" si="18"/>
        <v>0.0308035190943132-0.172785017596201i</v>
      </c>
      <c r="K65" s="78" t="str">
        <f t="shared" si="19"/>
        <v>0.0767364393879556-0.474846326911151i</v>
      </c>
      <c r="L65" s="78" t="str">
        <f t="shared" si="20"/>
        <v>-0.139961165629982+0.0519843025169456i</v>
      </c>
      <c r="M65" s="73">
        <f t="shared" si="21"/>
        <v>-16.518607926298159</v>
      </c>
      <c r="N65" s="73">
        <f t="shared" si="22"/>
        <v>339.62402283996823</v>
      </c>
      <c r="O65" s="73">
        <f t="shared" si="24"/>
        <v>-20.375977160031766</v>
      </c>
    </row>
    <row r="66" spans="1:15" ht="15" x14ac:dyDescent="0.2">
      <c r="A66" s="74">
        <f t="shared" si="11"/>
        <v>65</v>
      </c>
      <c r="B66" s="73">
        <f t="shared" si="23"/>
        <v>65000</v>
      </c>
      <c r="C66" s="73">
        <f t="shared" ref="C66:C101" si="25">_ta1*_ta2*(rload/RS)</f>
        <v>102.97150297991685</v>
      </c>
      <c r="D66" s="54" t="str">
        <f>IMDIV((COMPLEX(1,2*PI()*(B66)*(esrcout*0.001)*(cout*0.000001))),(COMPLEX(1,2*PI()*(B66)*rload*(cout*0.000001))))</f>
        <v>0.00430560673459148-0.000225740291306375i</v>
      </c>
      <c r="E66" s="54" t="str">
        <f>IMDIV(1,(COMPLEX((1-(B66/(fpp*1000))^2),(B66/(fpp*1000)))))</f>
        <v>-0.318544850191589-0.60015696412908i</v>
      </c>
      <c r="F66" s="73" t="str">
        <f t="shared" ref="F66:F97" si="26">IMPRODUCT(D66,E66)</f>
        <v>-0.00150700846016639-0.00251213145928975i</v>
      </c>
      <c r="G66" s="73" t="str">
        <f t="shared" ref="G66:G97" si="27">IMPRODUCT(C66,F66)</f>
        <v>-0.155178926146783-0.258677952046197i</v>
      </c>
      <c r="H66" s="76">
        <f t="shared" ref="H66:H97" si="28">IMABS(G66)</f>
        <v>0.301653413696718</v>
      </c>
      <c r="I66" s="54" t="str">
        <f t="shared" ref="I66:I101" si="29">IMDIV((COMPLEX(1,(2*PI()*B66*(rf*1000)*(Cz*0.000000001)))),(COMPLEX(0,2*PI()*B66*((Cz*0.000000001)+(Cp*0.000000000001))*(RII*1000))))</f>
        <v>2.74027402740274-0.0437282582906354i</v>
      </c>
      <c r="J66" s="78" t="str">
        <f t="shared" ref="J66:J101" si="30">IMDIV(1,(COMPLEX(1,2*PI()*B66*(((Cz*0.000000001)*(Cp*0.000000000001))/((Cz*0.000000001)+(Cp*0.000000000001)))*(rf*1000))))</f>
        <v>0.0298911221742954-0.170286943097399i</v>
      </c>
      <c r="K66" s="78" t="str">
        <f t="shared" ref="K66:K97" si="31">IMPRODUCT(I66,J66)</f>
        <v>0.074463514312858-0.467939974086645i</v>
      </c>
      <c r="L66" s="78" t="str">
        <f t="shared" ref="L66:L97" si="32">IMPRODUCT(G66,K66)</f>
        <v>-0.132600922365469+0.0533523532953063i</v>
      </c>
      <c r="M66" s="73">
        <f t="shared" ref="M66:M97" si="33">20*LOG(IMABS(L66))</f>
        <v>-16.89742725464238</v>
      </c>
      <c r="N66" s="73">
        <f t="shared" ref="N66:N101" si="34">(180/PI())*IMARGUMENT(L66)+180</f>
        <v>338.08247289899793</v>
      </c>
      <c r="O66" s="73">
        <f t="shared" si="24"/>
        <v>-21.917527101002065</v>
      </c>
    </row>
    <row r="67" spans="1:15" ht="15" x14ac:dyDescent="0.2">
      <c r="A67" s="74">
        <f t="shared" si="11"/>
        <v>66</v>
      </c>
      <c r="B67" s="73">
        <f t="shared" si="23"/>
        <v>66000</v>
      </c>
      <c r="C67" s="73">
        <f t="shared" si="25"/>
        <v>102.97150297991685</v>
      </c>
      <c r="D67" s="54" t="str">
        <f>IMDIV((COMPLEX(1,2*PI()*(B67)*(esrcout*0.001)*(cout*0.000001))),(COMPLEX(1,2*PI()*(B67)*rload*(cout*0.000001))))</f>
        <v>0.00430560519546078-0.000222319984205998i</v>
      </c>
      <c r="E67" s="54" t="str">
        <f>IMDIV(1,(COMPLEX((1-(B67/(fpp*1000))^2),(B67/(fpp*1000)))))</f>
        <v>-0.323689253851623-0.57552507419739i</v>
      </c>
      <c r="F67" s="73" t="str">
        <f t="shared" si="26"/>
        <v>-0.00152162885850409-0.00240602115977829i</v>
      </c>
      <c r="G67" s="73" t="str">
        <f t="shared" si="27"/>
        <v>-0.156684410537781-0.247751615023853i</v>
      </c>
      <c r="H67" s="76">
        <f t="shared" si="28"/>
        <v>0.29313967191852308</v>
      </c>
      <c r="I67" s="54" t="str">
        <f t="shared" si="29"/>
        <v>2.74027402740274-0.0430657089225956i</v>
      </c>
      <c r="J67" s="78" t="str">
        <f t="shared" si="30"/>
        <v>0.0290182780375404-0.167857730168367i</v>
      </c>
      <c r="K67" s="78" t="str">
        <f t="shared" si="31"/>
        <v>0.0722891214783848-0.461225870994553i</v>
      </c>
      <c r="L67" s="78" t="str">
        <f t="shared" si="32"/>
        <v>-0.125596032816819+0.0543571571266308i</v>
      </c>
      <c r="M67" s="73">
        <f t="shared" si="33"/>
        <v>-17.274839265245621</v>
      </c>
      <c r="N67" s="73">
        <f t="shared" si="34"/>
        <v>336.59734865456579</v>
      </c>
      <c r="O67" s="73">
        <f t="shared" si="24"/>
        <v>-23.402651345434208</v>
      </c>
    </row>
    <row r="68" spans="1:15" ht="15" x14ac:dyDescent="0.2">
      <c r="A68" s="74">
        <f t="shared" ref="A68:A100" si="35">1+A67</f>
        <v>67</v>
      </c>
      <c r="B68" s="73">
        <f t="shared" ref="B68:B99" si="36">(fs*1000/2)*(A68/100)</f>
        <v>67000</v>
      </c>
      <c r="C68" s="73">
        <f t="shared" si="25"/>
        <v>102.97150297991685</v>
      </c>
      <c r="D68" s="54" t="str">
        <f>IMDIV((COMPLEX(1,2*PI()*(B68)*(esrcout*0.001)*(cout*0.000001))),(COMPLEX(1,2*PI()*(B68)*rload*(cout*0.000001))))</f>
        <v>0.00430560372473074-0.000219001775809991i</v>
      </c>
      <c r="E68" s="54" t="str">
        <f>IMDIV(1,(COMPLEX((1-(B68/(fpp*1000))^2),(B68/(fpp*1000)))))</f>
        <v>-0.327598930100435-0.551762903889622i</v>
      </c>
      <c r="F68" s="73" t="str">
        <f t="shared" si="26"/>
        <v>-0.00153134822943614-0.00230392766670996i</v>
      </c>
      <c r="G68" s="73" t="str">
        <f t="shared" si="27"/>
        <v>-0.157685228770674-0.237238894598138i</v>
      </c>
      <c r="H68" s="76">
        <f t="shared" si="28"/>
        <v>0.28486299247639418</v>
      </c>
      <c r="I68" s="54" t="str">
        <f t="shared" si="29"/>
        <v>2.74027402740274-0.0424229371476314i</v>
      </c>
      <c r="J68" s="78" t="str">
        <f t="shared" si="30"/>
        <v>0.0281827552974815-0.165494675447048i</v>
      </c>
      <c r="K68" s="78" t="str">
        <f t="shared" si="31"/>
        <v>0.0702077021475778-0.454696356057624i</v>
      </c>
      <c r="L68" s="78" t="str">
        <f t="shared" si="32"/>
        <v>-0.118942378463516+0.0550429012763716i</v>
      </c>
      <c r="M68" s="73">
        <f t="shared" si="33"/>
        <v>-17.650524220190974</v>
      </c>
      <c r="N68" s="73">
        <f t="shared" si="34"/>
        <v>335.16674118435242</v>
      </c>
      <c r="O68" s="73">
        <f t="shared" si="24"/>
        <v>-24.833258815647582</v>
      </c>
    </row>
    <row r="69" spans="1:15" ht="15" x14ac:dyDescent="0.2">
      <c r="A69" s="74">
        <f t="shared" si="35"/>
        <v>68</v>
      </c>
      <c r="B69" s="73">
        <f t="shared" si="36"/>
        <v>68000</v>
      </c>
      <c r="C69" s="73">
        <f t="shared" si="25"/>
        <v>102.97150297991685</v>
      </c>
      <c r="D69" s="54" t="str">
        <f>IMDIV((COMPLEX(1,2*PI()*(B69)*(esrcout*0.001)*(cout*0.000001))),(COMPLEX(1,2*PI()*(B69)*rload*(cout*0.000001))))</f>
        <v>0.00430560231840758-0.000215781161764614i</v>
      </c>
      <c r="E69" s="54" t="str">
        <f>IMDIV(1,(COMPLEX((1-(B69/(fpp*1000))^2),(B69/(fpp*1000)))))</f>
        <v>-0.330401080778646-0.528890618948869i</v>
      </c>
      <c r="F69" s="73" t="str">
        <f t="shared" si="26"/>
        <v>-0.0015367002916081-0.00220589834607157i</v>
      </c>
      <c r="G69" s="73" t="str">
        <f t="shared" si="27"/>
        <v>-0.158236338656563-0.227144668115902i</v>
      </c>
      <c r="H69" s="76">
        <f t="shared" si="28"/>
        <v>0.27682745370522366</v>
      </c>
      <c r="I69" s="54" t="str">
        <f t="shared" si="29"/>
        <v>2.74027402740274-0.0417990704248721i</v>
      </c>
      <c r="J69" s="78" t="str">
        <f t="shared" si="30"/>
        <v>0.0273824761829292-0.163195208817601i</v>
      </c>
      <c r="K69" s="78" t="str">
        <f t="shared" si="31"/>
        <v>0.0682140802636864-0.448344154169816i</v>
      </c>
      <c r="L69" s="78" t="str">
        <f t="shared" si="32"/>
        <v>-0.112632930406358+0.0554498727915787i</v>
      </c>
      <c r="M69" s="73">
        <f t="shared" si="33"/>
        <v>-18.024199397594359</v>
      </c>
      <c r="N69" s="73">
        <f t="shared" si="34"/>
        <v>333.78869783586322</v>
      </c>
      <c r="O69" s="73">
        <f t="shared" si="24"/>
        <v>-26.211302164136782</v>
      </c>
    </row>
    <row r="70" spans="1:15" ht="15" x14ac:dyDescent="0.2">
      <c r="A70" s="74">
        <f t="shared" si="35"/>
        <v>69</v>
      </c>
      <c r="B70" s="73">
        <f t="shared" si="36"/>
        <v>69000</v>
      </c>
      <c r="C70" s="73">
        <f t="shared" si="25"/>
        <v>102.97150297991685</v>
      </c>
      <c r="D70" s="54" t="str">
        <f>IMDIV((COMPLEX(1,2*PI()*(B70)*(esrcout*0.001)*(cout*0.000001))),(COMPLEX(1,2*PI()*(B70)*rload*(cout*0.000001))))</f>
        <v>0.00430560097278471-0.000212653898838024i</v>
      </c>
      <c r="E70" s="54" t="str">
        <f>IMDIV(1,(COMPLEX((1-(B70/(fpp*1000))^2),(B70/(fpp*1000)))))</f>
        <v>-0.332214276180469-0.506916962769844i</v>
      </c>
      <c r="F70" s="73" t="str">
        <f t="shared" si="26"/>
        <v>-0.00153817997921573-0.00211193550694348i</v>
      </c>
      <c r="G70" s="73" t="str">
        <f t="shared" si="27"/>
        <v>-0.158388704313461-0.217469173346623i</v>
      </c>
      <c r="H70" s="76">
        <f t="shared" si="28"/>
        <v>0.26903498473276766</v>
      </c>
      <c r="I70" s="54" t="str">
        <f t="shared" si="29"/>
        <v>2.74027402740275-0.0411932867955262i</v>
      </c>
      <c r="J70" s="78" t="str">
        <f t="shared" si="30"/>
        <v>0.0266155041486709-0.160956885803568i</v>
      </c>
      <c r="K70" s="78" t="str">
        <f t="shared" si="31"/>
        <v>0.0663034315862119-0.442162353794752i</v>
      </c>
      <c r="L70" s="78" t="str">
        <f t="shared" si="32"/>
        <v>-0.106658396185218+0.055614569856643i</v>
      </c>
      <c r="M70" s="73">
        <f t="shared" si="33"/>
        <v>-18.395616677395282</v>
      </c>
      <c r="N70" s="73">
        <f t="shared" si="34"/>
        <v>332.46124646470219</v>
      </c>
      <c r="O70" s="73">
        <f t="shared" si="24"/>
        <v>-27.538753535297815</v>
      </c>
    </row>
    <row r="71" spans="1:15" ht="15" x14ac:dyDescent="0.2">
      <c r="A71" s="74">
        <f t="shared" si="35"/>
        <v>70</v>
      </c>
      <c r="B71" s="73">
        <f t="shared" si="36"/>
        <v>70000</v>
      </c>
      <c r="C71" s="73">
        <f t="shared" si="25"/>
        <v>102.97150297991685</v>
      </c>
      <c r="D71" s="54" t="str">
        <f>IMDIV((COMPLEX(1,2*PI()*(B71)*(esrcout*0.001)*(cout*0.000001))),(COMPLEX(1,2*PI()*(B71)*rload*(cout*0.000001))))</f>
        <v>0.00430559968441848-0.000209615986268711i</v>
      </c>
      <c r="E71" s="54" t="str">
        <f>IMDIV(1,(COMPLEX((1-(B71/(fpp*1000))^2),(B71/(fpp*1000)))))</f>
        <v>-0.333148250971682-0.485841199333704i</v>
      </c>
      <c r="F71" s="73" t="str">
        <f t="shared" si="26"/>
        <v>-0.00153624308641655-0.00202200451532757i</v>
      </c>
      <c r="G71" s="73" t="str">
        <f t="shared" si="27"/>
        <v>-0.158189259550818-0.208208843975458i</v>
      </c>
      <c r="H71" s="76">
        <f t="shared" si="28"/>
        <v>0.26148568707834213</v>
      </c>
      <c r="I71" s="54" t="str">
        <f t="shared" si="29"/>
        <v>2.74027402740274-0.0406048112698757i</v>
      </c>
      <c r="J71" s="78" t="str">
        <f t="shared" si="30"/>
        <v>0.0258800326240614-0.158777380427562i</v>
      </c>
      <c r="K71" s="78" t="str">
        <f t="shared" si="31"/>
        <v>0.0644712556618646-0.436144385565051i</v>
      </c>
      <c r="L71" s="78" t="str">
        <f t="shared" si="32"/>
        <v>-0.101007778520348+0.0555698717987789i</v>
      </c>
      <c r="M71" s="73">
        <f t="shared" si="33"/>
        <v>-18.764560015794626</v>
      </c>
      <c r="N71" s="73">
        <f t="shared" si="34"/>
        <v>331.18241565140772</v>
      </c>
      <c r="O71" s="73">
        <f t="shared" si="24"/>
        <v>-28.817584348592277</v>
      </c>
    </row>
    <row r="72" spans="1:15" ht="15" x14ac:dyDescent="0.2">
      <c r="A72" s="74">
        <f t="shared" si="35"/>
        <v>71</v>
      </c>
      <c r="B72" s="73">
        <f t="shared" si="36"/>
        <v>71000</v>
      </c>
      <c r="C72" s="73">
        <f t="shared" si="25"/>
        <v>102.97150297991685</v>
      </c>
      <c r="D72" s="54" t="str">
        <f>IMDIV((COMPLEX(1,2*PI()*(B72)*(esrcout*0.001)*(cout*0.000001))),(COMPLEX(1,2*PI()*(B72)*rload*(cout*0.000001))))</f>
        <v>0.00430559845010595-0.00020666364869013i</v>
      </c>
      <c r="E72" s="54" t="str">
        <f>IMDIV(1,(COMPLEX((1-(B72/(fpp*1000))^2),(B72/(fpp*1000)))))</f>
        <v>-0.333303933678997-0.465654846344132i</v>
      </c>
      <c r="F72" s="73" t="str">
        <f t="shared" si="26"/>
        <v>-0.00153130682983823-0.00193604097764674i</v>
      </c>
      <c r="G72" s="73" t="str">
        <f t="shared" si="27"/>
        <v>-0.157680965791854-0.199357049298992i</v>
      </c>
      <c r="H72" s="76">
        <f t="shared" si="28"/>
        <v>0.25417812667153827</v>
      </c>
      <c r="I72" s="54" t="str">
        <f t="shared" si="29"/>
        <v>2.74027402740274-0.0400329125195959i</v>
      </c>
      <c r="J72" s="78" t="str">
        <f t="shared" si="30"/>
        <v>0.0251743747830263-0.156654478510223i</v>
      </c>
      <c r="K72" s="78" t="str">
        <f t="shared" si="31"/>
        <v>0.0627133503400268-0.430284002281309i</v>
      </c>
      <c r="L72" s="78" t="str">
        <f t="shared" si="32"/>
        <v>-0.0956688507050208+0.0553452485690594i</v>
      </c>
      <c r="M72" s="73">
        <f t="shared" si="33"/>
        <v>-19.130842888888068</v>
      </c>
      <c r="N72" s="73">
        <f t="shared" si="34"/>
        <v>329.95025130264139</v>
      </c>
      <c r="O72" s="73">
        <f t="shared" si="24"/>
        <v>-30.049748697358609</v>
      </c>
    </row>
    <row r="73" spans="1:15" ht="15" x14ac:dyDescent="0.2">
      <c r="A73" s="74">
        <f t="shared" si="35"/>
        <v>72</v>
      </c>
      <c r="B73" s="73">
        <f t="shared" si="36"/>
        <v>72000</v>
      </c>
      <c r="C73" s="73">
        <f t="shared" si="25"/>
        <v>102.97150297991685</v>
      </c>
      <c r="D73" s="54" t="str">
        <f>IMDIV((COMPLEX(1,2*PI()*(B73)*(esrcout*0.001)*(cout*0.000001))),(COMPLEX(1,2*PI()*(B73)*rload*(cout*0.000001))))</f>
        <v>0.00430559726686513-0.00020379332047828i</v>
      </c>
      <c r="E73" s="54" t="str">
        <f>IMDIV(1,(COMPLEX((1-(B73/(fpp*1000))^2),(B73/(fpp*1000)))))</f>
        <v>-0.3327736520237-0.446343199435663i</v>
      </c>
      <c r="F73" s="73" t="str">
        <f t="shared" si="26"/>
        <v>-0.00152375108932386-0.00185395701206043i</v>
      </c>
      <c r="G73" s="73" t="str">
        <f t="shared" si="27"/>
        <v>-0.156902939834963-0.190904739992018i</v>
      </c>
      <c r="H73" s="76">
        <f t="shared" si="28"/>
        <v>0.24710959568635538</v>
      </c>
      <c r="I73" s="54" t="str">
        <f t="shared" si="29"/>
        <v>2.74027402740275-0.0394768998457126i</v>
      </c>
      <c r="J73" s="78" t="str">
        <f t="shared" si="30"/>
        <v>0.024496954232006-0.15458607138213i</v>
      </c>
      <c r="K73" s="78" t="str">
        <f t="shared" si="31"/>
        <v>0.0610257885749454-0.42457526021542i</v>
      </c>
      <c r="L73" s="78" t="str">
        <f t="shared" si="32"/>
        <v>-0.090628555291624+0.054966994208286i</v>
      </c>
      <c r="M73" s="73">
        <f t="shared" si="33"/>
        <v>-19.494305767247361</v>
      </c>
      <c r="N73" s="73">
        <f t="shared" si="34"/>
        <v>328.76283005118535</v>
      </c>
      <c r="O73" s="73">
        <f t="shared" si="24"/>
        <v>-31.237169948814653</v>
      </c>
    </row>
    <row r="74" spans="1:15" ht="15" x14ac:dyDescent="0.2">
      <c r="A74" s="74">
        <f t="shared" si="35"/>
        <v>73</v>
      </c>
      <c r="B74" s="73">
        <f t="shared" si="36"/>
        <v>73000</v>
      </c>
      <c r="C74" s="73">
        <f t="shared" si="25"/>
        <v>102.97150297991685</v>
      </c>
      <c r="D74" s="54" t="str">
        <f>IMDIV((COMPLEX(1,2*PI()*(B74)*(esrcout*0.001)*(cout*0.000001))),(COMPLEX(1,2*PI()*(B74)*rload*(cout*0.000001))))</f>
        <v>0.00430559613191679-0.000201001631385773i</v>
      </c>
      <c r="E74" s="54" t="str">
        <f>IMDIV(1,(COMPLEX((1-(B74/(fpp*1000))^2),(B74/(fpp*1000)))))</f>
        <v>-0.331641465588464-0.427886655849379i</v>
      </c>
      <c r="F74" s="73" t="str">
        <f t="shared" si="26"/>
        <v>-0.00151392012729483-0.00177564665470545i</v>
      </c>
      <c r="G74" s="73" t="str">
        <f t="shared" si="27"/>
        <v>-0.155890630899096-0.182841004796282i</v>
      </c>
      <c r="H74" s="76">
        <f t="shared" si="28"/>
        <v>0.24027634473046278</v>
      </c>
      <c r="I74" s="54" t="str">
        <f t="shared" si="29"/>
        <v>2.74027402740274-0.0389361203957713i</v>
      </c>
      <c r="J74" s="78" t="str">
        <f t="shared" si="30"/>
        <v>0.0238462965238748-0.152570149983443i</v>
      </c>
      <c r="K74" s="78" t="str">
        <f t="shared" si="31"/>
        <v>0.0594048972855621-0.419012501629016i</v>
      </c>
      <c r="L74" s="78" t="str">
        <f t="shared" si="32"/>
        <v>-0.0858733337363953+0.0544584721240437i</v>
      </c>
      <c r="M74" s="73">
        <f t="shared" si="33"/>
        <v>-19.854813667201178</v>
      </c>
      <c r="N74" s="73">
        <f t="shared" si="34"/>
        <v>327.6182698597305</v>
      </c>
      <c r="O74" s="73">
        <f t="shared" si="24"/>
        <v>-32.381730140269497</v>
      </c>
    </row>
    <row r="75" spans="1:15" ht="15" x14ac:dyDescent="0.2">
      <c r="A75" s="74">
        <f t="shared" si="35"/>
        <v>74</v>
      </c>
      <c r="B75" s="73">
        <f t="shared" si="36"/>
        <v>74000</v>
      </c>
      <c r="C75" s="73">
        <f t="shared" si="25"/>
        <v>102.97150297991685</v>
      </c>
      <c r="D75" s="54" t="str">
        <f>IMDIV((COMPLEX(1,2*PI()*(B75)*(esrcout*0.001)*(cout*0.000001))),(COMPLEX(1,2*PI()*(B75)*rload*(cout*0.000001))))</f>
        <v>0.0043055950426683-0.000198285393340719i</v>
      </c>
      <c r="E75" s="54" t="str">
        <f>IMDIV(1,(COMPLEX((1-(B75/(fpp*1000))^2),(B75/(fpp*1000)))))</f>
        <v>-0.329983585977756-0.410261850846i</v>
      </c>
      <c r="F75" s="73" t="str">
        <f t="shared" si="26"/>
        <v>-0.00150212462441543-0.00170099046605688i</v>
      </c>
      <c r="G75" s="73" t="str">
        <f t="shared" si="27"/>
        <v>-0.1546760302392-0.175153544844386i</v>
      </c>
      <c r="H75" s="76">
        <f t="shared" si="28"/>
        <v>0.23367378672438263</v>
      </c>
      <c r="I75" s="54" t="str">
        <f t="shared" si="29"/>
        <v>2.74027402740274-0.0384099566066393i</v>
      </c>
      <c r="J75" s="78" t="str">
        <f t="shared" si="30"/>
        <v>0.023221021415994-0.150604799327219i</v>
      </c>
      <c r="K75" s="78" t="str">
        <f t="shared" si="31"/>
        <v>0.0578472380691011-0.41359033842353i</v>
      </c>
      <c r="L75" s="78" t="str">
        <f t="shared" si="32"/>
        <v>-0.081389395033101+0.0538403628853787i</v>
      </c>
      <c r="M75" s="73">
        <f t="shared" si="33"/>
        <v>-20.212253811264524</v>
      </c>
      <c r="N75" s="73">
        <f t="shared" si="34"/>
        <v>326.51473821177603</v>
      </c>
      <c r="O75" s="73">
        <f t="shared" si="24"/>
        <v>-33.485261788223966</v>
      </c>
    </row>
    <row r="76" spans="1:15" ht="15" x14ac:dyDescent="0.2">
      <c r="A76" s="74">
        <f t="shared" si="35"/>
        <v>75</v>
      </c>
      <c r="B76" s="73">
        <f t="shared" si="36"/>
        <v>75000</v>
      </c>
      <c r="C76" s="73">
        <f t="shared" si="25"/>
        <v>102.97150297991685</v>
      </c>
      <c r="D76" s="54" t="str">
        <f>IMDIV((COMPLEX(1,2*PI()*(B76)*(esrcout*0.001)*(cout*0.000001))),(COMPLEX(1,2*PI()*(B76)*rload*(cout*0.000001))))</f>
        <v>0.00430559399669859-0.000195641588301696i</v>
      </c>
      <c r="E76" s="54" t="str">
        <f>IMDIV(1,(COMPLEX((1-(B76/(fpp*1000))^2),(B76/(fpp*1000)))))</f>
        <v>-0.327868852459016-0.39344262295082i</v>
      </c>
      <c r="F76" s="73" t="str">
        <f t="shared" si="26"/>
        <v>-0.00148864390251168-0.00162985941237266i</v>
      </c>
      <c r="G76" s="73" t="str">
        <f t="shared" si="27"/>
        <v>-0.153287900043517-0.167829073337977i</v>
      </c>
      <c r="H76" s="76">
        <f t="shared" si="28"/>
        <v>0.22729667432066691</v>
      </c>
      <c r="I76" s="54" t="str">
        <f t="shared" si="29"/>
        <v>2.74027402740275-0.0378978238518841i</v>
      </c>
      <c r="J76" s="78" t="str">
        <f t="shared" si="30"/>
        <v>0.0226198357994703-0.148688193303555i</v>
      </c>
      <c r="K76" s="78" t="str">
        <f t="shared" si="31"/>
        <v>0.0563495895867304-0.408303636843858i</v>
      </c>
      <c r="L76" s="78" t="str">
        <f t="shared" si="32"/>
        <v>-0.0771629312680945+0.0531309076686095i</v>
      </c>
      <c r="M76" s="73">
        <f t="shared" si="33"/>
        <v>-20.566533419360571</v>
      </c>
      <c r="N76" s="73">
        <f t="shared" si="34"/>
        <v>325.45045824369339</v>
      </c>
      <c r="O76" s="73">
        <f t="shared" si="24"/>
        <v>-34.54954175630661</v>
      </c>
    </row>
    <row r="77" spans="1:15" ht="15" x14ac:dyDescent="0.2">
      <c r="A77" s="74">
        <f t="shared" si="35"/>
        <v>76</v>
      </c>
      <c r="B77" s="73">
        <f t="shared" si="36"/>
        <v>76000</v>
      </c>
      <c r="C77" s="73">
        <f t="shared" si="25"/>
        <v>102.97150297991685</v>
      </c>
      <c r="D77" s="54" t="str">
        <f>IMDIV((COMPLEX(1,2*PI()*(B77)*(esrcout*0.001)*(cout*0.000001))),(COMPLEX(1,2*PI()*(B77)*rload*(cout*0.000001))))</f>
        <v>0.00430559299174493-0.000193067357071537i</v>
      </c>
      <c r="E77" s="54" t="str">
        <f>IMDIV(1,(COMPLEX((1-(B77/(fpp*1000))^2),(B77/(fpp*1000)))))</f>
        <v>-0.325359237914116-0.377400825419304i</v>
      </c>
      <c r="F77" s="73" t="str">
        <f t="shared" si="26"/>
        <v>-0.00147372823448281-0.00156211810084122i</v>
      </c>
      <c r="G77" s="73" t="str">
        <f t="shared" si="27"/>
        <v>-0.151752011288634-0.160853648675754i</v>
      </c>
      <c r="H77" s="76">
        <f t="shared" si="28"/>
        <v>0.22113925301141948</v>
      </c>
      <c r="I77" s="54" t="str">
        <f t="shared" si="29"/>
        <v>2.74027402740274-0.0373991682748856i</v>
      </c>
      <c r="J77" s="78" t="str">
        <f t="shared" si="30"/>
        <v>0.0220415272345515-0.146818589802927i</v>
      </c>
      <c r="K77" s="78" t="str">
        <f t="shared" si="31"/>
        <v>0.0549089314592106-0.403147503162938i</v>
      </c>
      <c r="L77" s="78" t="str">
        <f t="shared" si="32"/>
        <v>-0.0731802876249236+0.0523461424808659i</v>
      </c>
      <c r="M77" s="73">
        <f t="shared" si="33"/>
        <v>-20.917577643875973</v>
      </c>
      <c r="N77" s="73">
        <f t="shared" si="34"/>
        <v>324.42371313873809</v>
      </c>
      <c r="O77" s="73">
        <f t="shared" si="24"/>
        <v>-35.576286861261906</v>
      </c>
    </row>
    <row r="78" spans="1:15" ht="15" x14ac:dyDescent="0.2">
      <c r="A78" s="74">
        <f t="shared" si="35"/>
        <v>77</v>
      </c>
      <c r="B78" s="73">
        <f t="shared" si="36"/>
        <v>77000</v>
      </c>
      <c r="C78" s="73">
        <f t="shared" si="25"/>
        <v>102.97150297991685</v>
      </c>
      <c r="D78" s="54" t="str">
        <f>IMDIV((COMPLEX(1,2*PI()*(B78)*(esrcout*0.001)*(cout*0.000001))),(COMPLEX(1,2*PI()*(B78)*rload*(cout*0.000001))))</f>
        <v>0.00430559202569048-0.000190559988982768i</v>
      </c>
      <c r="E78" s="54" t="str">
        <f>IMDIV(1,(COMPLEX((1-(B78/(fpp*1000))^2),(B78/(fpp*1000)))))</f>
        <v>-0.322510365759674-0.362107001509111i</v>
      </c>
      <c r="F78" s="73" t="str">
        <f t="shared" si="26"/>
        <v>-0.00145760116523553-0.00149762744639833i</v>
      </c>
      <c r="G78" s="73" t="str">
        <f t="shared" si="27"/>
        <v>-0.150091382729581-0.154212949059611i</v>
      </c>
      <c r="H78" s="76">
        <f t="shared" si="28"/>
        <v>0.21519539220749997</v>
      </c>
      <c r="I78" s="54" t="str">
        <f t="shared" si="29"/>
        <v>2.74027402740274-0.0369134647907962i</v>
      </c>
      <c r="J78" s="78" t="str">
        <f t="shared" si="30"/>
        <v>0.0214849580340325-0.14499432613833i</v>
      </c>
      <c r="K78" s="78" t="str">
        <f t="shared" si="31"/>
        <v>0.0535224295277246-0.398117270279549i</v>
      </c>
      <c r="L78" s="78" t="str">
        <f t="shared" si="32"/>
        <v>-0.0694280937762342+0.0515001198864782i</v>
      </c>
      <c r="M78" s="73">
        <f t="shared" si="33"/>
        <v>-21.265327654900538</v>
      </c>
      <c r="N78" s="73">
        <f t="shared" si="34"/>
        <v>323.43284906909162</v>
      </c>
      <c r="O78" s="73">
        <f t="shared" si="24"/>
        <v>-36.567150930908383</v>
      </c>
    </row>
    <row r="79" spans="1:15" ht="15" x14ac:dyDescent="0.2">
      <c r="A79" s="74">
        <f t="shared" si="35"/>
        <v>78</v>
      </c>
      <c r="B79" s="73">
        <f t="shared" si="36"/>
        <v>78000</v>
      </c>
      <c r="C79" s="73">
        <f t="shared" si="25"/>
        <v>102.97150297991685</v>
      </c>
      <c r="D79" s="54" t="str">
        <f>IMDIV((COMPLEX(1,2*PI()*(B79)*(esrcout*0.001)*(cout*0.000001))),(COMPLEX(1,2*PI()*(B79)*rload*(cout*0.000001))))</f>
        <v>0.00430559109655329-0.00018811691237648i</v>
      </c>
      <c r="E79" s="54" t="str">
        <f>IMDIV(1,(COMPLEX((1-(B79/(fpp*1000))^2),(B79/(fpp*1000)))))</f>
        <v>-0.319372023352939-0.34753094059053i</v>
      </c>
      <c r="F79" s="73" t="str">
        <f t="shared" si="26"/>
        <v>-0.00144046178773581-0.00143624684465079i</v>
      </c>
      <c r="G79" s="73" t="str">
        <f t="shared" si="27"/>
        <v>-0.148326515268294-0.147892496243855i</v>
      </c>
      <c r="H79" s="76">
        <f t="shared" si="28"/>
        <v>0.2094586965892658</v>
      </c>
      <c r="I79" s="54" t="str">
        <f t="shared" si="29"/>
        <v>2.74027402740274-0.0364402152421962i</v>
      </c>
      <c r="J79" s="78" t="str">
        <f t="shared" si="30"/>
        <v>0.0209490598426812-0.143213814747003i</v>
      </c>
      <c r="K79" s="78" t="str">
        <f t="shared" si="31"/>
        <v>0.0521874223503682-0.393208485166269i</v>
      </c>
      <c r="L79" s="78" t="str">
        <f t="shared" si="32"/>
        <v>-0.0658933629135691+0.050605116214709i</v>
      </c>
      <c r="M79" s="73">
        <f t="shared" si="33"/>
        <v>-21.60973887691781</v>
      </c>
      <c r="N79" s="73">
        <f t="shared" si="34"/>
        <v>322.47627693769323</v>
      </c>
      <c r="O79" s="73">
        <f t="shared" si="24"/>
        <v>-37.523723062306772</v>
      </c>
    </row>
    <row r="80" spans="1:15" ht="15" x14ac:dyDescent="0.2">
      <c r="A80" s="74">
        <f t="shared" si="35"/>
        <v>79</v>
      </c>
      <c r="B80" s="73">
        <f t="shared" si="36"/>
        <v>79000</v>
      </c>
      <c r="C80" s="73">
        <f t="shared" si="25"/>
        <v>102.97150297991685</v>
      </c>
      <c r="D80" s="54" t="str">
        <f>IMDIV((COMPLEX(1,2*PI()*(B80)*(esrcout*0.001)*(cout*0.000001))),(COMPLEX(1,2*PI()*(B80)*rload*(cout*0.000001))))</f>
        <v>0.00430559020247598-0.000185735685804317i</v>
      </c>
      <c r="E80" s="54" t="str">
        <f>IMDIV(1,(COMPLEX((1-(B80/(fpp*1000))^2),(B80/(fpp*1000)))))</f>
        <v>-0.315988661370671-0.333642131091727i</v>
      </c>
      <c r="F80" s="73" t="str">
        <f t="shared" si="26"/>
        <v>-0.0014224869345226-0.00137783592003568i</v>
      </c>
      <c r="G80" s="73" t="str">
        <f t="shared" si="27"/>
        <v>-0.146475617617087-0.141877835545791i</v>
      </c>
      <c r="H80" s="76">
        <f t="shared" si="28"/>
        <v>0.20392259996249951</v>
      </c>
      <c r="I80" s="54" t="str">
        <f t="shared" si="29"/>
        <v>2.74027402740274-0.0359789466948267i</v>
      </c>
      <c r="J80" s="78" t="str">
        <f t="shared" si="30"/>
        <v>0.0204328286661268-0.141475539153691i</v>
      </c>
      <c r="K80" s="78" t="str">
        <f t="shared" si="31"/>
        <v>0.0509014088183249-0.388416897109062i</v>
      </c>
      <c r="L80" s="78" t="str">
        <f t="shared" si="32"/>
        <v>-0.0625635639454899+0.049671823187587i</v>
      </c>
      <c r="M80" s="73">
        <f t="shared" si="33"/>
        <v>-21.950779374455184</v>
      </c>
      <c r="N80" s="73">
        <f t="shared" si="34"/>
        <v>321.55247313891084</v>
      </c>
      <c r="O80" s="73">
        <f t="shared" si="24"/>
        <v>-38.447526861089159</v>
      </c>
    </row>
    <row r="81" spans="1:18" ht="15" x14ac:dyDescent="0.2">
      <c r="A81" s="74">
        <f t="shared" si="35"/>
        <v>80</v>
      </c>
      <c r="B81" s="73">
        <f t="shared" si="36"/>
        <v>80000</v>
      </c>
      <c r="C81" s="73">
        <f t="shared" si="25"/>
        <v>102.97150297991685</v>
      </c>
      <c r="D81" s="54" t="str">
        <f>IMDIV((COMPLEX(1,2*PI()*(B81)*(esrcout*0.001)*(cout*0.000001))),(COMPLEX(1,2*PI()*(B81)*rload*(cout*0.000001))))</f>
        <v>0.00430558934171659-0.000183413989890321i</v>
      </c>
      <c r="E81" s="54" t="str">
        <f>IMDIV(1,(COMPLEX((1-(B81/(fpp*1000))^2),(B81/(fpp*1000)))))</f>
        <v>-0.31239987183595-0.320410124959949i</v>
      </c>
      <c r="F81" s="73" t="str">
        <f t="shared" si="26"/>
        <v>-0.00140383325795066-0.00132225591207098i</v>
      </c>
      <c r="G81" s="73" t="str">
        <f t="shared" si="27"/>
        <v>-0.144554820504373-0.13615467859003i</v>
      </c>
      <c r="H81" s="76">
        <f t="shared" si="28"/>
        <v>0.19858044373252334</v>
      </c>
      <c r="I81" s="54" t="str">
        <f t="shared" si="29"/>
        <v>2.74027402740274-0.0355292098611414i</v>
      </c>
      <c r="J81" s="78" t="str">
        <f t="shared" si="30"/>
        <v>0.0199353203074676-0.139778050178511i</v>
      </c>
      <c r="K81" s="78" t="str">
        <f t="shared" si="31"/>
        <v>0.0496620367877344-0.383738446684024i</v>
      </c>
      <c r="L81" s="78" t="str">
        <f t="shared" si="32"/>
        <v>-0.0594266716846332+0.0487095236240758i</v>
      </c>
      <c r="M81" s="73">
        <f t="shared" si="33"/>
        <v>-22.28842838152223</v>
      </c>
      <c r="N81" s="73">
        <f t="shared" si="34"/>
        <v>320.65997952673825</v>
      </c>
      <c r="O81" s="73">
        <f t="shared" si="24"/>
        <v>-39.340020473261745</v>
      </c>
    </row>
    <row r="82" spans="1:18" ht="15" x14ac:dyDescent="0.2">
      <c r="A82" s="74">
        <f t="shared" si="35"/>
        <v>81</v>
      </c>
      <c r="B82" s="73">
        <f t="shared" si="36"/>
        <v>81000</v>
      </c>
      <c r="C82" s="73">
        <f t="shared" si="25"/>
        <v>102.97150297991685</v>
      </c>
      <c r="D82" s="54" t="str">
        <f>IMDIV((COMPLEX(1,2*PI()*(B82)*(esrcout*0.001)*(cout*0.000001))),(COMPLEX(1,2*PI()*(B82)*rload*(cout*0.000001))))</f>
        <v>0.00430558851263995-0.000181149619795598i</v>
      </c>
      <c r="E82" s="54" t="str">
        <f>IMDIV(1,(COMPLEX((1-(B82/(fpp*1000))^2),(B82/(fpp*1000)))))</f>
        <v>-0.308640839982196-0.307804826872173i</v>
      </c>
      <c r="F82" s="73" t="str">
        <f t="shared" si="26"/>
        <v>-0.00138463918251803-0.00126937075589979i</v>
      </c>
      <c r="G82" s="73" t="str">
        <f t="shared" si="27"/>
        <v>-0.142578377708765-0.130709014573755i</v>
      </c>
      <c r="H82" s="76">
        <f t="shared" si="28"/>
        <v>0.1934255419558269</v>
      </c>
      <c r="I82" s="54" t="str">
        <f t="shared" si="29"/>
        <v>2.74027402740274-0.0350905776406334i</v>
      </c>
      <c r="J82" s="78" t="str">
        <f t="shared" si="30"/>
        <v>0.0194556461741281-0.138119962373566i</v>
      </c>
      <c r="K82" s="78" t="str">
        <f t="shared" si="31"/>
        <v>0.0484670926339097-0.379169255420749i</v>
      </c>
      <c r="L82" s="78" t="str">
        <f t="shared" si="32"/>
        <v>-0.0564711991727138+0.0477262513974975i</v>
      </c>
      <c r="M82" s="73">
        <f t="shared" si="33"/>
        <v>-22.62267496783846</v>
      </c>
      <c r="N82" s="73">
        <f t="shared" si="34"/>
        <v>319.79740275159782</v>
      </c>
      <c r="O82" s="73">
        <f t="shared" si="24"/>
        <v>-40.202597248402185</v>
      </c>
    </row>
    <row r="83" spans="1:18" ht="15" x14ac:dyDescent="0.2">
      <c r="A83" s="74">
        <f t="shared" si="35"/>
        <v>82</v>
      </c>
      <c r="B83" s="73">
        <f t="shared" si="36"/>
        <v>82000</v>
      </c>
      <c r="C83" s="73">
        <f t="shared" si="25"/>
        <v>102.97150297991685</v>
      </c>
      <c r="D83" s="54" t="str">
        <f>IMDIV((COMPLEX(1,2*PI()*(B83)*(esrcout*0.001)*(cout*0.000001))),(COMPLEX(1,2*PI()*(B83)*rload*(cout*0.000001))))</f>
        <v>0.00430558771371007-0.000178940478234353i</v>
      </c>
      <c r="E83" s="54" t="str">
        <f>IMDIV(1,(COMPLEX((1-(B83/(fpp*1000))^2),(B83/(fpp*1000)))))</f>
        <v>-0.304742767092029-0.295796719952017i</v>
      </c>
      <c r="F83" s="73" t="str">
        <f t="shared" si="26"/>
        <v>-0.00136502672036182-0.00121904790669923i</v>
      </c>
      <c r="G83" s="73" t="str">
        <f t="shared" si="27"/>
        <v>-0.140558853003403-0.125527195157341i</v>
      </c>
      <c r="H83" s="76">
        <f t="shared" si="28"/>
        <v>0.18845123475769915</v>
      </c>
      <c r="I83" s="54" t="str">
        <f t="shared" si="29"/>
        <v>2.74027402740274-0.0346626437669671i</v>
      </c>
      <c r="J83" s="78" t="str">
        <f t="shared" si="30"/>
        <v>0.0189929694212954-0.13649995067346i</v>
      </c>
      <c r="K83" s="78" t="str">
        <f t="shared" si="31"/>
        <v>0.0473144916440275-0.374705616105365i</v>
      </c>
      <c r="L83" s="78" t="str">
        <f t="shared" si="32"/>
        <v>-0.0536862156753335+0.0467289361873333i</v>
      </c>
      <c r="M83" s="73">
        <f t="shared" si="33"/>
        <v>-22.953516833698316</v>
      </c>
      <c r="N83" s="73">
        <f t="shared" si="34"/>
        <v>318.96341310211506</v>
      </c>
      <c r="O83" s="73">
        <f t="shared" si="24"/>
        <v>-41.036586897884945</v>
      </c>
    </row>
    <row r="84" spans="1:18" ht="15" x14ac:dyDescent="0.2">
      <c r="A84" s="74">
        <f t="shared" si="35"/>
        <v>83</v>
      </c>
      <c r="B84" s="73">
        <f t="shared" si="36"/>
        <v>83000</v>
      </c>
      <c r="C84" s="73">
        <f t="shared" si="25"/>
        <v>102.97150297991685</v>
      </c>
      <c r="D84" s="54" t="str">
        <f>IMDIV((COMPLEX(1,2*PI()*(B84)*(esrcout*0.001)*(cout*0.000001))),(COMPLEX(1,2*PI()*(B84)*rload*(cout*0.000001))))</f>
        <v>0.00430558694348284-0.000176784568994788i</v>
      </c>
      <c r="E84" s="54" t="str">
        <f>IMDIV(1,(COMPLEX((1-(B84/(fpp*1000))^2),(B84/(fpp*1000)))))</f>
        <v>-0.300733262929728-0.284357038313596i</v>
      </c>
      <c r="F84" s="73" t="str">
        <f t="shared" si="26"/>
        <v>-0.00134510314680013-0.00117115895118104i</v>
      </c>
      <c r="G84" s="73" t="str">
        <f t="shared" si="27"/>
        <v>-0.138507292689025-0.120595997431495i</v>
      </c>
      <c r="H84" s="76">
        <f t="shared" si="28"/>
        <v>0.18365093172793975</v>
      </c>
      <c r="I84" s="54" t="str">
        <f t="shared" si="29"/>
        <v>2.74027402740275-0.0342450215529073i</v>
      </c>
      <c r="J84" s="78" t="str">
        <f t="shared" si="30"/>
        <v>0.0185465014016402-0.134916747245845i</v>
      </c>
      <c r="K84" s="78" t="str">
        <f t="shared" si="31"/>
        <v>0.0462022691728212-0.370343983679681i</v>
      </c>
      <c r="L84" s="78" t="str">
        <f t="shared" si="32"/>
        <v>-0.0510613533238215+0.0457235338086463i</v>
      </c>
      <c r="M84" s="73">
        <f t="shared" si="33"/>
        <v>-23.280959224679293</v>
      </c>
      <c r="N84" s="73">
        <f t="shared" si="34"/>
        <v>318.15674296643419</v>
      </c>
      <c r="O84" s="73">
        <f t="shared" si="24"/>
        <v>-41.843257033565806</v>
      </c>
      <c r="P84" s="73">
        <v>-27.673999999999999</v>
      </c>
      <c r="Q84" s="73">
        <v>318.15300000000002</v>
      </c>
      <c r="R84" s="73">
        <f>B84</f>
        <v>83000</v>
      </c>
    </row>
    <row r="85" spans="1:18" ht="15" x14ac:dyDescent="0.2">
      <c r="A85" s="74">
        <f t="shared" si="35"/>
        <v>84</v>
      </c>
      <c r="B85" s="73">
        <f t="shared" si="36"/>
        <v>84000</v>
      </c>
      <c r="C85" s="73">
        <f t="shared" si="25"/>
        <v>102.97150297991685</v>
      </c>
      <c r="D85" s="54" t="str">
        <f>IMDIV((COMPLEX(1,2*PI()*(B85)*(esrcout*0.001)*(cout*0.000001))),(COMPLEX(1,2*PI()*(B85)*rload*(cout*0.000001))))</f>
        <v>0.00430558620059967-0.000174679990922797i</v>
      </c>
      <c r="E85" s="54" t="str">
        <f>IMDIV(1,(COMPLEX((1-(B85/(fpp*1000))^2),(B85/(fpp*1000)))))</f>
        <v>-0.296636707487767-0.273457895401365i</v>
      </c>
      <c r="F85" s="73" t="str">
        <f t="shared" si="26"/>
        <v>-0.00132496253703713-0.00112558004351381i</v>
      </c>
      <c r="G85" s="73" t="str">
        <f t="shared" si="27"/>
        <v>-0.136433383830797-0.115902668804817i</v>
      </c>
      <c r="H85" s="76">
        <f t="shared" si="28"/>
        <v>0.17901814673267255</v>
      </c>
      <c r="I85" s="54" t="str">
        <f t="shared" si="29"/>
        <v>2.74027402740274-0.0338373427248965i</v>
      </c>
      <c r="J85" s="78" t="str">
        <f t="shared" si="30"/>
        <v>0.0181154983940378-0.133369138529022i</v>
      </c>
      <c r="K85" s="78" t="str">
        <f t="shared" si="31"/>
        <v>0.0451285724933071-0.366080966695948i</v>
      </c>
      <c r="L85" s="78" t="str">
        <f t="shared" si="32"/>
        <v>-0.048586804891423+0.0447151430510515i</v>
      </c>
      <c r="M85" s="73">
        <f t="shared" si="33"/>
        <v>-23.605013957146269</v>
      </c>
      <c r="N85" s="73">
        <f t="shared" si="34"/>
        <v>317.37618500857502</v>
      </c>
      <c r="O85" s="73">
        <f t="shared" si="24"/>
        <v>-42.623814991424979</v>
      </c>
    </row>
    <row r="86" spans="1:18" ht="15" x14ac:dyDescent="0.2">
      <c r="A86" s="74">
        <f t="shared" si="35"/>
        <v>85</v>
      </c>
      <c r="B86" s="73">
        <f t="shared" si="36"/>
        <v>85000</v>
      </c>
      <c r="C86" s="73">
        <f t="shared" si="25"/>
        <v>102.97150297991685</v>
      </c>
      <c r="D86" s="54" t="str">
        <f>IMDIV((COMPLEX(1,2*PI()*(B86)*(esrcout*0.001)*(cout*0.000001))),(COMPLEX(1,2*PI()*(B86)*rload*(cout*0.000001))))</f>
        <v>0.00430558548378135-0.000172624932330334i</v>
      </c>
      <c r="E86" s="54" t="str">
        <f>IMDIV(1,(COMPLEX((1-(B86/(fpp*1000))^2),(B86/(fpp*1000)))))</f>
        <v>-0.292474582566039-0.263072375853051i</v>
      </c>
      <c r="F86" s="73" t="str">
        <f t="shared" si="26"/>
        <v>-0.00130468716815096-0.00108219219763296i</v>
      </c>
      <c r="G86" s="73" t="str">
        <f t="shared" si="27"/>
        <v>-0.134345598623116-0.111434957103405i</v>
      </c>
      <c r="H86" s="76">
        <f t="shared" si="28"/>
        <v>0.17454652541383087</v>
      </c>
      <c r="I86" s="54" t="str">
        <f t="shared" si="29"/>
        <v>2.74027402740274-0.0334392563398977i</v>
      </c>
      <c r="J86" s="78" t="str">
        <f t="shared" si="30"/>
        <v>0.0176992585866887-0.131855962444518i</v>
      </c>
      <c r="K86" s="78" t="str">
        <f t="shared" si="31"/>
        <v>0.0440916532812618-0.36191331928981i</v>
      </c>
      <c r="L86" s="78" t="str">
        <f t="shared" si="32"/>
        <v>-0.0462533147645649+0.0437081100376528i</v>
      </c>
      <c r="M86" s="73">
        <f t="shared" si="33"/>
        <v>-23.925698545534694</v>
      </c>
      <c r="N86" s="73">
        <f t="shared" si="34"/>
        <v>316.62059013887949</v>
      </c>
      <c r="O86" s="73">
        <f t="shared" si="24"/>
        <v>-43.379409861120507</v>
      </c>
    </row>
    <row r="87" spans="1:18" ht="15" x14ac:dyDescent="0.2">
      <c r="A87" s="74">
        <f t="shared" si="35"/>
        <v>86</v>
      </c>
      <c r="B87" s="73">
        <f t="shared" si="36"/>
        <v>86000</v>
      </c>
      <c r="C87" s="73">
        <f t="shared" si="25"/>
        <v>102.97150297991685</v>
      </c>
      <c r="D87" s="54" t="str">
        <f>IMDIV((COMPLEX(1,2*PI()*(B87)*(esrcout*0.001)*(cout*0.000001))),(COMPLEX(1,2*PI()*(B87)*rload*(cout*0.000001))))</f>
        <v>0.00430558479182267-0.000170617665793901i</v>
      </c>
      <c r="E87" s="54" t="str">
        <f>IMDIV(1,(COMPLEX((1-(B87/(fpp*1000))^2),(B87/(fpp*1000)))))</f>
        <v>-0.288265774261145-0.253174597492427i</v>
      </c>
      <c r="F87" s="73" t="str">
        <f t="shared" si="26"/>
        <v>-0.00128434879252424-0.00104088146310651i</v>
      </c>
      <c r="G87" s="73" t="str">
        <f t="shared" si="27"/>
        <v>-0.132251325516662-0.107181128680012i</v>
      </c>
      <c r="H87" s="76">
        <f t="shared" si="28"/>
        <v>0.1702298664924442</v>
      </c>
      <c r="I87" s="54" t="str">
        <f t="shared" si="29"/>
        <v>2.74027402740275-0.0330504277778059i</v>
      </c>
      <c r="J87" s="78" t="str">
        <f t="shared" si="30"/>
        <v>0.0172971192924324-0.130376105773319i</v>
      </c>
      <c r="K87" s="78" t="str">
        <f t="shared" si="31"/>
        <v>0.0430898606781269-0.357837933636478i</v>
      </c>
      <c r="L87" s="78" t="str">
        <f t="shared" si="32"/>
        <v>-0.0440521648026915+0.0427061211414214i</v>
      </c>
      <c r="M87" s="73">
        <f t="shared" si="33"/>
        <v>-24.243035422634563</v>
      </c>
      <c r="N87" s="73">
        <f t="shared" si="34"/>
        <v>315.88886534342657</v>
      </c>
      <c r="O87" s="73">
        <f t="shared" si="24"/>
        <v>-44.111134656573427</v>
      </c>
    </row>
    <row r="88" spans="1:18" ht="15" x14ac:dyDescent="0.2">
      <c r="A88" s="74">
        <f t="shared" si="35"/>
        <v>87</v>
      </c>
      <c r="B88" s="73">
        <f t="shared" si="36"/>
        <v>87000</v>
      </c>
      <c r="C88" s="73">
        <f t="shared" si="25"/>
        <v>102.97150297991685</v>
      </c>
      <c r="D88" s="54" t="str">
        <f>IMDIV((COMPLEX(1,2*PI()*(B88)*(esrcout*0.001)*(cout*0.000001))),(COMPLEX(1,2*PI()*(B88)*rload*(cout*0.000001))))</f>
        <v>0.00430558412358722-0.000168656543311759i</v>
      </c>
      <c r="E88" s="54" t="str">
        <f>IMDIV(1,(COMPLEX((1-(B88/(fpp*1000))^2),(B88/(fpp*1000)))))</f>
        <v>-0.284026847815692-0.243739749062588i</v>
      </c>
      <c r="F88" s="73" t="str">
        <f t="shared" si="26"/>
        <v>-0.00126400979017234-0.00100153900749068i</v>
      </c>
      <c r="G88" s="73" t="str">
        <f t="shared" si="27"/>
        <v>-0.130156987875375-0.10312997689433i</v>
      </c>
      <c r="H88" s="76">
        <f t="shared" si="28"/>
        <v>0.16606213784910623</v>
      </c>
      <c r="I88" s="54" t="str">
        <f t="shared" si="29"/>
        <v>2.74027402740274-0.0326705378033483i</v>
      </c>
      <c r="J88" s="78" t="str">
        <f t="shared" si="30"/>
        <v>0.0169084543761917-0.128928501685236i</v>
      </c>
      <c r="K88" s="78" t="str">
        <f t="shared" si="31"/>
        <v>0.0421216348823657-0.353851832857896i</v>
      </c>
      <c r="L88" s="78" t="str">
        <f t="shared" si="32"/>
        <v>-0.0419751564673262+0.0417122854867946i</v>
      </c>
      <c r="M88" s="73">
        <f t="shared" si="33"/>
        <v>-24.557051244467132</v>
      </c>
      <c r="N88" s="73">
        <f t="shared" si="34"/>
        <v>315.17997142528111</v>
      </c>
      <c r="O88" s="73">
        <f t="shared" si="24"/>
        <v>-44.82002857471889</v>
      </c>
    </row>
    <row r="89" spans="1:18" ht="15" x14ac:dyDescent="0.2">
      <c r="A89" s="74">
        <f t="shared" si="35"/>
        <v>88</v>
      </c>
      <c r="B89" s="73">
        <f t="shared" si="36"/>
        <v>88000</v>
      </c>
      <c r="C89" s="73">
        <f t="shared" si="25"/>
        <v>102.97150297991685</v>
      </c>
      <c r="D89" s="54" t="str">
        <f>IMDIV((COMPLEX(1,2*PI()*(B89)*(esrcout*0.001)*(cout*0.000001))),(COMPLEX(1,2*PI()*(B89)*rload*(cout*0.000001))))</f>
        <v>0.00430558347800285-0.000166739991791326i</v>
      </c>
      <c r="E89" s="54" t="str">
        <f>IMDIV(1,(COMPLEX((1-(B89/(fpp*1000))^2),(B89/(fpp*1000)))))</f>
        <v>-0.279772296507588-0.234744108435047i</v>
      </c>
      <c r="F89" s="73" t="str">
        <f t="shared" si="26"/>
        <v>-0.00124372420815951-0.000964061124413332i</v>
      </c>
      <c r="G89" s="73" t="str">
        <f t="shared" si="27"/>
        <v>-0.128068151006692-0.0992708229453494i</v>
      </c>
      <c r="H89" s="76">
        <f t="shared" si="28"/>
        <v>0.16203748822577996</v>
      </c>
      <c r="I89" s="54" t="str">
        <f t="shared" si="29"/>
        <v>2.74027402740274-0.0322992816919467i</v>
      </c>
      <c r="J89" s="78" t="str">
        <f t="shared" si="30"/>
        <v>0.016532671876397-0.12751212741157i</v>
      </c>
      <c r="K89" s="78" t="str">
        <f t="shared" si="31"/>
        <v>0.0411855012240567-0.349952164350851i</v>
      </c>
      <c r="L89" s="78" t="str">
        <f t="shared" si="32"/>
        <v>-0.0400145903366639+0.0407292080292747i</v>
      </c>
      <c r="M89" s="73">
        <f t="shared" si="33"/>
        <v>-24.867776271814321</v>
      </c>
      <c r="N89" s="73">
        <f t="shared" si="34"/>
        <v>314.49292070022335</v>
      </c>
      <c r="O89" s="73">
        <f t="shared" si="24"/>
        <v>-45.507079299776649</v>
      </c>
    </row>
    <row r="90" spans="1:18" ht="15" x14ac:dyDescent="0.2">
      <c r="A90" s="74">
        <f t="shared" si="35"/>
        <v>89</v>
      </c>
      <c r="B90" s="73">
        <f t="shared" si="36"/>
        <v>89000</v>
      </c>
      <c r="C90" s="73">
        <f t="shared" si="25"/>
        <v>102.97150297991685</v>
      </c>
      <c r="D90" s="54" t="str">
        <f>IMDIV((COMPLEX(1,2*PI()*(B90)*(esrcout*0.001)*(cout*0.000001))),(COMPLEX(1,2*PI()*(B90)*rload*(cout*0.000001))))</f>
        <v>0.00430558285405725-0.000164866508840804i</v>
      </c>
      <c r="E90" s="54" t="str">
        <f>IMDIV(1,(COMPLEX((1-(B90/(fpp*1000))^2),(B90/(fpp*1000)))))</f>
        <v>-0.275514766381876-0.226165045268281i</v>
      </c>
      <c r="F90" s="73" t="str">
        <f t="shared" si="26"/>
        <v>-0.0012235386956086-0.000928349183426723i</v>
      </c>
      <c r="G90" s="73" t="str">
        <f t="shared" si="27"/>
        <v>-0.125989618440905-0.0955935107076282i</v>
      </c>
      <c r="H90" s="76">
        <f t="shared" si="28"/>
        <v>0.15815025527736037</v>
      </c>
      <c r="I90" s="54" t="str">
        <f t="shared" si="29"/>
        <v>2.74027402740274-0.031936368414509i</v>
      </c>
      <c r="J90" s="78" t="str">
        <f t="shared" si="30"/>
        <v>0.0161692118039622-0.12612600205192i</v>
      </c>
      <c r="K90" s="78" t="str">
        <f t="shared" si="31"/>
        <v>0.0402800646817922-0.346136193508165i</v>
      </c>
      <c r="L90" s="78" t="str">
        <f t="shared" si="32"/>
        <v>-0.0381632439004544+0.0397590541542181i</v>
      </c>
      <c r="M90" s="73">
        <f t="shared" si="33"/>
        <v>-25.175243820977769</v>
      </c>
      <c r="N90" s="73">
        <f t="shared" si="34"/>
        <v>313.82677468104839</v>
      </c>
      <c r="O90" s="73">
        <f t="shared" si="24"/>
        <v>-46.173225318951609</v>
      </c>
    </row>
    <row r="91" spans="1:18" ht="15" x14ac:dyDescent="0.2">
      <c r="A91" s="74">
        <f t="shared" si="35"/>
        <v>90</v>
      </c>
      <c r="B91" s="73">
        <f t="shared" si="36"/>
        <v>90000</v>
      </c>
      <c r="C91" s="73">
        <f t="shared" si="25"/>
        <v>102.97150297991685</v>
      </c>
      <c r="D91" s="54" t="str">
        <f>IMDIV((COMPLEX(1,2*PI()*(B91)*(esrcout*0.001)*(cout*0.000001))),(COMPLEX(1,2*PI()*(B91)*rload*(cout*0.000001))))</f>
        <v>0.00430558225079409-0.00016303465884135i</v>
      </c>
      <c r="E91" s="54" t="str">
        <f>IMDIV(1,(COMPLEX((1-(B91/(fpp*1000))^2),(B91/(fpp*1000)))))</f>
        <v>-0.2712652586708-0.217981011431893i</v>
      </c>
      <c r="F91" s="73" t="str">
        <f t="shared" si="26"/>
        <v>-0.00120349334282276-0.000894309534928398i</v>
      </c>
      <c r="G91" s="73" t="str">
        <f t="shared" si="27"/>
        <v>-0.123925518336784-0.0920883969408476i</v>
      </c>
      <c r="H91" s="76">
        <f t="shared" si="28"/>
        <v>0.1543949705987073</v>
      </c>
      <c r="I91" s="54" t="str">
        <f t="shared" si="29"/>
        <v>2.74027402740274-0.0315815198765701i</v>
      </c>
      <c r="J91" s="78" t="str">
        <f t="shared" si="30"/>
        <v>0.0158175441039154-0.124769184506576i</v>
      </c>
      <c r="K91" s="78" t="str">
        <f t="shared" si="31"/>
        <v>0.0394040048047788-0.342401297807107i</v>
      </c>
      <c r="L91" s="78" t="str">
        <f t="shared" si="32"/>
        <v>-0.0364143483454996+0.0388036066744117i</v>
      </c>
      <c r="M91" s="73">
        <f t="shared" si="33"/>
        <v>-25.479489776887405</v>
      </c>
      <c r="N91" s="73">
        <f t="shared" si="34"/>
        <v>313.18064177733845</v>
      </c>
      <c r="O91" s="73">
        <f t="shared" si="24"/>
        <v>-46.819358222661549</v>
      </c>
    </row>
    <row r="92" spans="1:18" ht="15" x14ac:dyDescent="0.2">
      <c r="A92" s="74">
        <f t="shared" si="35"/>
        <v>91</v>
      </c>
      <c r="B92" s="73">
        <f t="shared" si="36"/>
        <v>91000</v>
      </c>
      <c r="C92" s="73">
        <f t="shared" si="25"/>
        <v>102.97150297991685</v>
      </c>
      <c r="D92" s="54" t="str">
        <f>IMDIV((COMPLEX(1,2*PI()*(B92)*(esrcout*0.001)*(cout*0.000001))),(COMPLEX(1,2*PI()*(B92)*rload*(cout*0.000001))))</f>
        <v>0.00430558166730923-0.000161243069278243i</v>
      </c>
      <c r="E92" s="54" t="str">
        <f>IMDIV(1,(COMPLEX((1-(B92/(fpp*1000))^2),(B92/(fpp*1000)))))</f>
        <v>-0.267033311733552-0.210171521949085i</v>
      </c>
      <c r="F92" s="73" t="str">
        <f t="shared" si="26"/>
        <v>-0.0011836224328348-0.000861853381111008i</v>
      </c>
      <c r="G92" s="73" t="str">
        <f t="shared" si="27"/>
        <v>-0.121879380869745-0.0887463380013236i</v>
      </c>
      <c r="H92" s="76">
        <f t="shared" si="28"/>
        <v>0.150766362262401</v>
      </c>
      <c r="I92" s="54" t="str">
        <f t="shared" si="29"/>
        <v>2.74027402740274-0.0312344702075968i</v>
      </c>
      <c r="J92" s="78" t="str">
        <f t="shared" si="30"/>
        <v>0.0154771667661767-0.123440771526545i</v>
      </c>
      <c r="K92" s="78" t="str">
        <f t="shared" si="31"/>
        <v>0.0385560710064862-0.338744961241003i</v>
      </c>
      <c r="L92" s="78" t="str">
        <f t="shared" si="32"/>
        <v>-0.0347615648895798+0.0378643160392546i</v>
      </c>
      <c r="M92" s="73">
        <f t="shared" si="33"/>
        <v>-25.780552162226741</v>
      </c>
      <c r="N92" s="73">
        <f t="shared" si="34"/>
        <v>312.55367503166008</v>
      </c>
      <c r="O92" s="73">
        <f t="shared" si="24"/>
        <v>-47.446324968339923</v>
      </c>
    </row>
    <row r="93" spans="1:18" ht="15" x14ac:dyDescent="0.2">
      <c r="A93" s="74">
        <f t="shared" si="35"/>
        <v>92</v>
      </c>
      <c r="B93" s="73">
        <f t="shared" si="36"/>
        <v>92000</v>
      </c>
      <c r="C93" s="73">
        <f t="shared" si="25"/>
        <v>102.97150297991685</v>
      </c>
      <c r="D93" s="54" t="str">
        <f>IMDIV((COMPLEX(1,2*PI()*(B93)*(esrcout*0.001)*(cout*0.000001))),(COMPLEX(1,2*PI()*(B93)*rload*(cout*0.000001))))</f>
        <v>0.00430558110274747-0.000159490427311302i</v>
      </c>
      <c r="E93" s="54" t="str">
        <f>IMDIV(1,(COMPLEX((1-(B93/(fpp*1000))^2),(B93/(fpp*1000)))))</f>
        <v>-0.262827164292679-0.202717128730101i</v>
      </c>
      <c r="F93" s="73" t="str">
        <f t="shared" si="26"/>
        <v>-0.00116395511335175-0.000830896621921492i</v>
      </c>
      <c r="G93" s="73" t="str">
        <f t="shared" si="27"/>
        <v>-0.119854207422989-0.0855586739801917i</v>
      </c>
      <c r="H93" s="76">
        <f t="shared" si="28"/>
        <v>0.14725935532332604</v>
      </c>
      <c r="I93" s="54" t="str">
        <f t="shared" si="29"/>
        <v>2.74027402740274-0.0308949650966446i</v>
      </c>
      <c r="J93" s="78" t="str">
        <f t="shared" si="30"/>
        <v>0.015147604073213-0.122139895873765i</v>
      </c>
      <c r="K93" s="78" t="str">
        <f t="shared" si="31"/>
        <v>0.0377350781992778-0.335164769071693i</v>
      </c>
      <c r="L93" s="78" t="str">
        <f t="shared" si="32"/>
        <v>-0.0331989610962702+0.0369423444999279i</v>
      </c>
      <c r="M93" s="73">
        <f t="shared" si="33"/>
        <v>-26.078470756779293</v>
      </c>
      <c r="N93" s="73">
        <f t="shared" si="34"/>
        <v>311.94506990818945</v>
      </c>
      <c r="O93" s="73">
        <f t="shared" si="24"/>
        <v>-48.054930091810547</v>
      </c>
    </row>
    <row r="94" spans="1:18" ht="15" x14ac:dyDescent="0.2">
      <c r="A94" s="74">
        <f t="shared" si="35"/>
        <v>93</v>
      </c>
      <c r="B94" s="73">
        <f t="shared" si="36"/>
        <v>93000</v>
      </c>
      <c r="C94" s="73">
        <f t="shared" si="25"/>
        <v>102.97150297991685</v>
      </c>
      <c r="D94" s="54" t="str">
        <f>IMDIV((COMPLEX(1,2*PI()*(B94)*(esrcout*0.001)*(cout*0.000001))),(COMPLEX(1,2*PI()*(B94)*rload*(cout*0.000001))))</f>
        <v>0.00430558055629927-0.000157775476566587i</v>
      </c>
      <c r="E94" s="54" t="str">
        <f>IMDIV(1,(COMPLEX((1-(B94/(fpp*1000))^2),(B94/(fpp*1000)))))</f>
        <v>-0.258653901662655-0.195599388962652i</v>
      </c>
      <c r="F94" s="73" t="str">
        <f t="shared" si="26"/>
        <v>-0.00114451599661939-0.00080135968334098i</v>
      </c>
      <c r="G94" s="73" t="str">
        <f t="shared" si="27"/>
        <v>-0.117852532356456-0.082517211021131i</v>
      </c>
      <c r="H94" s="76">
        <f t="shared" si="28"/>
        <v>0.14386907067724936</v>
      </c>
      <c r="I94" s="54" t="str">
        <f t="shared" si="29"/>
        <v>2.74027402740274-0.0305627611708743i</v>
      </c>
      <c r="J94" s="78" t="str">
        <f t="shared" si="30"/>
        <v>0.0148284049734162-0.120865724584601i</v>
      </c>
      <c r="K94" s="78" t="str">
        <f t="shared" si="31"/>
        <v>0.0369399027422382-0.331658402882142i</v>
      </c>
      <c r="L94" s="78" t="str">
        <f t="shared" si="32"/>
        <v>-0.031720987500731+0.0360386049072768i</v>
      </c>
      <c r="M94" s="73">
        <f t="shared" si="33"/>
        <v>-26.373286761717086</v>
      </c>
      <c r="N94" s="73">
        <f t="shared" si="34"/>
        <v>311.35406214571367</v>
      </c>
      <c r="O94" s="73">
        <f t="shared" si="24"/>
        <v>-48.645937854286331</v>
      </c>
    </row>
    <row r="95" spans="1:18" ht="15" x14ac:dyDescent="0.2">
      <c r="A95" s="74">
        <f t="shared" si="35"/>
        <v>94</v>
      </c>
      <c r="B95" s="73">
        <f t="shared" si="36"/>
        <v>94000</v>
      </c>
      <c r="C95" s="73">
        <f t="shared" si="25"/>
        <v>102.97150297991685</v>
      </c>
      <c r="D95" s="54" t="str">
        <f>IMDIV((COMPLEX(1,2*PI()*(B95)*(esrcout*0.001)*(cout*0.000001))),(COMPLEX(1,2*PI()*(B95)*rload*(cout*0.000001))))</f>
        <v>0.00430558002719799-0.000156097014132869i</v>
      </c>
      <c r="E95" s="54" t="str">
        <f>IMDIV(1,(COMPLEX((1-(B95/(fpp*1000))^2),(B95/(fpp*1000)))))</f>
        <v>-0.254519586567639-0.188800829682434i</v>
      </c>
      <c r="F95" s="73" t="str">
        <f t="shared" si="26"/>
        <v>-0.00112532569423555-0.000773167333897557i</v>
      </c>
      <c r="G95" s="73" t="str">
        <f t="shared" si="27"/>
        <v>-0.115876478077353-0.0796142024264067i</v>
      </c>
      <c r="H95" s="76">
        <f t="shared" si="28"/>
        <v>0.14059082260092276</v>
      </c>
      <c r="I95" s="54" t="str">
        <f t="shared" si="29"/>
        <v>2.74027402740275-0.0302376254137373i</v>
      </c>
      <c r="J95" s="78" t="str">
        <f t="shared" si="30"/>
        <v>0.0145191415700595-0.119617457330141i</v>
      </c>
      <c r="K95" s="78" t="str">
        <f t="shared" si="31"/>
        <v>0.0361694786769251-0.328223635909867i</v>
      </c>
      <c r="L95" s="78" t="str">
        <f t="shared" si="32"/>
        <v>-0.0303224547934354+0.0351537947539365i</v>
      </c>
      <c r="M95" s="73">
        <f t="shared" si="33"/>
        <v>-26.665042504041953</v>
      </c>
      <c r="N95" s="73">
        <f t="shared" si="34"/>
        <v>310.77992568363493</v>
      </c>
      <c r="O95" s="73">
        <f t="shared" si="24"/>
        <v>-49.220074316365071</v>
      </c>
    </row>
    <row r="96" spans="1:18" ht="15" x14ac:dyDescent="0.2">
      <c r="A96" s="74">
        <f t="shared" si="35"/>
        <v>95</v>
      </c>
      <c r="B96" s="73">
        <f t="shared" si="36"/>
        <v>95000</v>
      </c>
      <c r="C96" s="73">
        <f t="shared" si="25"/>
        <v>102.97150297991685</v>
      </c>
      <c r="D96" s="54" t="str">
        <f>IMDIV((COMPLEX(1,2*PI()*(B96)*(esrcout*0.001)*(cout*0.000001))),(COMPLEX(1,2*PI()*(B96)*rload*(cout*0.000001))))</f>
        <v>0.00430557951471707-0.00015445388774781i</v>
      </c>
      <c r="E96" s="54" t="str">
        <f>IMDIV(1,(COMPLEX((1-(B96/(fpp*1000))^2),(B96/(fpp*1000)))))</f>
        <v>-0.250429376037459-0.18230490975907i</v>
      </c>
      <c r="F96" s="73" t="str">
        <f t="shared" si="26"/>
        <v>-0.00110640129341806-0.000746248494155752i</v>
      </c>
      <c r="G96" s="73" t="str">
        <f t="shared" si="27"/>
        <v>-0.113927804082182-0.0768423290397175i</v>
      </c>
      <c r="H96" s="76">
        <f t="shared" si="28"/>
        <v>0.13742011524968337</v>
      </c>
      <c r="I96" s="54" t="str">
        <f t="shared" si="29"/>
        <v>2.74027402740274-0.0299193346199085i</v>
      </c>
      <c r="J96" s="78" t="str">
        <f t="shared" si="30"/>
        <v>0.014219407716593-0.118394324867294i</v>
      </c>
      <c r="K96" s="78" t="str">
        <f t="shared" si="31"/>
        <v>0.0354227942280272-0.324858328643298i</v>
      </c>
      <c r="L96" s="78" t="str">
        <f t="shared" si="32"/>
        <v>-0.0289985117417551+0.0342884260105625i</v>
      </c>
      <c r="M96" s="73">
        <f t="shared" si="33"/>
        <v>-26.953781176850317</v>
      </c>
      <c r="N96" s="73">
        <f t="shared" si="34"/>
        <v>310.22197066690563</v>
      </c>
      <c r="O96" s="73">
        <f t="shared" si="24"/>
        <v>-49.778029333094366</v>
      </c>
    </row>
    <row r="97" spans="1:18" ht="15" x14ac:dyDescent="0.2">
      <c r="A97" s="74">
        <f t="shared" si="35"/>
        <v>96</v>
      </c>
      <c r="B97" s="73">
        <f t="shared" si="36"/>
        <v>96000</v>
      </c>
      <c r="C97" s="73">
        <f t="shared" si="25"/>
        <v>102.97150297991685</v>
      </c>
      <c r="D97" s="54" t="str">
        <f>IMDIV((COMPLEX(1,2*PI()*(B97)*(esrcout*0.001)*(cout*0.000001))),(COMPLEX(1,2*PI()*(B97)*rload*(cout*0.000001))))</f>
        <v>0.00430557901816763-0.000152844993159994i</v>
      </c>
      <c r="E97" s="54" t="str">
        <f>IMDIV(1,(COMPLEX((1-(B97/(fpp*1000))^2),(B97/(fpp*1000)))))</f>
        <v>-0.246387625758944-0.176095980292277i</v>
      </c>
      <c r="F97" s="73" t="str">
        <f t="shared" si="26"/>
        <v>-0.00108775678070712-0.000720536042956255i</v>
      </c>
      <c r="G97" s="73" t="str">
        <f t="shared" si="27"/>
        <v>-0.112007950586008-0.0741946792944075i</v>
      </c>
      <c r="H97" s="76">
        <f t="shared" si="28"/>
        <v>0.13435263834431235</v>
      </c>
      <c r="I97" s="54" t="str">
        <f t="shared" si="29"/>
        <v>2.74027402740274-0.0296076748842845i</v>
      </c>
      <c r="J97" s="78" t="str">
        <f t="shared" si="30"/>
        <v>0.013928817709854-0.117195587575043i</v>
      </c>
      <c r="K97" s="78" t="str">
        <f t="shared" si="31"/>
        <v>0.0346988885479457-0.321560424664369i</v>
      </c>
      <c r="L97" s="78" t="str">
        <f t="shared" si="32"/>
        <v>-0.027744623975614+0.0334428512485352i</v>
      </c>
      <c r="M97" s="73">
        <f t="shared" si="33"/>
        <v>-27.239546611517206</v>
      </c>
      <c r="N97" s="73">
        <f t="shared" si="34"/>
        <v>309.6795415336411</v>
      </c>
      <c r="O97" s="73">
        <f t="shared" si="24"/>
        <v>-50.3204584663589</v>
      </c>
    </row>
    <row r="98" spans="1:18" ht="15" x14ac:dyDescent="0.2">
      <c r="A98" s="74">
        <f t="shared" si="35"/>
        <v>97</v>
      </c>
      <c r="B98" s="73">
        <f t="shared" si="36"/>
        <v>97000</v>
      </c>
      <c r="C98" s="73">
        <f t="shared" si="25"/>
        <v>102.97150297991685</v>
      </c>
      <c r="D98" s="54" t="str">
        <f>IMDIV((COMPLEX(1,2*PI()*(B98)*(esrcout*0.001)*(cout*0.000001))),(COMPLEX(1,2*PI()*(B98)*rload*(cout*0.000001))))</f>
        <v>0.00430557853689607-0.000151269271654141i</v>
      </c>
      <c r="E98" s="54" t="str">
        <f>IMDIV(1,(COMPLEX((1-(B98/(fpp*1000))^2),(B98/(fpp*1000)))))</f>
        <v>-0.242397983147737-0.170159244212842i</v>
      </c>
      <c r="F98" s="73" t="str">
        <f>IMPRODUCT(D98,E98)</f>
        <v>-0.00106940341856509-0.000695966623376078i</v>
      </c>
      <c r="G98" s="73" t="str">
        <f>IMPRODUCT(C98,F98)</f>
        <v>-0.110118077301508-0.0716647292328925i</v>
      </c>
      <c r="H98" s="76">
        <f>IMABS(G98)</f>
        <v>0.13138426224097272</v>
      </c>
      <c r="I98" s="54" t="str">
        <f t="shared" si="29"/>
        <v>2.74027402740275-0.0293024411225908i</v>
      </c>
      <c r="J98" s="78" t="str">
        <f t="shared" si="30"/>
        <v>0.013647005073513-0.11602053407064i</v>
      </c>
      <c r="K98" s="78" t="str">
        <f>IMPRODUCT(I98,J98)</f>
        <v>0.0339968486861648-0.318327946721837i</v>
      </c>
      <c r="L98" s="78" t="str">
        <f>IMPRODUCT(G98,K98)</f>
        <v>-0.0265565537207138+0.0326172864884799i</v>
      </c>
      <c r="M98" s="73">
        <f>20*LOG(IMABS(L98))</f>
        <v>-27.522383078288712</v>
      </c>
      <c r="N98" s="73">
        <f t="shared" si="34"/>
        <v>309.15201518741321</v>
      </c>
      <c r="O98" s="73">
        <f t="shared" si="24"/>
        <v>-50.847984812586787</v>
      </c>
    </row>
    <row r="99" spans="1:18" ht="15" x14ac:dyDescent="0.2">
      <c r="A99" s="74">
        <f t="shared" si="35"/>
        <v>98</v>
      </c>
      <c r="B99" s="73">
        <f t="shared" si="36"/>
        <v>98000</v>
      </c>
      <c r="C99" s="73">
        <f t="shared" si="25"/>
        <v>102.97150297991685</v>
      </c>
      <c r="D99" s="54" t="str">
        <f>IMDIV((COMPLEX(1,2*PI()*(B99)*(esrcout*0.001)*(cout*0.000001))),(COMPLEX(1,2*PI()*(B99)*rload*(cout*0.000001))))</f>
        <v>0.00430557807028203-0.000149725707727836i</v>
      </c>
      <c r="E99" s="54" t="str">
        <f>IMDIV(1,(COMPLEX((1-(B99/(fpp*1000))^2),(B99/(fpp*1000)))))</f>
        <v>-0.238463470296582-0.164480715716955i</v>
      </c>
      <c r="F99" s="73" t="str">
        <f>IMPRODUCT(D99,E99)</f>
        <v>-0.00105135007984062-0.000672480450717823i</v>
      </c>
      <c r="G99" s="73" t="str">
        <f>IMPRODUCT(C99,F99)</f>
        <v>-0.108259097879244-0.0692463227350261i</v>
      </c>
      <c r="H99" s="76">
        <f>IMABS(G99)</f>
        <v>0.12851103254565782</v>
      </c>
      <c r="I99" s="54" t="str">
        <f t="shared" si="29"/>
        <v>2.74027402740274-0.0290034366213398i</v>
      </c>
      <c r="J99" s="78" t="str">
        <f t="shared" si="30"/>
        <v>0.0133736214247369-0.114868479900819i</v>
      </c>
      <c r="K99" s="78" t="str">
        <f>IMPRODUCT(I99,J99)</f>
        <v>0.0333158067659303-0.315158993020838i</v>
      </c>
      <c r="L99" s="78" t="str">
        <f>IMPRODUCT(G99,K99)</f>
        <v>-0.0254303405291656+0.0318118311654755i</v>
      </c>
      <c r="M99" s="73">
        <f>20*LOG(IMABS(L99))</f>
        <v>-27.802335112133314</v>
      </c>
      <c r="N99" s="73">
        <f t="shared" si="34"/>
        <v>308.6387992548473</v>
      </c>
      <c r="O99" s="73">
        <f t="shared" si="24"/>
        <v>-51.361200745152701</v>
      </c>
    </row>
    <row r="100" spans="1:18" ht="15" x14ac:dyDescent="0.2">
      <c r="A100" s="74">
        <f t="shared" si="35"/>
        <v>99</v>
      </c>
      <c r="B100" s="73">
        <f>(fs*1000/2)*(A100/100)</f>
        <v>99000</v>
      </c>
      <c r="C100" s="73">
        <f t="shared" si="25"/>
        <v>102.97150297991685</v>
      </c>
      <c r="D100" s="54" t="str">
        <f>IMDIV((COMPLEX(1,2*PI()*(B100)*(esrcout*0.001)*(cout*0.000001))),(COMPLEX(1,2*PI()*(B100)*rload*(cout*0.000001))))</f>
        <v>0.00430557761773626-0.00014821332690906i</v>
      </c>
      <c r="E100" s="54" t="str">
        <f>IMDIV(1,(COMPLEX((1-(B100/(fpp*1000))^2),(B100/(fpp*1000)))))</f>
        <v>-0.234586557851577-0.159047180025381i</v>
      </c>
      <c r="F100" s="73" t="str">
        <f>IMPRODUCT(D100,E100)</f>
        <v>-0.00103360354459461-0.000650021124294023i</v>
      </c>
      <c r="G100" s="73" t="str">
        <f>IMPRODUCT(C100,F100)</f>
        <v>-0.106431710472276-0.0669336521372509i</v>
      </c>
      <c r="H100" s="76">
        <f>IMABS(G100)</f>
        <v>0.12572916440700979</v>
      </c>
      <c r="I100" s="54" t="str">
        <f t="shared" si="29"/>
        <v>2.74027402740274-0.0287104726150637i</v>
      </c>
      <c r="J100" s="78" t="str">
        <f t="shared" si="30"/>
        <v>0.0131083354176619-0.11373876630349i</v>
      </c>
      <c r="K100" s="78" t="str">
        <f>IMPRODUCT(I100,J100)</f>
        <v>0.0326549373522749-0.312051733715321i</v>
      </c>
      <c r="L100" s="78" t="str">
        <f>IMPRODUCT(G100,K100)</f>
        <v>-0.024362283031095+0.0310264855578599i</v>
      </c>
      <c r="M100" s="73">
        <f>20*LOG(IMABS(L100))</f>
        <v>-28.079447361026681</v>
      </c>
      <c r="N100" s="73">
        <f t="shared" si="34"/>
        <v>308.13933042805525</v>
      </c>
      <c r="O100" s="73">
        <f t="shared" si="24"/>
        <v>-51.860669571944754</v>
      </c>
    </row>
    <row r="101" spans="1:18" ht="15" x14ac:dyDescent="0.2">
      <c r="A101" s="74">
        <f>1+A100</f>
        <v>100</v>
      </c>
      <c r="B101" s="73">
        <f>(fs*1000/2)*(A101/100)</f>
        <v>100000</v>
      </c>
      <c r="C101" s="73">
        <f t="shared" si="25"/>
        <v>102.97150297991685</v>
      </c>
      <c r="D101" s="54" t="str">
        <f>IMDIV((COMPLEX(1,2*PI()*(B101)*(esrcout*0.001)*(cout*0.000001))),(COMPLEX(1,2*PI()*(B101)*rload*(cout*0.000001))))</f>
        <v>0.00430557717869888-0.000146731193704668i</v>
      </c>
      <c r="E101" s="54" t="str">
        <f>IMDIV(1,(COMPLEX((1-(B101/(fpp*1000))^2),(B101/(fpp*1000)))))</f>
        <v>-0.230769230769231-0.153846153846154i</v>
      </c>
      <c r="F101" s="73" t="str">
        <f>IMPRODUCT(D101,E101)</f>
        <v>-0.00101616876334661-0.00062853544432952i</v>
      </c>
      <c r="G101" s="73" t="str">
        <f>IMPRODUCT(C101,F101)</f>
        <v>-0.104636424843044-0.0647212393787605i</v>
      </c>
      <c r="H101" s="76">
        <f>IMABS(G101)</f>
        <v>0.12303503659794156</v>
      </c>
      <c r="I101" s="54" t="str">
        <f t="shared" si="29"/>
        <v>2.74027402740274-0.028423367888913i</v>
      </c>
      <c r="J101" s="78" t="str">
        <f t="shared" si="30"/>
        <v>0.0128508317578107-0.112630759035634i</v>
      </c>
      <c r="K101" s="78" t="str">
        <f>IMPRODUCT(I101,J101)</f>
        <v>0.0320134549967736-0.309004407590735i</v>
      </c>
      <c r="L101" s="78" t="str">
        <f>IMPRODUCT(G101,K101)</f>
        <v>-0.0233489217105081+0.0302611659868499i</v>
      </c>
      <c r="M101" s="73">
        <f>20*LOG(IMABS(L101))</f>
        <v>-28.353764454146152</v>
      </c>
      <c r="N101" s="73">
        <f t="shared" si="34"/>
        <v>307.65307289059461</v>
      </c>
      <c r="O101" s="73">
        <f t="shared" si="24"/>
        <v>-52.346927109405385</v>
      </c>
      <c r="P101" s="73">
        <v>-32.747</v>
      </c>
      <c r="Q101" s="73">
        <v>307.64999999999998</v>
      </c>
      <c r="R101" s="73">
        <f>B101</f>
        <v>100000</v>
      </c>
    </row>
  </sheetData>
  <phoneticPr fontId="21" type="noConversion"/>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workbookViewId="0">
      <selection activeCell="C34" sqref="C34"/>
    </sheetView>
  </sheetViews>
  <sheetFormatPr defaultRowHeight="12.75" x14ac:dyDescent="0.2"/>
  <cols>
    <col min="1" max="1" width="9.140625" style="13"/>
    <col min="2" max="2" width="19.28515625" style="13" bestFit="1" customWidth="1"/>
    <col min="3" max="3" width="12.42578125" style="13" bestFit="1" customWidth="1"/>
    <col min="4" max="4" width="7.7109375" style="13" customWidth="1"/>
    <col min="5" max="5" width="8.7109375" style="3" customWidth="1"/>
    <col min="6" max="8" width="8.7109375" style="5" customWidth="1"/>
    <col min="9" max="9" width="8.7109375" style="6" customWidth="1"/>
    <col min="10" max="11" width="9.140625" style="37"/>
    <col min="12" max="12" width="4.7109375" style="37" bestFit="1" customWidth="1"/>
    <col min="13" max="13" width="10.28515625" style="3" customWidth="1"/>
    <col min="14" max="14" width="9.140625" style="3"/>
    <col min="15" max="16384" width="9.140625" style="50"/>
  </cols>
  <sheetData>
    <row r="1" spans="1:14" ht="18.75" thickBot="1" x14ac:dyDescent="0.3">
      <c r="A1" s="48"/>
      <c r="B1" s="3"/>
      <c r="C1" s="3"/>
      <c r="D1" s="3"/>
      <c r="E1" s="4" t="s">
        <v>138</v>
      </c>
      <c r="J1" s="4" t="s">
        <v>139</v>
      </c>
      <c r="K1" s="7"/>
      <c r="L1" s="7"/>
      <c r="N1" s="7"/>
    </row>
    <row r="2" spans="1:14" ht="13.5" thickBot="1" x14ac:dyDescent="0.25">
      <c r="A2" s="3"/>
      <c r="B2" s="8" t="s">
        <v>140</v>
      </c>
      <c r="C2" s="9">
        <v>127</v>
      </c>
      <c r="D2" s="3"/>
      <c r="E2" s="115" t="s">
        <v>141</v>
      </c>
      <c r="F2" s="116"/>
      <c r="G2" s="117" t="s">
        <v>142</v>
      </c>
      <c r="H2" s="118"/>
      <c r="J2" s="10" t="s">
        <v>143</v>
      </c>
      <c r="K2" s="11">
        <v>1000</v>
      </c>
      <c r="L2" s="12" t="s">
        <v>62</v>
      </c>
      <c r="N2" s="22"/>
    </row>
    <row r="3" spans="1:14" ht="13.5" thickBot="1" x14ac:dyDescent="0.25">
      <c r="B3" s="3"/>
      <c r="C3" s="13" t="s">
        <v>19</v>
      </c>
      <c r="E3" s="14">
        <v>100</v>
      </c>
      <c r="F3" s="15">
        <v>150</v>
      </c>
      <c r="G3" s="16">
        <v>100</v>
      </c>
      <c r="H3" s="17">
        <v>102</v>
      </c>
      <c r="J3" s="10"/>
      <c r="K3" s="18">
        <f>IF(K2&lt;10000,sta*10^INT(LOG(K2)),stb*10^INT(LOG(K2)))</f>
        <v>1000</v>
      </c>
      <c r="L3" s="19" t="s">
        <v>62</v>
      </c>
      <c r="N3" s="26"/>
    </row>
    <row r="4" spans="1:14" ht="13.5" thickBot="1" x14ac:dyDescent="0.25">
      <c r="B4" s="20" t="s">
        <v>144</v>
      </c>
      <c r="C4" s="70">
        <f>(IF((10^(LOG(C2)-INT(LOG(C2)))*100)-VLOOKUP((10^(LOG(C2)-INT(LOG(C2)))*100),E6_s:E6_f,1)&lt;VLOOKUP((10^(LOG(C2)-INT(LOG(C2)))*100),E6_s:E6_f,2)-(10^(LOG(C2)-INT(LOG(C2)))*100),VLOOKUP((10^(LOG(C2)-INT(LOG(C2)))*100),E6_s:E6_f,1),VLOOKUP((10^(LOG(C2)-INT(LOG(C2)))*100),E6_s:E6_f,2)))*10^INT(LOG(C2))/100</f>
        <v>150</v>
      </c>
      <c r="E4" s="15">
        <v>150</v>
      </c>
      <c r="F4" s="14">
        <v>220</v>
      </c>
      <c r="G4" s="17">
        <v>102</v>
      </c>
      <c r="H4" s="16">
        <v>105</v>
      </c>
      <c r="J4" s="21"/>
      <c r="K4" s="22"/>
      <c r="L4" s="23"/>
      <c r="M4" s="5"/>
      <c r="N4" s="26"/>
    </row>
    <row r="5" spans="1:14" ht="13.5" thickBot="1" x14ac:dyDescent="0.25">
      <c r="B5" s="24" t="s">
        <v>145</v>
      </c>
      <c r="C5" s="69">
        <f>(IF((10^(LOG(C2)-INT(LOG(C2)))*100)-VLOOKUP((10^(LOG(C2)-INT(LOG(C2)))*100),E12_s:E12_f,1)&lt;VLOOKUP((10^(LOG(C2)-INT(LOG(C2)))*100),E12_s:E12_f,2)-(10^(LOG(C2)-INT(LOG(C2)))*100),VLOOKUP((10^(LOG(C2)-INT(LOG(C2)))*100),E12_s:E12_f,1),VLOOKUP((10^(LOG(C2)-INT(LOG(C2)))*100),E12_s:E12_f,2)))*10^INT(LOG(C2))/100</f>
        <v>120</v>
      </c>
      <c r="E5" s="14">
        <v>220</v>
      </c>
      <c r="F5" s="15">
        <v>330</v>
      </c>
      <c r="G5" s="16">
        <v>105</v>
      </c>
      <c r="H5" s="17">
        <v>107</v>
      </c>
      <c r="J5" s="25" t="s">
        <v>146</v>
      </c>
      <c r="K5" s="26"/>
      <c r="L5" s="5"/>
      <c r="N5" s="26"/>
    </row>
    <row r="6" spans="1:14" ht="13.5" thickBot="1" x14ac:dyDescent="0.25">
      <c r="B6" s="24" t="s">
        <v>147</v>
      </c>
      <c r="C6" s="69">
        <f>(IF((10^(LOG(C2)-INT(LOG(C2)))*100)-VLOOKUP((10^(LOG(C2)-INT(LOG(C2)))*100),E24_s:E24_f,1)&lt;VLOOKUP((10^(LOG(C2)-INT(LOG(C2)))*100),E24_s:E24_f,2)-(10^(LOG(C2)-INT(LOG(C2)))*100),VLOOKUP((10^(LOG(C2)-INT(LOG(C2)))*100),E24_s:E24_f,1),VLOOKUP((10^(LOG(C2)-INT(LOG(C2)))*100),E24_s:E24_f,2)))*10^INT(LOG(C2))/100</f>
        <v>130</v>
      </c>
      <c r="E6" s="15">
        <v>330</v>
      </c>
      <c r="F6" s="14">
        <v>470</v>
      </c>
      <c r="G6" s="17">
        <v>107</v>
      </c>
      <c r="H6" s="16">
        <v>110</v>
      </c>
      <c r="J6" s="26">
        <v>1</v>
      </c>
      <c r="K6" s="26">
        <v>1.2</v>
      </c>
      <c r="L6" s="27">
        <f>IF((10^(LOG(K2)-INT(LOG(K2))))-VLOOKUP((10^(LOG(K2)-INT(LOG(K2)))),c_s1:C_f1,1)&lt;VLOOKUP((10^(LOG(K2)-INT(LOG(K2)))),c_s1:C_f1,2)-(10^(LOG(K2)-INT(LOG(K2)))),VLOOKUP((10^(LOG(K2)-INT(LOG(K2)))),c_s1:C_f1,1),VLOOKUP((10^(LOG(K2)-INT(LOG(K2)))),c_s1:C_f1,2))</f>
        <v>1</v>
      </c>
      <c r="N6" s="26"/>
    </row>
    <row r="7" spans="1:14" ht="13.5" thickBot="1" x14ac:dyDescent="0.25">
      <c r="B7" s="24" t="s">
        <v>148</v>
      </c>
      <c r="C7" s="69">
        <f>(IF((10^(LOG(C2)-INT(LOG(C2)))*100)-VLOOKUP((10^(LOG(C2)-INT(LOG(C2)))*100),E48_s:E48_f,1)&lt;VLOOKUP((10^(LOG(C2)-INT(LOG(C2)))*100),E48_s:E48_f,2)-(10^(LOG(C2)-INT(LOG(C2)))*100),VLOOKUP((10^(LOG(C2)-INT(LOG(C2)))*100),E48_s:E48_f,1),VLOOKUP((10^(LOG(C2)-INT(LOG(C2)))*100),E48_s:E48_f,2)))*10^INT(LOG(C2))/100</f>
        <v>127</v>
      </c>
      <c r="D7" s="2"/>
      <c r="E7" s="14">
        <v>470</v>
      </c>
      <c r="F7" s="15">
        <v>680</v>
      </c>
      <c r="G7" s="16">
        <v>110</v>
      </c>
      <c r="H7" s="17">
        <v>113</v>
      </c>
      <c r="J7" s="26">
        <v>1.2</v>
      </c>
      <c r="K7" s="26">
        <v>1.5</v>
      </c>
      <c r="L7" s="28"/>
      <c r="N7" s="26"/>
    </row>
    <row r="8" spans="1:14" ht="13.5" thickBot="1" x14ac:dyDescent="0.25">
      <c r="B8" s="29" t="s">
        <v>149</v>
      </c>
      <c r="C8" s="71">
        <f>(IF((10^(LOG(C2)-INT(LOG(C2)))*100)-VLOOKUP((10^(LOG(C2)-INT(LOG(C2)))*100),E96_s:E96_f,1)&lt;VLOOKUP((10^(LOG(C2)-INT(LOG(C2)))*100),E96_s:E96_f,2)-(10^(LOG(C2)-INT(LOG(C2)))*100),VLOOKUP((10^(LOG(C2)-INT(LOG(C2)))*100),E96_s:E96_f,1),VLOOKUP((10^(LOG(C2)-INT(LOG(C2)))*100),E96_s:E96_f,2)))*10^INT(LOG(C2))/100</f>
        <v>127</v>
      </c>
      <c r="D8" s="5"/>
      <c r="E8" s="15">
        <v>680</v>
      </c>
      <c r="F8" s="15">
        <v>1000</v>
      </c>
      <c r="G8" s="17">
        <v>113</v>
      </c>
      <c r="H8" s="16">
        <v>115</v>
      </c>
      <c r="J8" s="26">
        <v>1.5</v>
      </c>
      <c r="K8" s="26">
        <v>1.8</v>
      </c>
      <c r="L8" s="28"/>
      <c r="N8" s="26"/>
    </row>
    <row r="9" spans="1:14" ht="13.5" thickBot="1" x14ac:dyDescent="0.25">
      <c r="B9" s="2"/>
      <c r="C9" s="2"/>
      <c r="D9" s="2"/>
      <c r="E9" s="119" t="s">
        <v>150</v>
      </c>
      <c r="F9" s="120"/>
      <c r="G9" s="16">
        <v>115</v>
      </c>
      <c r="H9" s="17">
        <v>118</v>
      </c>
      <c r="J9" s="26">
        <v>1.8</v>
      </c>
      <c r="K9" s="26">
        <v>2.2000000000000002</v>
      </c>
      <c r="L9" s="31"/>
      <c r="N9" s="26"/>
    </row>
    <row r="10" spans="1:14" ht="13.5" thickBot="1" x14ac:dyDescent="0.25">
      <c r="E10" s="32">
        <v>100</v>
      </c>
      <c r="F10" s="33">
        <v>120</v>
      </c>
      <c r="G10" s="17">
        <v>118</v>
      </c>
      <c r="H10" s="16">
        <v>121</v>
      </c>
      <c r="J10" s="26">
        <v>2.2000000000000002</v>
      </c>
      <c r="K10" s="26">
        <v>2.7</v>
      </c>
      <c r="L10" s="5"/>
      <c r="N10" s="26"/>
    </row>
    <row r="11" spans="1:14" ht="13.5" thickBot="1" x14ac:dyDescent="0.25">
      <c r="E11" s="33">
        <v>120</v>
      </c>
      <c r="F11" s="33">
        <v>150</v>
      </c>
      <c r="G11" s="16">
        <v>121</v>
      </c>
      <c r="H11" s="17">
        <v>124</v>
      </c>
      <c r="J11" s="26">
        <v>2.7</v>
      </c>
      <c r="K11" s="26">
        <v>3.3</v>
      </c>
      <c r="L11" s="5"/>
      <c r="N11" s="26"/>
    </row>
    <row r="12" spans="1:14" ht="13.5" thickBot="1" x14ac:dyDescent="0.25">
      <c r="C12" s="36"/>
      <c r="E12" s="33">
        <v>150</v>
      </c>
      <c r="F12" s="33">
        <v>180</v>
      </c>
      <c r="G12" s="17">
        <v>124</v>
      </c>
      <c r="H12" s="16">
        <v>127</v>
      </c>
      <c r="J12" s="26">
        <v>3.3</v>
      </c>
      <c r="K12" s="26">
        <v>3.9</v>
      </c>
      <c r="L12" s="5"/>
      <c r="N12" s="26"/>
    </row>
    <row r="13" spans="1:14" ht="13.5" thickBot="1" x14ac:dyDescent="0.25">
      <c r="A13" s="2"/>
      <c r="B13" s="2"/>
      <c r="C13" s="2"/>
      <c r="D13" s="2"/>
      <c r="E13" s="33">
        <v>180</v>
      </c>
      <c r="F13" s="32">
        <v>220</v>
      </c>
      <c r="G13" s="16">
        <v>127</v>
      </c>
      <c r="H13" s="17">
        <v>130</v>
      </c>
      <c r="J13" s="26">
        <v>3.9</v>
      </c>
      <c r="K13" s="26">
        <v>4.7</v>
      </c>
      <c r="L13" s="5"/>
      <c r="N13" s="26"/>
    </row>
    <row r="14" spans="1:14" ht="13.5" thickBot="1" x14ac:dyDescent="0.25">
      <c r="A14" s="2"/>
      <c r="B14" s="2"/>
      <c r="C14" s="2"/>
      <c r="D14" s="34"/>
      <c r="E14" s="32">
        <v>220</v>
      </c>
      <c r="F14" s="33">
        <v>270</v>
      </c>
      <c r="G14" s="17">
        <v>130</v>
      </c>
      <c r="H14" s="16">
        <v>133</v>
      </c>
      <c r="J14" s="26">
        <v>4.7</v>
      </c>
      <c r="K14" s="26">
        <v>5.6</v>
      </c>
      <c r="L14" s="5"/>
      <c r="N14" s="26"/>
    </row>
    <row r="15" spans="1:14" ht="13.5" thickBot="1" x14ac:dyDescent="0.25">
      <c r="A15" s="49"/>
      <c r="B15" s="35"/>
      <c r="C15" s="2"/>
      <c r="D15" s="36"/>
      <c r="E15" s="33">
        <v>270</v>
      </c>
      <c r="F15" s="33">
        <v>330</v>
      </c>
      <c r="G15" s="16">
        <v>133</v>
      </c>
      <c r="H15" s="17">
        <v>137</v>
      </c>
      <c r="J15" s="26">
        <v>5.6</v>
      </c>
      <c r="K15" s="26">
        <v>6.8</v>
      </c>
      <c r="L15" s="5"/>
      <c r="N15" s="26"/>
    </row>
    <row r="16" spans="1:14" ht="13.5" thickBot="1" x14ac:dyDescent="0.25">
      <c r="A16" s="49"/>
      <c r="B16" s="35"/>
      <c r="C16" s="2"/>
      <c r="D16" s="36"/>
      <c r="E16" s="33">
        <v>330</v>
      </c>
      <c r="F16" s="33">
        <v>390</v>
      </c>
      <c r="G16" s="17">
        <v>137</v>
      </c>
      <c r="H16" s="16">
        <v>140</v>
      </c>
      <c r="J16" s="26">
        <v>6.8</v>
      </c>
      <c r="K16" s="26">
        <v>8.1999999999999993</v>
      </c>
      <c r="L16" s="5"/>
      <c r="N16" s="26"/>
    </row>
    <row r="17" spans="1:14" ht="13.5" thickBot="1" x14ac:dyDescent="0.25">
      <c r="A17" s="49"/>
      <c r="B17" s="35"/>
      <c r="C17" s="2"/>
      <c r="D17" s="36"/>
      <c r="E17" s="33">
        <v>390</v>
      </c>
      <c r="F17" s="32">
        <v>470</v>
      </c>
      <c r="G17" s="16">
        <v>140</v>
      </c>
      <c r="H17" s="17">
        <v>143</v>
      </c>
      <c r="J17" s="26">
        <v>8.1999999999999993</v>
      </c>
      <c r="K17" s="26">
        <v>10</v>
      </c>
      <c r="L17" s="5"/>
      <c r="N17" s="26"/>
    </row>
    <row r="18" spans="1:14" ht="13.5" thickBot="1" x14ac:dyDescent="0.25">
      <c r="A18" s="49"/>
      <c r="B18" s="35"/>
      <c r="C18" s="2"/>
      <c r="D18" s="36"/>
      <c r="E18" s="32">
        <v>470</v>
      </c>
      <c r="F18" s="33">
        <v>560</v>
      </c>
      <c r="G18" s="17">
        <v>143</v>
      </c>
      <c r="H18" s="16">
        <v>147</v>
      </c>
      <c r="J18" s="25" t="s">
        <v>151</v>
      </c>
      <c r="K18" s="26"/>
      <c r="L18" s="26"/>
      <c r="N18" s="26"/>
    </row>
    <row r="19" spans="1:14" ht="13.5" thickBot="1" x14ac:dyDescent="0.25">
      <c r="A19" s="49"/>
      <c r="B19" s="35"/>
      <c r="C19" s="2"/>
      <c r="D19" s="36"/>
      <c r="E19" s="33">
        <v>560</v>
      </c>
      <c r="F19" s="33">
        <v>680</v>
      </c>
      <c r="G19" s="16">
        <v>147</v>
      </c>
      <c r="H19" s="17">
        <v>150</v>
      </c>
      <c r="J19" s="26">
        <v>1</v>
      </c>
      <c r="K19" s="26">
        <v>1.5</v>
      </c>
      <c r="L19" s="27">
        <f>IF((10^(LOG(K2)-INT(LOG(K2))))-VLOOKUP((10^(LOG(K2)-INT(LOG(K2)))),C_s2:C_f2,1)&lt;VLOOKUP((10^(LOG(K2)-INT(LOG(K2)))),C_s2:C_f2,2)-(10^(LOG(K2)-INT(LOG(K2)))),VLOOKUP((10^(LOG(K2)-INT(LOG(K2)))),C_s2:C_f2,1),VLOOKUP((10^(LOG(K2)-INT(LOG(K2)))),C_s2:C_f2,2))</f>
        <v>1</v>
      </c>
      <c r="N19" s="26"/>
    </row>
    <row r="20" spans="1:14" ht="13.5" thickBot="1" x14ac:dyDescent="0.25">
      <c r="A20" s="49"/>
      <c r="B20" s="35"/>
      <c r="C20" s="2"/>
      <c r="D20" s="36"/>
      <c r="E20" s="30">
        <v>680</v>
      </c>
      <c r="F20" s="33">
        <v>820</v>
      </c>
      <c r="G20" s="17">
        <v>150</v>
      </c>
      <c r="H20" s="16">
        <v>154</v>
      </c>
      <c r="J20" s="26">
        <v>1.5</v>
      </c>
      <c r="K20" s="26">
        <v>2.2000000000000002</v>
      </c>
      <c r="N20" s="26"/>
    </row>
    <row r="21" spans="1:14" ht="13.5" thickBot="1" x14ac:dyDescent="0.25">
      <c r="A21" s="49"/>
      <c r="B21" s="35"/>
      <c r="C21" s="2"/>
      <c r="D21" s="36"/>
      <c r="E21" s="30">
        <v>820</v>
      </c>
      <c r="F21" s="33">
        <v>1000</v>
      </c>
      <c r="G21" s="16">
        <v>154</v>
      </c>
      <c r="H21" s="17">
        <v>158</v>
      </c>
      <c r="J21" s="26">
        <v>2.2000000000000002</v>
      </c>
      <c r="K21" s="26">
        <v>3.3</v>
      </c>
      <c r="L21" s="27"/>
      <c r="N21" s="26"/>
    </row>
    <row r="22" spans="1:14" ht="13.5" thickBot="1" x14ac:dyDescent="0.25">
      <c r="A22" s="49"/>
      <c r="B22" s="35"/>
      <c r="C22" s="2"/>
      <c r="D22" s="36"/>
      <c r="E22" s="121" t="s">
        <v>152</v>
      </c>
      <c r="F22" s="122"/>
      <c r="G22" s="17">
        <v>158</v>
      </c>
      <c r="H22" s="16">
        <v>162</v>
      </c>
      <c r="J22" s="26">
        <v>3.3</v>
      </c>
      <c r="K22" s="26">
        <v>4.7</v>
      </c>
      <c r="L22" s="27"/>
      <c r="N22" s="26"/>
    </row>
    <row r="23" spans="1:14" ht="13.5" thickBot="1" x14ac:dyDescent="0.25">
      <c r="A23" s="49"/>
      <c r="B23" s="35"/>
      <c r="C23" s="2"/>
      <c r="D23" s="36"/>
      <c r="E23" s="38">
        <v>100</v>
      </c>
      <c r="F23" s="39">
        <v>110</v>
      </c>
      <c r="G23" s="16">
        <v>162</v>
      </c>
      <c r="H23" s="17">
        <v>165</v>
      </c>
      <c r="J23" s="26">
        <v>4.7</v>
      </c>
      <c r="K23" s="26">
        <v>6.8</v>
      </c>
      <c r="L23" s="5"/>
    </row>
    <row r="24" spans="1:14" ht="13.5" thickBot="1" x14ac:dyDescent="0.25">
      <c r="A24" s="49"/>
      <c r="B24" s="35"/>
      <c r="C24" s="2"/>
      <c r="D24" s="36"/>
      <c r="E24" s="39">
        <v>110</v>
      </c>
      <c r="F24" s="39">
        <v>120</v>
      </c>
      <c r="G24" s="17">
        <v>165</v>
      </c>
      <c r="H24" s="16">
        <v>169</v>
      </c>
      <c r="J24" s="26">
        <v>6.8</v>
      </c>
      <c r="K24" s="26">
        <v>10</v>
      </c>
      <c r="L24" s="5"/>
    </row>
    <row r="25" spans="1:14" ht="13.5" thickBot="1" x14ac:dyDescent="0.25">
      <c r="A25" s="49"/>
      <c r="B25" s="35"/>
      <c r="C25" s="2"/>
      <c r="D25" s="36"/>
      <c r="E25" s="39">
        <v>120</v>
      </c>
      <c r="F25" s="39">
        <v>130</v>
      </c>
      <c r="G25" s="16">
        <v>169</v>
      </c>
      <c r="H25" s="17">
        <v>174</v>
      </c>
      <c r="J25" s="40"/>
      <c r="K25" s="40"/>
      <c r="L25" s="40"/>
    </row>
    <row r="26" spans="1:14" ht="13.5" thickBot="1" x14ac:dyDescent="0.25">
      <c r="A26" s="49"/>
      <c r="B26" s="35"/>
      <c r="C26" s="2"/>
      <c r="D26" s="36"/>
      <c r="E26" s="39">
        <v>130</v>
      </c>
      <c r="F26" s="39">
        <v>150</v>
      </c>
      <c r="G26" s="17">
        <v>174</v>
      </c>
      <c r="H26" s="16">
        <v>178</v>
      </c>
      <c r="J26" s="40"/>
      <c r="K26" s="40"/>
      <c r="L26" s="40"/>
    </row>
    <row r="27" spans="1:14" ht="13.5" thickBot="1" x14ac:dyDescent="0.25">
      <c r="A27" s="49"/>
      <c r="B27" s="35"/>
      <c r="C27" s="2"/>
      <c r="D27" s="36"/>
      <c r="E27" s="39">
        <v>150</v>
      </c>
      <c r="F27" s="39">
        <v>160</v>
      </c>
      <c r="G27" s="16">
        <v>178</v>
      </c>
      <c r="H27" s="17">
        <v>182</v>
      </c>
      <c r="I27" s="41"/>
      <c r="J27" s="40"/>
      <c r="K27" s="40"/>
      <c r="L27" s="40"/>
    </row>
    <row r="28" spans="1:14" ht="13.5" thickBot="1" x14ac:dyDescent="0.25">
      <c r="A28" s="49"/>
      <c r="B28" s="35"/>
      <c r="C28" s="2"/>
      <c r="D28" s="36"/>
      <c r="E28" s="39">
        <v>160</v>
      </c>
      <c r="F28" s="39">
        <v>180</v>
      </c>
      <c r="G28" s="17">
        <v>182</v>
      </c>
      <c r="H28" s="16">
        <v>187</v>
      </c>
      <c r="I28" s="41"/>
      <c r="J28" s="40"/>
      <c r="K28" s="40"/>
      <c r="L28" s="40"/>
    </row>
    <row r="29" spans="1:14" ht="13.5" thickBot="1" x14ac:dyDescent="0.25">
      <c r="A29" s="49"/>
      <c r="B29" s="35"/>
      <c r="C29" s="2"/>
      <c r="D29" s="36"/>
      <c r="E29" s="39">
        <v>180</v>
      </c>
      <c r="F29" s="42">
        <v>200</v>
      </c>
      <c r="G29" s="16">
        <v>187</v>
      </c>
      <c r="H29" s="17">
        <v>191</v>
      </c>
      <c r="I29" s="41"/>
      <c r="J29" s="40"/>
      <c r="K29" s="40"/>
      <c r="L29" s="40"/>
    </row>
    <row r="30" spans="1:14" ht="13.5" thickBot="1" x14ac:dyDescent="0.25">
      <c r="A30" s="49"/>
      <c r="B30" s="35"/>
      <c r="C30" s="2"/>
      <c r="D30" s="36"/>
      <c r="E30" s="42">
        <v>200</v>
      </c>
      <c r="F30" s="38">
        <v>220</v>
      </c>
      <c r="G30" s="17">
        <v>191</v>
      </c>
      <c r="H30" s="16">
        <v>196</v>
      </c>
      <c r="I30" s="41"/>
      <c r="J30" s="40"/>
      <c r="K30" s="40"/>
      <c r="L30" s="40"/>
    </row>
    <row r="31" spans="1:14" ht="13.5" thickBot="1" x14ac:dyDescent="0.25">
      <c r="A31" s="49"/>
      <c r="B31" s="35"/>
      <c r="C31" s="2"/>
      <c r="D31" s="36"/>
      <c r="E31" s="38">
        <v>220</v>
      </c>
      <c r="F31" s="39">
        <v>240</v>
      </c>
      <c r="G31" s="16">
        <v>196</v>
      </c>
      <c r="H31" s="17">
        <v>200</v>
      </c>
      <c r="I31" s="41"/>
      <c r="J31" s="40"/>
      <c r="K31" s="40"/>
      <c r="L31" s="40"/>
      <c r="N31" s="45"/>
    </row>
    <row r="32" spans="1:14" ht="13.5" thickBot="1" x14ac:dyDescent="0.25">
      <c r="A32" s="49"/>
      <c r="B32" s="35"/>
      <c r="C32" s="2"/>
      <c r="D32" s="36"/>
      <c r="E32" s="39">
        <v>240</v>
      </c>
      <c r="F32" s="39">
        <v>270</v>
      </c>
      <c r="G32" s="17">
        <v>200</v>
      </c>
      <c r="H32" s="16">
        <v>205</v>
      </c>
      <c r="I32" s="41"/>
      <c r="J32" s="40"/>
      <c r="K32" s="40"/>
      <c r="L32" s="40"/>
      <c r="N32" s="45"/>
    </row>
    <row r="33" spans="1:14" s="45" customFormat="1" ht="13.5" thickBot="1" x14ac:dyDescent="0.25">
      <c r="A33" s="49"/>
      <c r="B33" s="35"/>
      <c r="C33" s="2"/>
      <c r="D33" s="36"/>
      <c r="E33" s="39">
        <v>270</v>
      </c>
      <c r="F33" s="39">
        <v>300</v>
      </c>
      <c r="G33" s="16">
        <v>205</v>
      </c>
      <c r="H33" s="17">
        <v>210</v>
      </c>
      <c r="I33" s="43"/>
      <c r="J33" s="40"/>
      <c r="K33" s="40"/>
      <c r="L33" s="40"/>
    </row>
    <row r="34" spans="1:14" s="45" customFormat="1" ht="13.5" thickBot="1" x14ac:dyDescent="0.25">
      <c r="A34" s="44"/>
      <c r="B34" s="44"/>
      <c r="C34" s="44"/>
      <c r="D34" s="44"/>
      <c r="E34" s="39">
        <v>300</v>
      </c>
      <c r="F34" s="39">
        <v>330</v>
      </c>
      <c r="G34" s="17">
        <v>210</v>
      </c>
      <c r="H34" s="16">
        <v>215</v>
      </c>
      <c r="I34" s="6"/>
      <c r="J34" s="40"/>
      <c r="K34" s="40"/>
      <c r="L34" s="40"/>
    </row>
    <row r="35" spans="1:14" s="45" customFormat="1" ht="13.5" thickBot="1" x14ac:dyDescent="0.25">
      <c r="E35" s="39">
        <v>330</v>
      </c>
      <c r="F35" s="39">
        <v>360</v>
      </c>
      <c r="G35" s="16">
        <v>215</v>
      </c>
      <c r="H35" s="17">
        <v>221</v>
      </c>
      <c r="I35" s="6"/>
      <c r="J35" s="40"/>
      <c r="K35" s="40"/>
      <c r="L35" s="40"/>
    </row>
    <row r="36" spans="1:14" s="45" customFormat="1" ht="13.5" thickBot="1" x14ac:dyDescent="0.25">
      <c r="E36" s="39">
        <v>360</v>
      </c>
      <c r="F36" s="39">
        <v>390</v>
      </c>
      <c r="G36" s="17">
        <v>221</v>
      </c>
      <c r="H36" s="16">
        <v>226</v>
      </c>
      <c r="I36" s="6"/>
      <c r="J36" s="40"/>
      <c r="K36" s="40"/>
      <c r="L36" s="40"/>
      <c r="N36" s="3"/>
    </row>
    <row r="37" spans="1:14" s="45" customFormat="1" ht="13.5" thickBot="1" x14ac:dyDescent="0.25">
      <c r="E37" s="39">
        <v>390</v>
      </c>
      <c r="F37" s="42">
        <v>430</v>
      </c>
      <c r="G37" s="16">
        <v>226</v>
      </c>
      <c r="H37" s="17">
        <v>232</v>
      </c>
      <c r="I37" s="41"/>
      <c r="J37" s="40"/>
      <c r="K37" s="40"/>
      <c r="L37" s="40"/>
      <c r="N37" s="3"/>
    </row>
    <row r="38" spans="1:14" ht="13.5" thickBot="1" x14ac:dyDescent="0.25">
      <c r="E38" s="42">
        <v>430</v>
      </c>
      <c r="F38" s="38">
        <v>470</v>
      </c>
      <c r="G38" s="17">
        <v>232</v>
      </c>
      <c r="H38" s="16">
        <v>237</v>
      </c>
      <c r="I38" s="41"/>
      <c r="J38" s="40"/>
      <c r="K38" s="40"/>
      <c r="L38" s="40"/>
    </row>
    <row r="39" spans="1:14" ht="13.5" thickBot="1" x14ac:dyDescent="0.25">
      <c r="E39" s="38">
        <v>470</v>
      </c>
      <c r="F39" s="39">
        <v>510</v>
      </c>
      <c r="G39" s="16">
        <v>237</v>
      </c>
      <c r="H39" s="17">
        <v>243</v>
      </c>
      <c r="I39" s="41"/>
      <c r="J39" s="40"/>
      <c r="K39" s="40"/>
      <c r="L39" s="40"/>
    </row>
    <row r="40" spans="1:14" ht="13.5" thickBot="1" x14ac:dyDescent="0.25">
      <c r="E40" s="39">
        <v>510</v>
      </c>
      <c r="F40" s="39">
        <v>560</v>
      </c>
      <c r="G40" s="17">
        <v>243</v>
      </c>
      <c r="H40" s="16">
        <v>249</v>
      </c>
      <c r="I40" s="41"/>
      <c r="J40" s="40"/>
      <c r="K40" s="40"/>
      <c r="L40" s="40"/>
    </row>
    <row r="41" spans="1:14" ht="13.5" thickBot="1" x14ac:dyDescent="0.25">
      <c r="E41" s="39">
        <v>560</v>
      </c>
      <c r="F41" s="39">
        <v>620</v>
      </c>
      <c r="G41" s="16">
        <v>249</v>
      </c>
      <c r="H41" s="17">
        <v>255</v>
      </c>
      <c r="I41" s="41"/>
      <c r="J41" s="40"/>
      <c r="K41" s="40"/>
      <c r="L41" s="40"/>
    </row>
    <row r="42" spans="1:14" ht="13.5" thickBot="1" x14ac:dyDescent="0.25">
      <c r="E42" s="39">
        <v>620</v>
      </c>
      <c r="F42" s="39">
        <v>680</v>
      </c>
      <c r="G42" s="17">
        <v>255</v>
      </c>
      <c r="H42" s="16">
        <v>261</v>
      </c>
      <c r="I42" s="41"/>
      <c r="J42" s="40"/>
      <c r="K42" s="40"/>
      <c r="L42" s="40"/>
    </row>
    <row r="43" spans="1:14" ht="13.5" thickBot="1" x14ac:dyDescent="0.25">
      <c r="E43" s="39">
        <v>680</v>
      </c>
      <c r="F43" s="39">
        <v>750</v>
      </c>
      <c r="G43" s="16">
        <v>261</v>
      </c>
      <c r="H43" s="17">
        <v>267</v>
      </c>
      <c r="I43" s="41"/>
      <c r="J43" s="40"/>
      <c r="K43" s="40"/>
      <c r="L43" s="40"/>
    </row>
    <row r="44" spans="1:14" ht="13.5" thickBot="1" x14ac:dyDescent="0.25">
      <c r="E44" s="39">
        <v>750</v>
      </c>
      <c r="F44" s="39">
        <v>820</v>
      </c>
      <c r="G44" s="17">
        <v>267</v>
      </c>
      <c r="H44" s="16">
        <v>274</v>
      </c>
      <c r="J44" s="40"/>
      <c r="K44" s="40"/>
      <c r="L44" s="40"/>
    </row>
    <row r="45" spans="1:14" ht="13.5" thickBot="1" x14ac:dyDescent="0.25">
      <c r="E45" s="39">
        <v>820</v>
      </c>
      <c r="F45" s="42">
        <v>910</v>
      </c>
      <c r="G45" s="16">
        <v>274</v>
      </c>
      <c r="H45" s="17">
        <v>280</v>
      </c>
      <c r="J45" s="40"/>
      <c r="K45" s="40"/>
      <c r="L45" s="40"/>
    </row>
    <row r="46" spans="1:14" ht="13.5" thickBot="1" x14ac:dyDescent="0.25">
      <c r="E46" s="42">
        <v>910</v>
      </c>
      <c r="F46" s="42">
        <v>1000</v>
      </c>
      <c r="G46" s="17">
        <v>280</v>
      </c>
      <c r="H46" s="16">
        <v>287</v>
      </c>
      <c r="J46" s="40"/>
      <c r="K46" s="40"/>
      <c r="L46" s="40"/>
    </row>
    <row r="47" spans="1:14" ht="13.5" thickBot="1" x14ac:dyDescent="0.25">
      <c r="E47" s="114" t="s">
        <v>153</v>
      </c>
      <c r="F47" s="114"/>
      <c r="G47" s="16">
        <v>287</v>
      </c>
      <c r="H47" s="17">
        <v>294</v>
      </c>
      <c r="J47" s="40"/>
      <c r="K47" s="40"/>
      <c r="L47" s="40"/>
    </row>
    <row r="48" spans="1:14" ht="13.5" thickBot="1" x14ac:dyDescent="0.25">
      <c r="E48" s="46">
        <v>100</v>
      </c>
      <c r="F48" s="46">
        <v>105</v>
      </c>
      <c r="G48" s="17">
        <v>294</v>
      </c>
      <c r="H48" s="16">
        <v>301</v>
      </c>
      <c r="J48" s="40"/>
      <c r="K48" s="40"/>
      <c r="L48" s="40"/>
    </row>
    <row r="49" spans="5:12" ht="13.5" thickBot="1" x14ac:dyDescent="0.25">
      <c r="E49" s="46">
        <v>105</v>
      </c>
      <c r="F49" s="46">
        <v>110</v>
      </c>
      <c r="G49" s="16">
        <v>301</v>
      </c>
      <c r="H49" s="17">
        <v>309</v>
      </c>
      <c r="J49" s="40"/>
      <c r="K49" s="40"/>
      <c r="L49" s="40"/>
    </row>
    <row r="50" spans="5:12" ht="13.5" thickBot="1" x14ac:dyDescent="0.25">
      <c r="E50" s="46">
        <v>110</v>
      </c>
      <c r="F50" s="46">
        <v>115</v>
      </c>
      <c r="G50" s="17">
        <v>309</v>
      </c>
      <c r="H50" s="16">
        <v>316</v>
      </c>
      <c r="J50" s="40"/>
      <c r="K50" s="40"/>
      <c r="L50" s="40"/>
    </row>
    <row r="51" spans="5:12" ht="13.5" thickBot="1" x14ac:dyDescent="0.25">
      <c r="E51" s="46">
        <v>115</v>
      </c>
      <c r="F51" s="46">
        <v>121</v>
      </c>
      <c r="G51" s="16">
        <v>316</v>
      </c>
      <c r="H51" s="17">
        <v>324</v>
      </c>
      <c r="J51" s="40"/>
      <c r="K51" s="40"/>
      <c r="L51" s="40"/>
    </row>
    <row r="52" spans="5:12" ht="13.5" thickBot="1" x14ac:dyDescent="0.25">
      <c r="E52" s="46">
        <v>121</v>
      </c>
      <c r="F52" s="46">
        <v>127</v>
      </c>
      <c r="G52" s="17">
        <v>324</v>
      </c>
      <c r="H52" s="16">
        <v>332</v>
      </c>
      <c r="J52" s="40"/>
      <c r="K52" s="40"/>
      <c r="L52" s="40"/>
    </row>
    <row r="53" spans="5:12" ht="13.5" thickBot="1" x14ac:dyDescent="0.25">
      <c r="E53" s="46">
        <v>127</v>
      </c>
      <c r="F53" s="46">
        <v>133</v>
      </c>
      <c r="G53" s="16">
        <v>332</v>
      </c>
      <c r="H53" s="17">
        <v>340</v>
      </c>
      <c r="J53" s="40"/>
      <c r="K53" s="40"/>
      <c r="L53" s="40"/>
    </row>
    <row r="54" spans="5:12" ht="13.5" thickBot="1" x14ac:dyDescent="0.25">
      <c r="E54" s="46">
        <v>133</v>
      </c>
      <c r="F54" s="46">
        <v>140</v>
      </c>
      <c r="G54" s="17">
        <v>340</v>
      </c>
      <c r="H54" s="16">
        <v>348</v>
      </c>
      <c r="J54" s="40"/>
      <c r="K54" s="40"/>
      <c r="L54" s="40"/>
    </row>
    <row r="55" spans="5:12" ht="13.5" thickBot="1" x14ac:dyDescent="0.25">
      <c r="E55" s="46">
        <v>140</v>
      </c>
      <c r="F55" s="46">
        <v>147</v>
      </c>
      <c r="G55" s="16">
        <v>348</v>
      </c>
      <c r="H55" s="17">
        <v>357</v>
      </c>
      <c r="J55" s="40"/>
      <c r="K55" s="40"/>
      <c r="L55" s="40"/>
    </row>
    <row r="56" spans="5:12" ht="13.5" thickBot="1" x14ac:dyDescent="0.25">
      <c r="E56" s="46">
        <v>147</v>
      </c>
      <c r="F56" s="46">
        <v>154</v>
      </c>
      <c r="G56" s="17">
        <v>357</v>
      </c>
      <c r="H56" s="16">
        <v>365</v>
      </c>
      <c r="J56" s="40"/>
      <c r="K56" s="40"/>
      <c r="L56" s="40"/>
    </row>
    <row r="57" spans="5:12" ht="13.5" thickBot="1" x14ac:dyDescent="0.25">
      <c r="E57" s="46">
        <v>154</v>
      </c>
      <c r="F57" s="46">
        <v>162</v>
      </c>
      <c r="G57" s="16">
        <v>365</v>
      </c>
      <c r="H57" s="17">
        <v>374</v>
      </c>
      <c r="J57" s="40"/>
      <c r="K57" s="40"/>
      <c r="L57" s="40"/>
    </row>
    <row r="58" spans="5:12" ht="13.5" thickBot="1" x14ac:dyDescent="0.25">
      <c r="E58" s="46">
        <v>162</v>
      </c>
      <c r="F58" s="46">
        <v>169</v>
      </c>
      <c r="G58" s="17">
        <v>374</v>
      </c>
      <c r="H58" s="16">
        <v>383</v>
      </c>
      <c r="J58" s="40"/>
      <c r="K58" s="40"/>
      <c r="L58" s="40"/>
    </row>
    <row r="59" spans="5:12" ht="13.5" thickBot="1" x14ac:dyDescent="0.25">
      <c r="E59" s="46">
        <v>169</v>
      </c>
      <c r="F59" s="46">
        <v>178</v>
      </c>
      <c r="G59" s="16">
        <v>383</v>
      </c>
      <c r="H59" s="17">
        <v>392</v>
      </c>
      <c r="J59" s="40"/>
      <c r="K59" s="40"/>
      <c r="L59" s="40"/>
    </row>
    <row r="60" spans="5:12" ht="13.5" thickBot="1" x14ac:dyDescent="0.25">
      <c r="E60" s="46">
        <v>178</v>
      </c>
      <c r="F60" s="46">
        <v>187</v>
      </c>
      <c r="G60" s="17">
        <v>392</v>
      </c>
      <c r="H60" s="16">
        <v>402</v>
      </c>
      <c r="J60" s="40"/>
      <c r="K60" s="40"/>
      <c r="L60" s="40"/>
    </row>
    <row r="61" spans="5:12" ht="13.5" thickBot="1" x14ac:dyDescent="0.25">
      <c r="E61" s="46">
        <v>187</v>
      </c>
      <c r="F61" s="46">
        <v>196</v>
      </c>
      <c r="G61" s="16">
        <v>402</v>
      </c>
      <c r="H61" s="17">
        <v>412</v>
      </c>
      <c r="J61" s="40"/>
      <c r="K61" s="40"/>
      <c r="L61" s="40"/>
    </row>
    <row r="62" spans="5:12" ht="13.5" thickBot="1" x14ac:dyDescent="0.25">
      <c r="E62" s="46">
        <v>196</v>
      </c>
      <c r="F62" s="46">
        <v>205</v>
      </c>
      <c r="G62" s="17">
        <v>412</v>
      </c>
      <c r="H62" s="16">
        <v>422</v>
      </c>
      <c r="J62" s="40"/>
      <c r="K62" s="40"/>
      <c r="L62" s="40"/>
    </row>
    <row r="63" spans="5:12" ht="13.5" thickBot="1" x14ac:dyDescent="0.25">
      <c r="E63" s="46">
        <v>205</v>
      </c>
      <c r="F63" s="46">
        <v>215</v>
      </c>
      <c r="G63" s="16">
        <v>422</v>
      </c>
      <c r="H63" s="17">
        <v>432</v>
      </c>
      <c r="J63" s="40"/>
      <c r="K63" s="40"/>
      <c r="L63" s="40"/>
    </row>
    <row r="64" spans="5:12" ht="13.5" thickBot="1" x14ac:dyDescent="0.25">
      <c r="E64" s="46">
        <v>215</v>
      </c>
      <c r="F64" s="46">
        <v>226</v>
      </c>
      <c r="G64" s="17">
        <v>432</v>
      </c>
      <c r="H64" s="16">
        <v>442</v>
      </c>
      <c r="J64" s="40"/>
      <c r="K64" s="40"/>
      <c r="L64" s="40"/>
    </row>
    <row r="65" spans="5:12" ht="13.5" thickBot="1" x14ac:dyDescent="0.25">
      <c r="E65" s="46">
        <v>226</v>
      </c>
      <c r="F65" s="46">
        <v>237</v>
      </c>
      <c r="G65" s="16">
        <v>442</v>
      </c>
      <c r="H65" s="17">
        <v>453</v>
      </c>
      <c r="J65" s="40"/>
      <c r="K65" s="40"/>
      <c r="L65" s="40"/>
    </row>
    <row r="66" spans="5:12" ht="13.5" thickBot="1" x14ac:dyDescent="0.25">
      <c r="E66" s="46">
        <v>237</v>
      </c>
      <c r="F66" s="46">
        <v>249</v>
      </c>
      <c r="G66" s="17">
        <v>453</v>
      </c>
      <c r="H66" s="16">
        <v>464</v>
      </c>
      <c r="J66" s="40"/>
      <c r="K66" s="40"/>
      <c r="L66" s="40"/>
    </row>
    <row r="67" spans="5:12" ht="13.5" thickBot="1" x14ac:dyDescent="0.25">
      <c r="E67" s="46">
        <v>249</v>
      </c>
      <c r="F67" s="46">
        <v>261</v>
      </c>
      <c r="G67" s="16">
        <v>464</v>
      </c>
      <c r="H67" s="17">
        <v>475</v>
      </c>
      <c r="J67" s="40"/>
      <c r="K67" s="40"/>
      <c r="L67" s="40"/>
    </row>
    <row r="68" spans="5:12" ht="13.5" thickBot="1" x14ac:dyDescent="0.25">
      <c r="E68" s="46">
        <v>261</v>
      </c>
      <c r="F68" s="46">
        <v>274</v>
      </c>
      <c r="G68" s="17">
        <v>475</v>
      </c>
      <c r="H68" s="16">
        <v>487</v>
      </c>
      <c r="J68" s="40"/>
      <c r="K68" s="40"/>
      <c r="L68" s="40"/>
    </row>
    <row r="69" spans="5:12" ht="13.5" thickBot="1" x14ac:dyDescent="0.25">
      <c r="E69" s="46">
        <v>274</v>
      </c>
      <c r="F69" s="46">
        <v>287</v>
      </c>
      <c r="G69" s="16">
        <v>487</v>
      </c>
      <c r="H69" s="17">
        <v>499</v>
      </c>
      <c r="J69" s="40"/>
      <c r="K69" s="40"/>
      <c r="L69" s="40"/>
    </row>
    <row r="70" spans="5:12" ht="13.5" thickBot="1" x14ac:dyDescent="0.25">
      <c r="E70" s="46">
        <v>287</v>
      </c>
      <c r="F70" s="46">
        <v>301</v>
      </c>
      <c r="G70" s="17">
        <v>499</v>
      </c>
      <c r="H70" s="16">
        <v>511</v>
      </c>
      <c r="J70" s="40"/>
      <c r="K70" s="40"/>
      <c r="L70" s="40"/>
    </row>
    <row r="71" spans="5:12" ht="13.5" thickBot="1" x14ac:dyDescent="0.25">
      <c r="E71" s="46">
        <v>301</v>
      </c>
      <c r="F71" s="46">
        <v>316</v>
      </c>
      <c r="G71" s="16">
        <v>511</v>
      </c>
      <c r="H71" s="17">
        <v>523</v>
      </c>
      <c r="J71" s="40"/>
      <c r="K71" s="40"/>
      <c r="L71" s="40"/>
    </row>
    <row r="72" spans="5:12" ht="13.5" thickBot="1" x14ac:dyDescent="0.25">
      <c r="E72" s="46">
        <v>316</v>
      </c>
      <c r="F72" s="46">
        <v>332</v>
      </c>
      <c r="G72" s="17">
        <v>523</v>
      </c>
      <c r="H72" s="16">
        <v>536</v>
      </c>
      <c r="J72" s="40"/>
      <c r="K72" s="40"/>
      <c r="L72" s="40"/>
    </row>
    <row r="73" spans="5:12" ht="13.5" thickBot="1" x14ac:dyDescent="0.25">
      <c r="E73" s="46">
        <v>332</v>
      </c>
      <c r="F73" s="46">
        <v>348</v>
      </c>
      <c r="G73" s="16">
        <v>536</v>
      </c>
      <c r="H73" s="17">
        <v>549</v>
      </c>
      <c r="J73" s="40"/>
      <c r="K73" s="40"/>
      <c r="L73" s="40"/>
    </row>
    <row r="74" spans="5:12" ht="13.5" thickBot="1" x14ac:dyDescent="0.25">
      <c r="E74" s="46">
        <v>348</v>
      </c>
      <c r="F74" s="46">
        <v>365</v>
      </c>
      <c r="G74" s="17">
        <v>549</v>
      </c>
      <c r="H74" s="16">
        <v>562</v>
      </c>
      <c r="J74" s="40"/>
      <c r="K74" s="40"/>
      <c r="L74" s="40"/>
    </row>
    <row r="75" spans="5:12" ht="13.5" thickBot="1" x14ac:dyDescent="0.25">
      <c r="E75" s="46">
        <v>365</v>
      </c>
      <c r="F75" s="46">
        <v>383</v>
      </c>
      <c r="G75" s="16">
        <v>562</v>
      </c>
      <c r="H75" s="17">
        <v>576</v>
      </c>
      <c r="J75" s="47"/>
      <c r="K75" s="47"/>
      <c r="L75" s="47"/>
    </row>
    <row r="76" spans="5:12" ht="13.5" thickBot="1" x14ac:dyDescent="0.25">
      <c r="E76" s="46">
        <v>383</v>
      </c>
      <c r="F76" s="46">
        <v>402</v>
      </c>
      <c r="G76" s="17">
        <v>576</v>
      </c>
      <c r="H76" s="16">
        <v>590</v>
      </c>
      <c r="J76" s="47"/>
      <c r="K76" s="47"/>
      <c r="L76" s="47"/>
    </row>
    <row r="77" spans="5:12" ht="13.5" thickBot="1" x14ac:dyDescent="0.25">
      <c r="E77" s="46">
        <v>402</v>
      </c>
      <c r="F77" s="46">
        <v>422</v>
      </c>
      <c r="G77" s="16">
        <v>590</v>
      </c>
      <c r="H77" s="17">
        <v>604</v>
      </c>
      <c r="J77" s="47"/>
      <c r="K77" s="47"/>
      <c r="L77" s="47"/>
    </row>
    <row r="78" spans="5:12" ht="13.5" thickBot="1" x14ac:dyDescent="0.25">
      <c r="E78" s="46">
        <v>422</v>
      </c>
      <c r="F78" s="46">
        <v>442</v>
      </c>
      <c r="G78" s="17">
        <v>604</v>
      </c>
      <c r="H78" s="16">
        <v>619</v>
      </c>
      <c r="J78" s="47"/>
      <c r="K78" s="47"/>
      <c r="L78" s="47"/>
    </row>
    <row r="79" spans="5:12" ht="13.5" thickBot="1" x14ac:dyDescent="0.25">
      <c r="E79" s="46">
        <v>442</v>
      </c>
      <c r="F79" s="46">
        <v>464</v>
      </c>
      <c r="G79" s="16">
        <v>619</v>
      </c>
      <c r="H79" s="17">
        <v>634</v>
      </c>
      <c r="J79" s="47"/>
      <c r="K79" s="47"/>
      <c r="L79" s="47"/>
    </row>
    <row r="80" spans="5:12" ht="13.5" thickBot="1" x14ac:dyDescent="0.25">
      <c r="E80" s="46">
        <v>464</v>
      </c>
      <c r="F80" s="46">
        <v>487</v>
      </c>
      <c r="G80" s="17">
        <v>634</v>
      </c>
      <c r="H80" s="16">
        <v>649</v>
      </c>
      <c r="J80" s="47"/>
      <c r="K80" s="47"/>
      <c r="L80" s="47"/>
    </row>
    <row r="81" spans="5:12" ht="13.5" thickBot="1" x14ac:dyDescent="0.25">
      <c r="E81" s="46">
        <v>487</v>
      </c>
      <c r="F81" s="46">
        <v>511</v>
      </c>
      <c r="G81" s="16">
        <v>649</v>
      </c>
      <c r="H81" s="17">
        <v>665</v>
      </c>
      <c r="J81" s="47"/>
      <c r="K81" s="47"/>
      <c r="L81" s="47"/>
    </row>
    <row r="82" spans="5:12" ht="13.5" thickBot="1" x14ac:dyDescent="0.25">
      <c r="E82" s="46">
        <v>511</v>
      </c>
      <c r="F82" s="46">
        <v>536</v>
      </c>
      <c r="G82" s="17">
        <v>665</v>
      </c>
      <c r="H82" s="16">
        <v>681</v>
      </c>
      <c r="J82" s="47"/>
      <c r="K82" s="47"/>
      <c r="L82" s="47"/>
    </row>
    <row r="83" spans="5:12" ht="13.5" thickBot="1" x14ac:dyDescent="0.25">
      <c r="E83" s="46">
        <v>536</v>
      </c>
      <c r="F83" s="46">
        <v>562</v>
      </c>
      <c r="G83" s="16">
        <v>681</v>
      </c>
      <c r="H83" s="17">
        <v>698</v>
      </c>
      <c r="J83" s="47"/>
      <c r="K83" s="47"/>
      <c r="L83" s="47"/>
    </row>
    <row r="84" spans="5:12" ht="13.5" thickBot="1" x14ac:dyDescent="0.25">
      <c r="E84" s="46">
        <v>562</v>
      </c>
      <c r="F84" s="46">
        <v>590</v>
      </c>
      <c r="G84" s="17">
        <v>698</v>
      </c>
      <c r="H84" s="16">
        <v>715</v>
      </c>
      <c r="J84" s="47"/>
      <c r="K84" s="47"/>
      <c r="L84" s="47"/>
    </row>
    <row r="85" spans="5:12" ht="13.5" thickBot="1" x14ac:dyDescent="0.25">
      <c r="E85" s="46">
        <v>590</v>
      </c>
      <c r="F85" s="46">
        <v>619</v>
      </c>
      <c r="G85" s="16">
        <v>715</v>
      </c>
      <c r="H85" s="17">
        <v>732</v>
      </c>
      <c r="J85" s="47"/>
      <c r="K85" s="47"/>
      <c r="L85" s="47"/>
    </row>
    <row r="86" spans="5:12" ht="13.5" thickBot="1" x14ac:dyDescent="0.25">
      <c r="E86" s="46">
        <v>619</v>
      </c>
      <c r="F86" s="46">
        <v>649</v>
      </c>
      <c r="G86" s="17">
        <v>732</v>
      </c>
      <c r="H86" s="16">
        <v>750</v>
      </c>
      <c r="J86" s="47"/>
      <c r="K86" s="47"/>
      <c r="L86" s="47"/>
    </row>
    <row r="87" spans="5:12" ht="13.5" thickBot="1" x14ac:dyDescent="0.25">
      <c r="E87" s="46">
        <v>649</v>
      </c>
      <c r="F87" s="46">
        <v>681</v>
      </c>
      <c r="G87" s="16">
        <v>750</v>
      </c>
      <c r="H87" s="17">
        <v>768</v>
      </c>
      <c r="J87" s="47"/>
      <c r="K87" s="47"/>
      <c r="L87" s="47"/>
    </row>
    <row r="88" spans="5:12" ht="13.5" thickBot="1" x14ac:dyDescent="0.25">
      <c r="E88" s="46">
        <v>681</v>
      </c>
      <c r="F88" s="46">
        <v>715</v>
      </c>
      <c r="G88" s="17">
        <v>768</v>
      </c>
      <c r="H88" s="16">
        <v>787</v>
      </c>
      <c r="J88" s="47"/>
      <c r="K88" s="47"/>
      <c r="L88" s="47"/>
    </row>
    <row r="89" spans="5:12" ht="13.5" thickBot="1" x14ac:dyDescent="0.25">
      <c r="E89" s="46">
        <v>715</v>
      </c>
      <c r="F89" s="46">
        <v>750</v>
      </c>
      <c r="G89" s="16">
        <v>787</v>
      </c>
      <c r="H89" s="17">
        <v>806</v>
      </c>
      <c r="J89" s="47"/>
      <c r="K89" s="47"/>
      <c r="L89" s="47"/>
    </row>
    <row r="90" spans="5:12" ht="13.5" thickBot="1" x14ac:dyDescent="0.25">
      <c r="E90" s="46">
        <v>750</v>
      </c>
      <c r="F90" s="46">
        <v>787</v>
      </c>
      <c r="G90" s="17">
        <v>806</v>
      </c>
      <c r="H90" s="16">
        <v>825</v>
      </c>
      <c r="J90" s="47"/>
      <c r="K90" s="47"/>
      <c r="L90" s="47"/>
    </row>
    <row r="91" spans="5:12" ht="13.5" thickBot="1" x14ac:dyDescent="0.25">
      <c r="E91" s="46">
        <v>787</v>
      </c>
      <c r="F91" s="46">
        <v>825</v>
      </c>
      <c r="G91" s="16">
        <v>825</v>
      </c>
      <c r="H91" s="17">
        <v>845</v>
      </c>
      <c r="J91" s="47"/>
      <c r="K91" s="47"/>
      <c r="L91" s="47"/>
    </row>
    <row r="92" spans="5:12" ht="13.5" thickBot="1" x14ac:dyDescent="0.25">
      <c r="E92" s="46">
        <v>825</v>
      </c>
      <c r="F92" s="46">
        <v>866</v>
      </c>
      <c r="G92" s="17">
        <v>845</v>
      </c>
      <c r="H92" s="16">
        <v>866</v>
      </c>
      <c r="J92" s="47"/>
      <c r="K92" s="47"/>
      <c r="L92" s="47"/>
    </row>
    <row r="93" spans="5:12" ht="13.5" thickBot="1" x14ac:dyDescent="0.25">
      <c r="E93" s="46">
        <v>866</v>
      </c>
      <c r="F93" s="46">
        <v>909</v>
      </c>
      <c r="G93" s="16">
        <v>866</v>
      </c>
      <c r="H93" s="17">
        <v>887</v>
      </c>
      <c r="J93" s="47"/>
      <c r="K93" s="47"/>
      <c r="L93" s="47"/>
    </row>
    <row r="94" spans="5:12" ht="13.5" thickBot="1" x14ac:dyDescent="0.25">
      <c r="E94" s="46">
        <v>909</v>
      </c>
      <c r="F94" s="46">
        <v>953</v>
      </c>
      <c r="G94" s="17">
        <v>887</v>
      </c>
      <c r="H94" s="16">
        <v>909</v>
      </c>
      <c r="J94" s="47"/>
      <c r="K94" s="47"/>
      <c r="L94" s="47"/>
    </row>
    <row r="95" spans="5:12" ht="13.5" thickBot="1" x14ac:dyDescent="0.25">
      <c r="E95" s="46">
        <v>953</v>
      </c>
      <c r="F95" s="46">
        <v>1000</v>
      </c>
      <c r="G95" s="16">
        <v>909</v>
      </c>
      <c r="H95" s="17">
        <v>931</v>
      </c>
      <c r="J95" s="47"/>
      <c r="K95" s="47"/>
      <c r="L95" s="47"/>
    </row>
    <row r="96" spans="5:12" ht="13.5" thickBot="1" x14ac:dyDescent="0.25">
      <c r="G96" s="17">
        <v>931</v>
      </c>
      <c r="H96" s="16">
        <v>953</v>
      </c>
      <c r="J96" s="47"/>
      <c r="K96" s="47"/>
      <c r="L96" s="47"/>
    </row>
    <row r="97" spans="7:12" ht="13.5" thickBot="1" x14ac:dyDescent="0.25">
      <c r="G97" s="16">
        <v>953</v>
      </c>
      <c r="H97" s="17">
        <v>976</v>
      </c>
      <c r="J97" s="47"/>
      <c r="K97" s="47"/>
      <c r="L97" s="47"/>
    </row>
    <row r="98" spans="7:12" ht="13.5" thickBot="1" x14ac:dyDescent="0.25">
      <c r="G98" s="17">
        <v>976</v>
      </c>
      <c r="H98" s="17">
        <v>1000</v>
      </c>
      <c r="J98" s="47"/>
      <c r="K98" s="47"/>
      <c r="L98" s="47"/>
    </row>
    <row r="99" spans="7:12" x14ac:dyDescent="0.2">
      <c r="J99" s="47"/>
      <c r="K99" s="47"/>
      <c r="L99" s="47"/>
    </row>
    <row r="100" spans="7:12" x14ac:dyDescent="0.2">
      <c r="J100" s="47"/>
      <c r="K100" s="47"/>
      <c r="L100" s="47"/>
    </row>
    <row r="101" spans="7:12" x14ac:dyDescent="0.2">
      <c r="J101" s="47"/>
      <c r="K101" s="47"/>
      <c r="L101" s="47"/>
    </row>
    <row r="102" spans="7:12" x14ac:dyDescent="0.2">
      <c r="J102" s="47"/>
      <c r="K102" s="47"/>
      <c r="L102" s="47"/>
    </row>
    <row r="103" spans="7:12" x14ac:dyDescent="0.2">
      <c r="J103" s="47"/>
      <c r="K103" s="47"/>
      <c r="L103" s="47"/>
    </row>
    <row r="104" spans="7:12" x14ac:dyDescent="0.2">
      <c r="J104" s="47"/>
      <c r="K104" s="47"/>
      <c r="L104" s="47"/>
    </row>
    <row r="105" spans="7:12" x14ac:dyDescent="0.2">
      <c r="J105" s="47"/>
      <c r="K105" s="47"/>
      <c r="L105" s="47"/>
    </row>
    <row r="106" spans="7:12" x14ac:dyDescent="0.2">
      <c r="J106" s="47"/>
      <c r="K106" s="47"/>
      <c r="L106" s="47"/>
    </row>
    <row r="107" spans="7:12" x14ac:dyDescent="0.2">
      <c r="J107" s="47"/>
      <c r="K107" s="47"/>
      <c r="L107" s="47"/>
    </row>
    <row r="108" spans="7:12" x14ac:dyDescent="0.2">
      <c r="J108" s="47"/>
      <c r="K108" s="47"/>
      <c r="L108" s="47"/>
    </row>
    <row r="109" spans="7:12" x14ac:dyDescent="0.2">
      <c r="J109" s="47"/>
      <c r="K109" s="47"/>
      <c r="L109" s="47"/>
    </row>
    <row r="110" spans="7:12" x14ac:dyDescent="0.2">
      <c r="J110" s="47"/>
      <c r="K110" s="47"/>
      <c r="L110" s="47"/>
    </row>
    <row r="111" spans="7:12" x14ac:dyDescent="0.2">
      <c r="J111" s="47"/>
      <c r="K111" s="47"/>
      <c r="L111" s="47"/>
    </row>
    <row r="112" spans="7:12" x14ac:dyDescent="0.2">
      <c r="J112" s="47"/>
      <c r="K112" s="47"/>
      <c r="L112" s="47"/>
    </row>
    <row r="113" spans="10:12" x14ac:dyDescent="0.2">
      <c r="J113" s="47"/>
      <c r="K113" s="47"/>
      <c r="L113" s="47"/>
    </row>
    <row r="114" spans="10:12" x14ac:dyDescent="0.2">
      <c r="J114" s="47"/>
      <c r="K114" s="47"/>
      <c r="L114" s="47"/>
    </row>
    <row r="115" spans="10:12" x14ac:dyDescent="0.2">
      <c r="J115" s="47"/>
      <c r="K115" s="47"/>
      <c r="L115" s="47"/>
    </row>
    <row r="116" spans="10:12" x14ac:dyDescent="0.2">
      <c r="J116" s="47"/>
      <c r="K116" s="47"/>
      <c r="L116" s="47"/>
    </row>
    <row r="117" spans="10:12" x14ac:dyDescent="0.2">
      <c r="J117" s="47"/>
      <c r="K117" s="47"/>
      <c r="L117" s="47"/>
    </row>
    <row r="118" spans="10:12" x14ac:dyDescent="0.2">
      <c r="J118" s="47"/>
      <c r="K118" s="47"/>
      <c r="L118" s="47"/>
    </row>
    <row r="119" spans="10:12" x14ac:dyDescent="0.2">
      <c r="J119" s="47"/>
      <c r="K119" s="47"/>
      <c r="L119" s="47"/>
    </row>
    <row r="120" spans="10:12" x14ac:dyDescent="0.2">
      <c r="J120" s="47"/>
      <c r="K120" s="47"/>
      <c r="L120" s="47"/>
    </row>
    <row r="121" spans="10:12" x14ac:dyDescent="0.2">
      <c r="J121" s="47"/>
      <c r="K121" s="47"/>
      <c r="L121" s="47"/>
    </row>
    <row r="122" spans="10:12" x14ac:dyDescent="0.2">
      <c r="J122" s="47"/>
      <c r="K122" s="47"/>
      <c r="L122" s="47"/>
    </row>
    <row r="123" spans="10:12" x14ac:dyDescent="0.2">
      <c r="J123" s="47"/>
      <c r="K123" s="47"/>
      <c r="L123" s="47"/>
    </row>
    <row r="124" spans="10:12" x14ac:dyDescent="0.2">
      <c r="J124" s="47"/>
      <c r="K124" s="47"/>
      <c r="L124" s="47"/>
    </row>
    <row r="125" spans="10:12" x14ac:dyDescent="0.2">
      <c r="J125" s="47"/>
      <c r="K125" s="47"/>
      <c r="L125" s="47"/>
    </row>
    <row r="126" spans="10:12" x14ac:dyDescent="0.2">
      <c r="J126" s="47"/>
      <c r="K126" s="47"/>
      <c r="L126" s="47"/>
    </row>
    <row r="127" spans="10:12" x14ac:dyDescent="0.2">
      <c r="J127" s="47"/>
      <c r="K127" s="47"/>
      <c r="L127" s="47"/>
    </row>
    <row r="128" spans="10:12" x14ac:dyDescent="0.2">
      <c r="J128" s="47"/>
      <c r="K128" s="47"/>
      <c r="L128" s="47"/>
    </row>
    <row r="129" spans="10:12" x14ac:dyDescent="0.2">
      <c r="J129" s="47"/>
      <c r="K129" s="47"/>
      <c r="L129" s="47"/>
    </row>
    <row r="130" spans="10:12" x14ac:dyDescent="0.2">
      <c r="J130" s="47"/>
      <c r="K130" s="47"/>
      <c r="L130" s="47"/>
    </row>
    <row r="131" spans="10:12" x14ac:dyDescent="0.2">
      <c r="J131" s="47"/>
      <c r="K131" s="47"/>
      <c r="L131" s="47"/>
    </row>
    <row r="132" spans="10:12" x14ac:dyDescent="0.2">
      <c r="J132" s="47"/>
      <c r="K132" s="47"/>
      <c r="L132" s="47"/>
    </row>
    <row r="133" spans="10:12" x14ac:dyDescent="0.2">
      <c r="J133" s="47"/>
      <c r="K133" s="47"/>
      <c r="L133" s="47"/>
    </row>
    <row r="134" spans="10:12" x14ac:dyDescent="0.2">
      <c r="J134" s="47"/>
      <c r="K134" s="47"/>
      <c r="L134" s="47"/>
    </row>
    <row r="135" spans="10:12" x14ac:dyDescent="0.2">
      <c r="J135" s="47"/>
      <c r="K135" s="47"/>
      <c r="L135" s="47"/>
    </row>
    <row r="136" spans="10:12" x14ac:dyDescent="0.2">
      <c r="J136" s="47"/>
      <c r="K136" s="47"/>
      <c r="L136" s="47"/>
    </row>
    <row r="137" spans="10:12" x14ac:dyDescent="0.2">
      <c r="J137" s="47"/>
      <c r="K137" s="47"/>
      <c r="L137" s="47"/>
    </row>
    <row r="138" spans="10:12" x14ac:dyDescent="0.2">
      <c r="J138" s="47"/>
      <c r="K138" s="47"/>
      <c r="L138" s="47"/>
    </row>
    <row r="139" spans="10:12" x14ac:dyDescent="0.2">
      <c r="J139" s="47"/>
      <c r="K139" s="47"/>
      <c r="L139" s="47"/>
    </row>
    <row r="140" spans="10:12" x14ac:dyDescent="0.2">
      <c r="J140" s="47"/>
      <c r="K140" s="47"/>
      <c r="L140" s="47"/>
    </row>
    <row r="141" spans="10:12" x14ac:dyDescent="0.2">
      <c r="J141" s="47"/>
      <c r="K141" s="47"/>
      <c r="L141" s="47"/>
    </row>
    <row r="142" spans="10:12" x14ac:dyDescent="0.2">
      <c r="J142" s="47"/>
      <c r="K142" s="47"/>
      <c r="L142" s="47"/>
    </row>
    <row r="143" spans="10:12" x14ac:dyDescent="0.2">
      <c r="J143" s="47"/>
      <c r="K143" s="47"/>
      <c r="L143" s="47"/>
    </row>
    <row r="144" spans="10:12" x14ac:dyDescent="0.2">
      <c r="J144" s="47"/>
      <c r="K144" s="47"/>
      <c r="L144" s="47"/>
    </row>
    <row r="145" spans="10:12" x14ac:dyDescent="0.2">
      <c r="J145" s="47"/>
      <c r="K145" s="47"/>
      <c r="L145" s="47"/>
    </row>
  </sheetData>
  <mergeCells count="5">
    <mergeCell ref="E47:F47"/>
    <mergeCell ref="E2:F2"/>
    <mergeCell ref="G2:H2"/>
    <mergeCell ref="E9:F9"/>
    <mergeCell ref="E22:F22"/>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96</vt:i4>
      </vt:variant>
    </vt:vector>
  </HeadingPairs>
  <TitlesOfParts>
    <vt:vector size="105" baseType="lpstr">
      <vt:lpstr>Instructions</vt:lpstr>
      <vt:lpstr>Functional Schematic</vt:lpstr>
      <vt:lpstr>Design Information</vt:lpstr>
      <vt:lpstr>Figure of T1 Current</vt:lpstr>
      <vt:lpstr>TABSET Valley Switching</vt:lpstr>
      <vt:lpstr>TCDSET Valley Switching</vt:lpstr>
      <vt:lpstr>Notice and Disclaimer</vt:lpstr>
      <vt:lpstr>Voltage Loop</vt:lpstr>
      <vt:lpstr>Standard R and C Look Up Table</vt:lpstr>
      <vt:lpstr>C_enter</vt:lpstr>
      <vt:lpstr>C_f1</vt:lpstr>
      <vt:lpstr>C_f2</vt:lpstr>
      <vt:lpstr>c_s1</vt:lpstr>
      <vt:lpstr>C_s2</vt:lpstr>
      <vt:lpstr>Center</vt:lpstr>
      <vt:lpstr>constant</vt:lpstr>
      <vt:lpstr>cossqaavg</vt:lpstr>
      <vt:lpstr>cossqaspec</vt:lpstr>
      <vt:lpstr>cossqeavg</vt:lpstr>
      <vt:lpstr>cout</vt:lpstr>
      <vt:lpstr>Cp</vt:lpstr>
      <vt:lpstr>Cstandard</vt:lpstr>
      <vt:lpstr>Cz</vt:lpstr>
      <vt:lpstr>d2a</vt:lpstr>
      <vt:lpstr>dclamp</vt:lpstr>
      <vt:lpstr>dcrlout</vt:lpstr>
      <vt:lpstr>dcrp</vt:lpstr>
      <vt:lpstr>dcrs</vt:lpstr>
      <vt:lpstr>dilmag</vt:lpstr>
      <vt:lpstr>dilout</vt:lpstr>
      <vt:lpstr>dmax</vt:lpstr>
      <vt:lpstr>dtyp</vt:lpstr>
      <vt:lpstr>E12_f</vt:lpstr>
      <vt:lpstr>E12_s</vt:lpstr>
      <vt:lpstr>E24_f</vt:lpstr>
      <vt:lpstr>E24_s</vt:lpstr>
      <vt:lpstr>E48_f</vt:lpstr>
      <vt:lpstr>E48_s</vt:lpstr>
      <vt:lpstr>E6_f</vt:lpstr>
      <vt:lpstr>E6_s</vt:lpstr>
      <vt:lpstr>E96_f</vt:lpstr>
      <vt:lpstr>E96_s</vt:lpstr>
      <vt:lpstr>Eff</vt:lpstr>
      <vt:lpstr>esrcout</vt:lpstr>
      <vt:lpstr>fc</vt:lpstr>
      <vt:lpstr>fpp</vt:lpstr>
      <vt:lpstr>fs</vt:lpstr>
      <vt:lpstr>iloutrms</vt:lpstr>
      <vt:lpstr>imp</vt:lpstr>
      <vt:lpstr>imp2</vt:lpstr>
      <vt:lpstr>ims</vt:lpstr>
      <vt:lpstr>ims2</vt:lpstr>
      <vt:lpstr>ipp</vt:lpstr>
      <vt:lpstr>ipp1</vt:lpstr>
      <vt:lpstr>iprms</vt:lpstr>
      <vt:lpstr>iprms1</vt:lpstr>
      <vt:lpstr>iprms2</vt:lpstr>
      <vt:lpstr>ips</vt:lpstr>
      <vt:lpstr>isrms</vt:lpstr>
      <vt:lpstr>isrms1</vt:lpstr>
      <vt:lpstr>isrms2</vt:lpstr>
      <vt:lpstr>isrms3</vt:lpstr>
      <vt:lpstr>llk</vt:lpstr>
      <vt:lpstr>lmag</vt:lpstr>
      <vt:lpstr>lmag1</vt:lpstr>
      <vt:lpstr>lmag2</vt:lpstr>
      <vt:lpstr>lout</vt:lpstr>
      <vt:lpstr>ls</vt:lpstr>
      <vt:lpstr>n1divd1</vt:lpstr>
      <vt:lpstr>pbudget</vt:lpstr>
      <vt:lpstr>pout</vt:lpstr>
      <vt:lpstr>QAg</vt:lpstr>
      <vt:lpstr>qeg</vt:lpstr>
      <vt:lpstr>rdsonqa</vt:lpstr>
      <vt:lpstr>rdsonqe</vt:lpstr>
      <vt:lpstr>rf</vt:lpstr>
      <vt:lpstr>RII</vt:lpstr>
      <vt:lpstr>rload</vt:lpstr>
      <vt:lpstr>RS</vt:lpstr>
      <vt:lpstr>sta</vt:lpstr>
      <vt:lpstr>stb</vt:lpstr>
      <vt:lpstr>ta1</vt:lpstr>
      <vt:lpstr>ta11</vt:lpstr>
      <vt:lpstr>ta2</vt:lpstr>
      <vt:lpstr>taa1</vt:lpstr>
      <vt:lpstr>tabset</vt:lpstr>
      <vt:lpstr>tafset</vt:lpstr>
      <vt:lpstr>tcdset</vt:lpstr>
      <vt:lpstr>tdelay</vt:lpstr>
      <vt:lpstr>thu</vt:lpstr>
      <vt:lpstr>tr</vt:lpstr>
      <vt:lpstr>va1</vt:lpstr>
      <vt:lpstr>vadel</vt:lpstr>
      <vt:lpstr>vdsqe</vt:lpstr>
      <vt:lpstr>vg</vt:lpstr>
      <vt:lpstr>vin</vt:lpstr>
      <vt:lpstr>VINMAX</vt:lpstr>
      <vt:lpstr>VINMIAX</vt:lpstr>
      <vt:lpstr>VINMIN</vt:lpstr>
      <vt:lpstr>VOUT</vt:lpstr>
      <vt:lpstr>voutmin</vt:lpstr>
      <vt:lpstr>vrdson</vt:lpstr>
      <vt:lpstr>Vslope1</vt:lpstr>
      <vt:lpstr>Vslope2</vt:lpstr>
      <vt:lpstr>VTRAN</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O'Loughlin</dc:creator>
  <cp:lastModifiedBy>Tan, Ning</cp:lastModifiedBy>
  <cp:lastPrinted>2010-06-11T18:34:05Z</cp:lastPrinted>
  <dcterms:created xsi:type="dcterms:W3CDTF">2010-04-19T17:22:29Z</dcterms:created>
  <dcterms:modified xsi:type="dcterms:W3CDTF">2025-03-07T17:39:21Z</dcterms:modified>
</cp:coreProperties>
</file>